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98ba2bb68872b2/Escritorio/plan financiero por y para la gente/"/>
    </mc:Choice>
  </mc:AlternateContent>
  <xr:revisionPtr revIDLastSave="16" documentId="8_{7E03B10E-DB34-400F-A1F6-6E46A0D869EF}" xr6:coauthVersionLast="47" xr6:coauthVersionMax="47" xr10:uidLastSave="{22DFA7F6-21A5-46F0-B8B4-A0A2EFC911A4}"/>
  <bookViews>
    <workbookView xWindow="-108" yWindow="-108" windowWidth="23256" windowHeight="12456" xr2:uid="{FF313CF2-D1F2-4549-81DE-B8B5115DEE34}"/>
  </bookViews>
  <sheets>
    <sheet name="CRUCE" sheetId="5" r:id="rId1"/>
    <sheet name="Fuentes y Usos" sheetId="7" r:id="rId2"/>
    <sheet name="2021" sheetId="1" r:id="rId3"/>
    <sheet name="2022" sheetId="2" r:id="rId4"/>
    <sheet name="2023" sheetId="3" r:id="rId5"/>
    <sheet name="2024" sheetId="4" r:id="rId6"/>
    <sheet name="COD_REC TODOS" sheetId="6" r:id="rId7"/>
  </sheets>
  <externalReferences>
    <externalReference r:id="rId8"/>
    <externalReference r:id="rId9"/>
  </externalReferences>
  <definedNames>
    <definedName name="_xlnm._FilterDatabase" localSheetId="2" hidden="1">'2021'!$A$1:$AX$563</definedName>
    <definedName name="_xlnm._FilterDatabase" localSheetId="3" hidden="1">'2022'!$A$1:$AU$490</definedName>
    <definedName name="_xlnm._FilterDatabase" localSheetId="4" hidden="1">'2023'!$A$1:$AV$484</definedName>
    <definedName name="_xlnm._FilterDatabase" localSheetId="5" hidden="1">'2024'!$A$1:$AW$431</definedName>
    <definedName name="_xlnm._FilterDatabase" localSheetId="6" hidden="1">'COD_REC TODOS'!$A$1:$G$1</definedName>
    <definedName name="_xlnm._FilterDatabase" localSheetId="0" hidden="1">CRUCE!$A$2:$V$512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3" i="5" l="1"/>
  <c r="T513" i="5"/>
  <c r="Q506" i="5"/>
  <c r="R506" i="5" s="1"/>
  <c r="U506" i="5" s="1"/>
  <c r="Q505" i="5"/>
  <c r="R505" i="5" s="1"/>
  <c r="U505" i="5" s="1"/>
  <c r="Q504" i="5"/>
  <c r="R504" i="5" s="1"/>
  <c r="U504" i="5" s="1"/>
  <c r="Q503" i="5"/>
  <c r="R503" i="5" s="1"/>
  <c r="U503" i="5" s="1"/>
  <c r="Q502" i="5"/>
  <c r="R502" i="5" s="1"/>
  <c r="U502" i="5" s="1"/>
  <c r="Q501" i="5"/>
  <c r="R501" i="5" s="1"/>
  <c r="U501" i="5" s="1"/>
  <c r="Q500" i="5"/>
  <c r="R500" i="5" s="1"/>
  <c r="U500" i="5" s="1"/>
  <c r="Q499" i="5"/>
  <c r="R499" i="5" s="1"/>
  <c r="U499" i="5" s="1"/>
  <c r="Q498" i="5"/>
  <c r="R498" i="5" s="1"/>
  <c r="U498" i="5" s="1"/>
  <c r="Q497" i="5"/>
  <c r="R497" i="5" s="1"/>
  <c r="U497" i="5" s="1"/>
  <c r="Q496" i="5"/>
  <c r="R496" i="5" s="1"/>
  <c r="U496" i="5" s="1"/>
  <c r="Q495" i="5"/>
  <c r="R495" i="5" s="1"/>
  <c r="U495" i="5" s="1"/>
  <c r="Q494" i="5"/>
  <c r="R494" i="5" s="1"/>
  <c r="U494" i="5" s="1"/>
  <c r="Q493" i="5"/>
  <c r="R493" i="5" s="1"/>
  <c r="U493" i="5" s="1"/>
  <c r="Q492" i="5"/>
  <c r="R492" i="5" s="1"/>
  <c r="U492" i="5" s="1"/>
  <c r="Q491" i="5"/>
  <c r="R491" i="5" s="1"/>
  <c r="U491" i="5" s="1"/>
  <c r="Q490" i="5"/>
  <c r="R490" i="5" s="1"/>
  <c r="U490" i="5" s="1"/>
  <c r="Q489" i="5"/>
  <c r="R489" i="5" s="1"/>
  <c r="U489" i="5" s="1"/>
  <c r="Q488" i="5"/>
  <c r="R488" i="5" s="1"/>
  <c r="U488" i="5" s="1"/>
  <c r="Q487" i="5"/>
  <c r="R487" i="5" s="1"/>
  <c r="U487" i="5" s="1"/>
  <c r="Q486" i="5"/>
  <c r="R486" i="5" s="1"/>
  <c r="U486" i="5" s="1"/>
  <c r="Q485" i="5"/>
  <c r="R485" i="5" s="1"/>
  <c r="U485" i="5" s="1"/>
  <c r="Q484" i="5"/>
  <c r="R484" i="5" s="1"/>
  <c r="U484" i="5" s="1"/>
  <c r="Q483" i="5"/>
  <c r="R483" i="5" s="1"/>
  <c r="U483" i="5" s="1"/>
  <c r="Q482" i="5"/>
  <c r="R482" i="5" s="1"/>
  <c r="U482" i="5" s="1"/>
  <c r="Q481" i="5"/>
  <c r="R481" i="5" s="1"/>
  <c r="U481" i="5" s="1"/>
  <c r="Q480" i="5"/>
  <c r="R480" i="5" s="1"/>
  <c r="U480" i="5" s="1"/>
  <c r="Q479" i="5"/>
  <c r="R479" i="5" s="1"/>
  <c r="U479" i="5" s="1"/>
  <c r="Q478" i="5"/>
  <c r="R478" i="5" s="1"/>
  <c r="U478" i="5" s="1"/>
  <c r="Q477" i="5"/>
  <c r="R477" i="5" s="1"/>
  <c r="U477" i="5" s="1"/>
  <c r="Q476" i="5"/>
  <c r="R476" i="5" s="1"/>
  <c r="U476" i="5" s="1"/>
  <c r="Q475" i="5"/>
  <c r="R475" i="5" s="1"/>
  <c r="U475" i="5" s="1"/>
  <c r="Q474" i="5"/>
  <c r="R474" i="5" s="1"/>
  <c r="Q473" i="5"/>
  <c r="R473" i="5" s="1"/>
  <c r="Q472" i="5"/>
  <c r="R472" i="5" s="1"/>
  <c r="Q471" i="5"/>
  <c r="R471" i="5" s="1"/>
  <c r="Q470" i="5"/>
  <c r="R470" i="5" s="1"/>
  <c r="Q469" i="5"/>
  <c r="R469" i="5" s="1"/>
  <c r="Q468" i="5"/>
  <c r="R468" i="5" s="1"/>
  <c r="Q467" i="5"/>
  <c r="R467" i="5" s="1"/>
  <c r="Q466" i="5"/>
  <c r="R466" i="5" s="1"/>
  <c r="Q465" i="5"/>
  <c r="R465" i="5" s="1"/>
  <c r="Q464" i="5"/>
  <c r="R464" i="5" s="1"/>
  <c r="Q463" i="5"/>
  <c r="R463" i="5" s="1"/>
  <c r="Q462" i="5"/>
  <c r="R462" i="5" s="1"/>
  <c r="Q461" i="5"/>
  <c r="R461" i="5" s="1"/>
  <c r="Q460" i="5"/>
  <c r="R460" i="5" s="1"/>
  <c r="Q425" i="5"/>
  <c r="R425" i="5" s="1"/>
  <c r="U425" i="5" s="1"/>
  <c r="Q410" i="5"/>
  <c r="R410" i="5" s="1"/>
  <c r="U410" i="5" s="1"/>
  <c r="Q393" i="5"/>
  <c r="R393" i="5" s="1"/>
  <c r="U393" i="5" s="1"/>
  <c r="Q391" i="5"/>
  <c r="R391" i="5" s="1"/>
  <c r="U391" i="5" s="1"/>
  <c r="Q388" i="5"/>
  <c r="R388" i="5" s="1"/>
  <c r="U388" i="5" s="1"/>
  <c r="Q387" i="5"/>
  <c r="R387" i="5" s="1"/>
  <c r="U387" i="5" s="1"/>
  <c r="Q382" i="5"/>
  <c r="R382" i="5" s="1"/>
  <c r="U382" i="5" s="1"/>
  <c r="Q381" i="5"/>
  <c r="R381" i="5" s="1"/>
  <c r="Q380" i="5"/>
  <c r="R380" i="5" s="1"/>
  <c r="Q379" i="5"/>
  <c r="R379" i="5" s="1"/>
  <c r="Q378" i="5"/>
  <c r="R378" i="5" s="1"/>
  <c r="Q376" i="5"/>
  <c r="R376" i="5" s="1"/>
  <c r="U376" i="5" s="1"/>
  <c r="Q375" i="5"/>
  <c r="R375" i="5" s="1"/>
  <c r="U375" i="5" s="1"/>
  <c r="Q374" i="5"/>
  <c r="R374" i="5" s="1"/>
  <c r="U374" i="5" s="1"/>
  <c r="Q372" i="5"/>
  <c r="R372" i="5" s="1"/>
  <c r="U372" i="5" s="1"/>
  <c r="Q371" i="5"/>
  <c r="R371" i="5" s="1"/>
  <c r="U371" i="5" s="1"/>
  <c r="Q354" i="5"/>
  <c r="R354" i="5" s="1"/>
  <c r="U354" i="5" s="1"/>
  <c r="Q353" i="5"/>
  <c r="R353" i="5" s="1"/>
  <c r="U353" i="5" s="1"/>
  <c r="Q346" i="5"/>
  <c r="R346" i="5" s="1"/>
  <c r="U346" i="5" s="1"/>
  <c r="Q345" i="5"/>
  <c r="R345" i="5" s="1"/>
  <c r="U345" i="5" s="1"/>
  <c r="Q341" i="5"/>
  <c r="R341" i="5" s="1"/>
  <c r="U341" i="5" s="1"/>
  <c r="Q340" i="5"/>
  <c r="R340" i="5" s="1"/>
  <c r="U340" i="5" s="1"/>
  <c r="Q339" i="5"/>
  <c r="R339" i="5" s="1"/>
  <c r="U339" i="5" s="1"/>
  <c r="Q331" i="5"/>
  <c r="R331" i="5" s="1"/>
  <c r="U331" i="5" s="1"/>
  <c r="Q328" i="5"/>
  <c r="R328" i="5" s="1"/>
  <c r="U328" i="5" s="1"/>
  <c r="Q317" i="5"/>
  <c r="R317" i="5" s="1"/>
  <c r="U317" i="5" s="1"/>
  <c r="Q316" i="5"/>
  <c r="R316" i="5" s="1"/>
  <c r="U316" i="5" s="1"/>
  <c r="Q306" i="5"/>
  <c r="R306" i="5" s="1"/>
  <c r="U306" i="5" s="1"/>
  <c r="Q305" i="5"/>
  <c r="R305" i="5" s="1"/>
  <c r="U305" i="5" s="1"/>
  <c r="Q304" i="5"/>
  <c r="R304" i="5" s="1"/>
  <c r="U304" i="5" s="1"/>
  <c r="Q303" i="5"/>
  <c r="R303" i="5" s="1"/>
  <c r="U303" i="5" s="1"/>
  <c r="Q298" i="5"/>
  <c r="R298" i="5" s="1"/>
  <c r="U298" i="5" s="1"/>
  <c r="Q296" i="5"/>
  <c r="R296" i="5" s="1"/>
  <c r="U296" i="5" s="1"/>
  <c r="Q292" i="5"/>
  <c r="R292" i="5" s="1"/>
  <c r="U292" i="5" s="1"/>
  <c r="Q285" i="5"/>
  <c r="R285" i="5" s="1"/>
  <c r="U285" i="5" s="1"/>
  <c r="Q283" i="5"/>
  <c r="R283" i="5" s="1"/>
  <c r="U283" i="5" s="1"/>
  <c r="Q282" i="5"/>
  <c r="R282" i="5" s="1"/>
  <c r="U282" i="5" s="1"/>
  <c r="Q281" i="5"/>
  <c r="R281" i="5" s="1"/>
  <c r="U281" i="5" s="1"/>
  <c r="Q258" i="5"/>
  <c r="R258" i="5" s="1"/>
  <c r="U258" i="5" s="1"/>
  <c r="Q256" i="5"/>
  <c r="R256" i="5" s="1"/>
  <c r="U256" i="5" s="1"/>
  <c r="Q255" i="5"/>
  <c r="R255" i="5" s="1"/>
  <c r="U255" i="5" s="1"/>
  <c r="Q250" i="5"/>
  <c r="R250" i="5" s="1"/>
  <c r="U250" i="5" s="1"/>
  <c r="Q238" i="5"/>
  <c r="R238" i="5" s="1"/>
  <c r="U238" i="5" s="1"/>
  <c r="Q237" i="5"/>
  <c r="R237" i="5" s="1"/>
  <c r="U237" i="5" s="1"/>
  <c r="Q196" i="5"/>
  <c r="R196" i="5" s="1"/>
  <c r="U196" i="5" s="1"/>
  <c r="Q193" i="5"/>
  <c r="R193" i="5" s="1"/>
  <c r="U193" i="5" s="1"/>
  <c r="Q192" i="5"/>
  <c r="R192" i="5" s="1"/>
  <c r="U192" i="5" s="1"/>
  <c r="Q191" i="5"/>
  <c r="R191" i="5" s="1"/>
  <c r="U191" i="5" s="1"/>
  <c r="Q190" i="5"/>
  <c r="R190" i="5" s="1"/>
  <c r="U190" i="5" s="1"/>
  <c r="Q189" i="5"/>
  <c r="R189" i="5" s="1"/>
  <c r="U189" i="5" s="1"/>
  <c r="Q176" i="5"/>
  <c r="R176" i="5" s="1"/>
  <c r="U176" i="5" s="1"/>
  <c r="Q173" i="5"/>
  <c r="R173" i="5" s="1"/>
  <c r="U173" i="5" s="1"/>
  <c r="Q172" i="5"/>
  <c r="R172" i="5" s="1"/>
  <c r="U172" i="5" s="1"/>
  <c r="Q171" i="5"/>
  <c r="R171" i="5" s="1"/>
  <c r="U171" i="5" s="1"/>
  <c r="Q169" i="5"/>
  <c r="R169" i="5" s="1"/>
  <c r="U169" i="5" s="1"/>
  <c r="Q168" i="5"/>
  <c r="R168" i="5" s="1"/>
  <c r="U168" i="5" s="1"/>
  <c r="Q167" i="5"/>
  <c r="R167" i="5" s="1"/>
  <c r="U167" i="5" s="1"/>
  <c r="Q164" i="5"/>
  <c r="R164" i="5" s="1"/>
  <c r="U164" i="5" s="1"/>
  <c r="Q162" i="5"/>
  <c r="R162" i="5" s="1"/>
  <c r="U162" i="5" s="1"/>
  <c r="Q161" i="5"/>
  <c r="R161" i="5" s="1"/>
  <c r="U161" i="5" s="1"/>
  <c r="Q160" i="5"/>
  <c r="R160" i="5" s="1"/>
  <c r="U160" i="5" s="1"/>
  <c r="Q159" i="5"/>
  <c r="R159" i="5" s="1"/>
  <c r="U159" i="5" s="1"/>
  <c r="Q158" i="5"/>
  <c r="R158" i="5" s="1"/>
  <c r="U158" i="5" s="1"/>
  <c r="Q157" i="5"/>
  <c r="R157" i="5" s="1"/>
  <c r="U157" i="5" s="1"/>
  <c r="Q156" i="5"/>
  <c r="R156" i="5" s="1"/>
  <c r="U156" i="5" s="1"/>
  <c r="Q155" i="5"/>
  <c r="R155" i="5" s="1"/>
  <c r="U155" i="5" s="1"/>
  <c r="Q154" i="5"/>
  <c r="R154" i="5" s="1"/>
  <c r="U154" i="5" s="1"/>
  <c r="Q151" i="5"/>
  <c r="R151" i="5" s="1"/>
  <c r="U151" i="5" s="1"/>
  <c r="Q150" i="5"/>
  <c r="R150" i="5" s="1"/>
  <c r="U150" i="5" s="1"/>
  <c r="Q149" i="5"/>
  <c r="R149" i="5" s="1"/>
  <c r="U149" i="5" s="1"/>
  <c r="Q144" i="5"/>
  <c r="R144" i="5" s="1"/>
  <c r="U144" i="5" s="1"/>
  <c r="Q142" i="5"/>
  <c r="R142" i="5" s="1"/>
  <c r="U142" i="5" s="1"/>
  <c r="Q140" i="5"/>
  <c r="R140" i="5" s="1"/>
  <c r="U140" i="5" s="1"/>
  <c r="Q139" i="5"/>
  <c r="R139" i="5" s="1"/>
  <c r="U139" i="5" s="1"/>
  <c r="Q138" i="5"/>
  <c r="R138" i="5" s="1"/>
  <c r="U138" i="5" s="1"/>
  <c r="Q137" i="5"/>
  <c r="R137" i="5" s="1"/>
  <c r="U137" i="5" s="1"/>
  <c r="Q136" i="5"/>
  <c r="R136" i="5" s="1"/>
  <c r="U136" i="5" s="1"/>
  <c r="Q135" i="5"/>
  <c r="R135" i="5" s="1"/>
  <c r="U135" i="5" s="1"/>
  <c r="Q132" i="5"/>
  <c r="R132" i="5" s="1"/>
  <c r="U132" i="5" s="1"/>
  <c r="Q131" i="5"/>
  <c r="R131" i="5" s="1"/>
  <c r="U131" i="5" s="1"/>
  <c r="Q130" i="5"/>
  <c r="R130" i="5" s="1"/>
  <c r="U130" i="5" s="1"/>
  <c r="Q129" i="5"/>
  <c r="R129" i="5" s="1"/>
  <c r="Q128" i="5"/>
  <c r="Q125" i="5"/>
  <c r="R125" i="5" s="1"/>
  <c r="Q123" i="5"/>
  <c r="R123" i="5" s="1"/>
  <c r="Q122" i="5"/>
  <c r="R122" i="5" s="1"/>
  <c r="Q121" i="5"/>
  <c r="R121" i="5" s="1"/>
  <c r="Q120" i="5"/>
  <c r="R120" i="5" s="1"/>
  <c r="Q119" i="5"/>
  <c r="R119" i="5" s="1"/>
  <c r="U119" i="5" s="1"/>
  <c r="Q118" i="5"/>
  <c r="R118" i="5" s="1"/>
  <c r="U118" i="5" s="1"/>
  <c r="Q117" i="5"/>
  <c r="R117" i="5" s="1"/>
  <c r="U117" i="5" s="1"/>
  <c r="Q116" i="5"/>
  <c r="R116" i="5" s="1"/>
  <c r="U116" i="5" s="1"/>
  <c r="Q115" i="5"/>
  <c r="R115" i="5" s="1"/>
  <c r="U115" i="5" s="1"/>
  <c r="Q114" i="5"/>
  <c r="R114" i="5" s="1"/>
  <c r="U114" i="5" s="1"/>
  <c r="Q111" i="5"/>
  <c r="R111" i="5" s="1"/>
  <c r="U111" i="5" s="1"/>
  <c r="Q109" i="5"/>
  <c r="R109" i="5" s="1"/>
  <c r="U109" i="5" s="1"/>
  <c r="Q106" i="5"/>
  <c r="R106" i="5" s="1"/>
  <c r="U106" i="5" s="1"/>
  <c r="Q103" i="5"/>
  <c r="R103" i="5" s="1"/>
  <c r="U103" i="5" s="1"/>
  <c r="Q101" i="5"/>
  <c r="R101" i="5" s="1"/>
  <c r="U101" i="5" s="1"/>
  <c r="Q100" i="5"/>
  <c r="R100" i="5" s="1"/>
  <c r="U100" i="5" s="1"/>
  <c r="Q97" i="5"/>
  <c r="R97" i="5" s="1"/>
  <c r="U97" i="5" s="1"/>
  <c r="Q96" i="5"/>
  <c r="R96" i="5" s="1"/>
  <c r="U96" i="5" s="1"/>
  <c r="Q94" i="5"/>
  <c r="R94" i="5" s="1"/>
  <c r="U94" i="5" s="1"/>
  <c r="Q93" i="5"/>
  <c r="R93" i="5" s="1"/>
  <c r="U93" i="5" s="1"/>
  <c r="Q92" i="5"/>
  <c r="R92" i="5" s="1"/>
  <c r="U92" i="5" s="1"/>
  <c r="Q86" i="5"/>
  <c r="R86" i="5" s="1"/>
  <c r="Q85" i="5"/>
  <c r="R85" i="5" s="1"/>
  <c r="Q84" i="5"/>
  <c r="R84" i="5" s="1"/>
  <c r="Q82" i="5"/>
  <c r="R82" i="5" s="1"/>
  <c r="U82" i="5" s="1"/>
  <c r="Q70" i="5"/>
  <c r="R70" i="5" s="1"/>
  <c r="U70" i="5" s="1"/>
  <c r="Q69" i="5"/>
  <c r="R69" i="5" s="1"/>
  <c r="U69" i="5" s="1"/>
  <c r="Q67" i="5"/>
  <c r="R67" i="5" s="1"/>
  <c r="U67" i="5" s="1"/>
  <c r="Q64" i="5"/>
  <c r="R64" i="5" s="1"/>
  <c r="U64" i="5" s="1"/>
  <c r="Q62" i="5"/>
  <c r="R62" i="5" s="1"/>
  <c r="U62" i="5" s="1"/>
  <c r="Q61" i="5"/>
  <c r="R61" i="5" s="1"/>
  <c r="U61" i="5" s="1"/>
  <c r="Q58" i="5"/>
  <c r="R58" i="5" s="1"/>
  <c r="U58" i="5" s="1"/>
  <c r="Q57" i="5"/>
  <c r="R57" i="5" s="1"/>
  <c r="U57" i="5" s="1"/>
  <c r="Q47" i="5"/>
  <c r="R47" i="5" s="1"/>
  <c r="Q46" i="5"/>
  <c r="R46" i="5" s="1"/>
  <c r="Q45" i="5"/>
  <c r="R45" i="5" s="1"/>
  <c r="U45" i="5" s="1"/>
  <c r="Q41" i="5"/>
  <c r="R41" i="5" s="1"/>
  <c r="U41" i="5" s="1"/>
  <c r="Q34" i="5"/>
  <c r="R34" i="5" s="1"/>
  <c r="U34" i="5" s="1"/>
  <c r="Q32" i="5"/>
  <c r="R32" i="5" s="1"/>
  <c r="U32" i="5" s="1"/>
  <c r="Q31" i="5"/>
  <c r="R31" i="5" s="1"/>
  <c r="U31" i="5" s="1"/>
  <c r="Q30" i="5"/>
  <c r="R30" i="5" s="1"/>
  <c r="U30" i="5" s="1"/>
  <c r="Q29" i="5"/>
  <c r="R29" i="5" s="1"/>
  <c r="U29" i="5" s="1"/>
  <c r="Q28" i="5"/>
  <c r="R28" i="5" s="1"/>
  <c r="U28" i="5" s="1"/>
  <c r="Q27" i="5"/>
  <c r="R27" i="5" s="1"/>
  <c r="U27" i="5" s="1"/>
  <c r="Q26" i="5"/>
  <c r="R26" i="5" s="1"/>
  <c r="U26" i="5" s="1"/>
  <c r="Q25" i="5"/>
  <c r="R25" i="5" s="1"/>
  <c r="U25" i="5" s="1"/>
  <c r="Q22" i="5"/>
  <c r="R22" i="5" s="1"/>
  <c r="U22" i="5" s="1"/>
  <c r="Q21" i="5"/>
  <c r="R21" i="5" s="1"/>
  <c r="U21" i="5" s="1"/>
  <c r="Q18" i="5"/>
  <c r="R18" i="5" s="1"/>
  <c r="U18" i="5" s="1"/>
  <c r="Q15" i="5"/>
  <c r="R15" i="5" s="1"/>
  <c r="U15" i="5" s="1"/>
  <c r="Q13" i="5"/>
  <c r="R13" i="5" s="1"/>
  <c r="U13" i="5" s="1"/>
  <c r="Q12" i="5"/>
  <c r="R12" i="5" s="1"/>
  <c r="U12" i="5" s="1"/>
  <c r="Q10" i="5"/>
  <c r="R10" i="5" s="1"/>
  <c r="U10" i="5" s="1"/>
  <c r="Q8" i="5"/>
  <c r="R8" i="5" s="1"/>
  <c r="U8" i="5" s="1"/>
  <c r="Q6" i="5"/>
  <c r="R6" i="5" s="1"/>
  <c r="U6" i="5" s="1"/>
  <c r="Q4" i="5"/>
  <c r="R4" i="5" s="1"/>
  <c r="U4" i="5" s="1"/>
  <c r="Q3" i="5"/>
  <c r="R3" i="5" s="1"/>
  <c r="U3" i="5" s="1"/>
  <c r="R128" i="5" l="1"/>
  <c r="U128" i="5" s="1"/>
  <c r="U129" i="5"/>
  <c r="C182" i="7" l="1"/>
  <c r="C180" i="7"/>
  <c r="C179" i="7"/>
  <c r="C169" i="7"/>
  <c r="C148" i="7"/>
  <c r="C147" i="7"/>
  <c r="C178" i="7" s="1"/>
  <c r="C145" i="7"/>
  <c r="C177" i="7" s="1"/>
  <c r="C141" i="7"/>
  <c r="N125" i="7"/>
  <c r="O125" i="7" s="1"/>
  <c r="P125" i="7" s="1"/>
  <c r="E125" i="7"/>
  <c r="C125" i="7"/>
  <c r="P124" i="7"/>
  <c r="O124" i="7"/>
  <c r="N124" i="7"/>
  <c r="N123" i="7"/>
  <c r="O123" i="7" s="1"/>
  <c r="P123" i="7" s="1"/>
  <c r="P122" i="7"/>
  <c r="O122" i="7"/>
  <c r="N122" i="7"/>
  <c r="F122" i="7"/>
  <c r="G122" i="7" s="1"/>
  <c r="N121" i="7"/>
  <c r="O121" i="7" s="1"/>
  <c r="P121" i="7" s="1"/>
  <c r="P126" i="7" s="1"/>
  <c r="P127" i="7" s="1"/>
  <c r="C115" i="7"/>
  <c r="C116" i="7" s="1"/>
  <c r="C111" i="7"/>
  <c r="D111" i="7" s="1"/>
  <c r="C107" i="7"/>
  <c r="D107" i="7" s="1"/>
  <c r="C106" i="7"/>
  <c r="D106" i="7" s="1"/>
  <c r="B106" i="7"/>
  <c r="C105" i="7"/>
  <c r="D105" i="7" s="1"/>
  <c r="C104" i="7"/>
  <c r="D104" i="7" s="1"/>
  <c r="C103" i="7"/>
  <c r="D103" i="7" s="1"/>
  <c r="C102" i="7"/>
  <c r="D102" i="7" s="1"/>
  <c r="C101" i="7"/>
  <c r="D101" i="7" s="1"/>
  <c r="C100" i="7"/>
  <c r="D100" i="7" s="1"/>
  <c r="C99" i="7"/>
  <c r="D99" i="7" s="1"/>
  <c r="C98" i="7"/>
  <c r="D98" i="7" s="1"/>
  <c r="C97" i="7"/>
  <c r="D97" i="7" s="1"/>
  <c r="C96" i="7"/>
  <c r="D96" i="7" s="1"/>
  <c r="C95" i="7"/>
  <c r="D95" i="7" s="1"/>
  <c r="L94" i="7"/>
  <c r="C94" i="7"/>
  <c r="D94" i="7" s="1"/>
  <c r="L93" i="7"/>
  <c r="C93" i="7"/>
  <c r="D93" i="7" s="1"/>
  <c r="C92" i="7"/>
  <c r="D92" i="7" s="1"/>
  <c r="B92" i="7"/>
  <c r="C91" i="7"/>
  <c r="D91" i="7" s="1"/>
  <c r="B91" i="7"/>
  <c r="C90" i="7"/>
  <c r="D90" i="7" s="1"/>
  <c r="B90" i="7"/>
  <c r="C89" i="7"/>
  <c r="D89" i="7" s="1"/>
  <c r="B89" i="7"/>
  <c r="C88" i="7"/>
  <c r="D88" i="7" s="1"/>
  <c r="C87" i="7"/>
  <c r="D87" i="7" s="1"/>
  <c r="D83" i="7"/>
  <c r="C82" i="7"/>
  <c r="D82" i="7" s="1"/>
  <c r="C81" i="7"/>
  <c r="D81" i="7" s="1"/>
  <c r="C80" i="7"/>
  <c r="D80" i="7" s="1"/>
  <c r="C79" i="7"/>
  <c r="D79" i="7" s="1"/>
  <c r="C78" i="7"/>
  <c r="D78" i="7" s="1"/>
  <c r="C77" i="7"/>
  <c r="D77" i="7" s="1"/>
  <c r="C76" i="7"/>
  <c r="C70" i="7"/>
  <c r="F70" i="7" s="1"/>
  <c r="C69" i="7"/>
  <c r="E69" i="7" s="1"/>
  <c r="C68" i="7"/>
  <c r="D68" i="7" s="1"/>
  <c r="C67" i="7"/>
  <c r="D67" i="7" s="1"/>
  <c r="C65" i="7"/>
  <c r="D65" i="7" s="1"/>
  <c r="C64" i="7"/>
  <c r="D64" i="7" s="1"/>
  <c r="C63" i="7"/>
  <c r="D63" i="7" s="1"/>
  <c r="C62" i="7"/>
  <c r="D62" i="7" s="1"/>
  <c r="C61" i="7"/>
  <c r="D61" i="7" s="1"/>
  <c r="C60" i="7"/>
  <c r="E60" i="7" s="1"/>
  <c r="C59" i="7"/>
  <c r="E59" i="7" s="1"/>
  <c r="C58" i="7"/>
  <c r="D58" i="7" s="1"/>
  <c r="C57" i="7"/>
  <c r="F57" i="7" s="1"/>
  <c r="C56" i="7"/>
  <c r="F56" i="7" s="1"/>
  <c r="C55" i="7"/>
  <c r="E55" i="7" s="1"/>
  <c r="C54" i="7"/>
  <c r="E54" i="7" s="1"/>
  <c r="C51" i="7"/>
  <c r="D51" i="7" s="1"/>
  <c r="C50" i="7"/>
  <c r="C49" i="7"/>
  <c r="C48" i="7"/>
  <c r="C47" i="7"/>
  <c r="C46" i="7"/>
  <c r="D46" i="7" s="1"/>
  <c r="C45" i="7"/>
  <c r="D45" i="7" s="1"/>
  <c r="C44" i="7"/>
  <c r="D44" i="7" s="1"/>
  <c r="C43" i="7"/>
  <c r="E43" i="7" s="1"/>
  <c r="C143" i="7" s="1"/>
  <c r="C42" i="7"/>
  <c r="F42" i="7" s="1"/>
  <c r="C41" i="7"/>
  <c r="E41" i="7" s="1"/>
  <c r="C40" i="7"/>
  <c r="E40" i="7" s="1"/>
  <c r="C39" i="7"/>
  <c r="D39" i="7" s="1"/>
  <c r="C38" i="7"/>
  <c r="F38" i="7" s="1"/>
  <c r="C37" i="7"/>
  <c r="E37" i="7" s="1"/>
  <c r="C36" i="7"/>
  <c r="E36" i="7" s="1"/>
  <c r="C35" i="7"/>
  <c r="F35" i="7" s="1"/>
  <c r="C34" i="7"/>
  <c r="F34" i="7" s="1"/>
  <c r="K33" i="7"/>
  <c r="C33" i="7"/>
  <c r="E33" i="7" s="1"/>
  <c r="K32" i="7"/>
  <c r="C32" i="7"/>
  <c r="F32" i="7" s="1"/>
  <c r="C31" i="7"/>
  <c r="E31" i="7" s="1"/>
  <c r="L30" i="7"/>
  <c r="L29" i="7"/>
  <c r="C29" i="7"/>
  <c r="L28" i="7"/>
  <c r="C28" i="7"/>
  <c r="D28" i="7" s="1"/>
  <c r="L27" i="7"/>
  <c r="D27" i="7"/>
  <c r="L26" i="7"/>
  <c r="D26" i="7"/>
  <c r="C25" i="7"/>
  <c r="D25" i="7" s="1"/>
  <c r="K24" i="7"/>
  <c r="L24" i="7" s="1"/>
  <c r="J24" i="7"/>
  <c r="I24" i="7"/>
  <c r="C24" i="7"/>
  <c r="E24" i="7" s="1"/>
  <c r="K23" i="7"/>
  <c r="I23" i="7"/>
  <c r="L23" i="7" s="1"/>
  <c r="E23" i="7"/>
  <c r="K22" i="7"/>
  <c r="E22" i="7"/>
  <c r="K21" i="7"/>
  <c r="L21" i="7" s="1"/>
  <c r="C21" i="7"/>
  <c r="I22" i="7" s="1"/>
  <c r="L22" i="7" s="1"/>
  <c r="C20" i="7"/>
  <c r="F20" i="7" s="1"/>
  <c r="J19" i="7"/>
  <c r="C19" i="7"/>
  <c r="F19" i="7" s="1"/>
  <c r="C18" i="7"/>
  <c r="F18" i="7" s="1"/>
  <c r="C17" i="7"/>
  <c r="F17" i="7" s="1"/>
  <c r="C16" i="7"/>
  <c r="F16" i="7" s="1"/>
  <c r="C15" i="7"/>
  <c r="E15" i="7" s="1"/>
  <c r="C14" i="7"/>
  <c r="J11" i="7" s="1"/>
  <c r="C13" i="7"/>
  <c r="E13" i="7" s="1"/>
  <c r="C12" i="7"/>
  <c r="D12" i="7" s="1"/>
  <c r="C11" i="7"/>
  <c r="E11" i="7" s="1"/>
  <c r="C10" i="7"/>
  <c r="J9" i="7"/>
  <c r="C9" i="7"/>
  <c r="F9" i="7" s="1"/>
  <c r="C8" i="7"/>
  <c r="F8" i="7" s="1"/>
  <c r="C7" i="7"/>
  <c r="F7" i="7" s="1"/>
  <c r="C155" i="7" l="1"/>
  <c r="E14" i="7"/>
  <c r="H9" i="7"/>
  <c r="I9" i="7" s="1"/>
  <c r="C84" i="7"/>
  <c r="D21" i="7"/>
  <c r="C134" i="7"/>
  <c r="C156" i="7" s="1"/>
  <c r="J10" i="7"/>
  <c r="G93" i="7"/>
  <c r="H93" i="7" s="1"/>
  <c r="I93" i="7" s="1"/>
  <c r="F71" i="7"/>
  <c r="G130" i="7" s="1"/>
  <c r="D71" i="7"/>
  <c r="C151" i="7"/>
  <c r="C108" i="7"/>
  <c r="G108" i="7" s="1"/>
  <c r="H40" i="7"/>
  <c r="J12" i="7"/>
  <c r="J22" i="7"/>
  <c r="H25" i="7"/>
  <c r="D29" i="7"/>
  <c r="C112" i="7"/>
  <c r="J23" i="7"/>
  <c r="L31" i="7"/>
  <c r="O31" i="7" s="1"/>
  <c r="F10" i="7"/>
  <c r="F52" i="7" s="1"/>
  <c r="D115" i="7"/>
  <c r="D76" i="7"/>
  <c r="I10" i="7" l="1"/>
  <c r="I12" i="7"/>
  <c r="C118" i="7"/>
  <c r="I11" i="7"/>
  <c r="D52" i="7"/>
  <c r="H95" i="7"/>
  <c r="I95" i="7" s="1"/>
  <c r="M31" i="7"/>
  <c r="H94" i="7"/>
  <c r="I94" i="7" s="1"/>
  <c r="C126" i="7"/>
  <c r="F120" i="7"/>
  <c r="H26" i="7"/>
  <c r="J26" i="7" s="1"/>
  <c r="H29" i="7"/>
  <c r="J29" i="7" s="1"/>
  <c r="K25" i="7"/>
  <c r="H30" i="7"/>
  <c r="J30" i="7" s="1"/>
  <c r="H28" i="7"/>
  <c r="J28" i="7" s="1"/>
  <c r="S31" i="7"/>
  <c r="T31" i="7" s="1"/>
  <c r="O32" i="7"/>
  <c r="O30" i="7"/>
  <c r="S30" i="7" s="1"/>
  <c r="O33" i="7"/>
  <c r="C159" i="7"/>
  <c r="C154" i="7"/>
  <c r="C185" i="7"/>
  <c r="M33" i="7"/>
  <c r="D118" i="7"/>
  <c r="D120" i="7" s="1"/>
  <c r="C160" i="7"/>
  <c r="S32" i="7" l="1"/>
  <c r="C30" i="7"/>
  <c r="C66" i="7"/>
  <c r="C124" i="7"/>
  <c r="C122" i="7"/>
  <c r="C183" i="7" s="1"/>
  <c r="C123" i="7"/>
  <c r="C136" i="7" s="1"/>
  <c r="C150" i="7" l="1"/>
  <c r="H31" i="7"/>
  <c r="K31" i="7" s="1"/>
  <c r="P31" i="7" s="1"/>
  <c r="E30" i="7"/>
  <c r="L32" i="7"/>
  <c r="M32" i="7" s="1"/>
  <c r="C52" i="7"/>
  <c r="C120" i="7" s="1"/>
  <c r="H27" i="7"/>
  <c r="J27" i="7" s="1"/>
  <c r="C142" i="7"/>
  <c r="E66" i="7"/>
  <c r="E71" i="7" s="1"/>
  <c r="C71" i="7"/>
  <c r="C129" i="7"/>
  <c r="C168" i="7" l="1"/>
  <c r="C130" i="7"/>
  <c r="D130" i="7" s="1"/>
  <c r="F129" i="7"/>
  <c r="F130" i="7" s="1"/>
  <c r="D169" i="7"/>
  <c r="C181" i="7"/>
  <c r="C184" i="7" s="1"/>
  <c r="C186" i="7" s="1"/>
  <c r="C187" i="7" s="1"/>
  <c r="C149" i="7"/>
  <c r="C152" i="7" s="1"/>
  <c r="E52" i="7"/>
  <c r="E120" i="7" s="1"/>
  <c r="G120" i="7" s="1"/>
  <c r="H120" i="7" s="1"/>
  <c r="C131" i="7" l="1"/>
  <c r="D131" i="7" l="1"/>
  <c r="C137" i="7"/>
  <c r="C158" i="7" l="1"/>
  <c r="C138" i="7"/>
  <c r="C170" i="7"/>
  <c r="D170" i="7" s="1"/>
  <c r="C188" i="7" l="1"/>
  <c r="C161" i="7"/>
  <c r="C163" i="7" s="1"/>
  <c r="O74" i="5" l="1"/>
  <c r="O67" i="5" l="1"/>
  <c r="O85" i="5"/>
  <c r="O57" i="5" l="1"/>
  <c r="AW163" i="2" l="1"/>
  <c r="AX490" i="2"/>
  <c r="AX489" i="2"/>
  <c r="AX488" i="2"/>
  <c r="AX487" i="2"/>
  <c r="AX485" i="2"/>
  <c r="AX479" i="2"/>
  <c r="AX473" i="2"/>
  <c r="AX465" i="2"/>
  <c r="AX464" i="2"/>
  <c r="AX461" i="2"/>
  <c r="AX460" i="2"/>
  <c r="AX459" i="2"/>
  <c r="AX458" i="2"/>
  <c r="AX457" i="2"/>
  <c r="AX456" i="2"/>
  <c r="AX454" i="2"/>
  <c r="AX453" i="2"/>
  <c r="AX452" i="2"/>
  <c r="AX451" i="2"/>
  <c r="AX450" i="2"/>
  <c r="AX449" i="2"/>
  <c r="AX448" i="2"/>
  <c r="AX447" i="2"/>
  <c r="AX446" i="2"/>
  <c r="AX445" i="2"/>
  <c r="AX444" i="2"/>
  <c r="AX443" i="2"/>
  <c r="AX442" i="2"/>
  <c r="AX441" i="2"/>
  <c r="AX440" i="2"/>
  <c r="AX439" i="2"/>
  <c r="AX438" i="2"/>
  <c r="AX437" i="2"/>
  <c r="AX435" i="2"/>
  <c r="AX434" i="2"/>
  <c r="AX433" i="2"/>
  <c r="AX432" i="2"/>
  <c r="AX425" i="2"/>
  <c r="AX423" i="2"/>
  <c r="AX422" i="2"/>
  <c r="AX421" i="2"/>
  <c r="AX420" i="2"/>
  <c r="AX419" i="2"/>
  <c r="AX418" i="2"/>
  <c r="AX417" i="2"/>
  <c r="AX416" i="2"/>
  <c r="AX415" i="2"/>
  <c r="AX414" i="2"/>
  <c r="AX413" i="2"/>
  <c r="AX412" i="2"/>
  <c r="AX411" i="2"/>
  <c r="AX407" i="2"/>
  <c r="AX406" i="2"/>
  <c r="AX405" i="2"/>
  <c r="AX401" i="2"/>
  <c r="AX400" i="2"/>
  <c r="AX399" i="2"/>
  <c r="AX398" i="2"/>
  <c r="AX397" i="2"/>
  <c r="AX396" i="2"/>
  <c r="AX395" i="2"/>
  <c r="AX394" i="2"/>
  <c r="AX393" i="2"/>
  <c r="AX392" i="2"/>
  <c r="AX391" i="2"/>
  <c r="AX390" i="2"/>
  <c r="AX386" i="2"/>
  <c r="AX385" i="2"/>
  <c r="AX384" i="2"/>
  <c r="AX382" i="2"/>
  <c r="AX381" i="2"/>
  <c r="AX380" i="2"/>
  <c r="AX378" i="2"/>
  <c r="AX377" i="2"/>
  <c r="AX376" i="2"/>
  <c r="AX373" i="2"/>
  <c r="AX372" i="2"/>
  <c r="AX371" i="2"/>
  <c r="AX369" i="2"/>
  <c r="AX368" i="2"/>
  <c r="AX367" i="2"/>
  <c r="AX366" i="2"/>
  <c r="AX365" i="2"/>
  <c r="AX364" i="2"/>
  <c r="AX359" i="2"/>
  <c r="AX358" i="2"/>
  <c r="AX357" i="2"/>
  <c r="AX356" i="2"/>
  <c r="AX355" i="2"/>
  <c r="AX354" i="2"/>
  <c r="AX352" i="2"/>
  <c r="AX351" i="2"/>
  <c r="AX350" i="2"/>
  <c r="AX348" i="2"/>
  <c r="AX347" i="2"/>
  <c r="AX346" i="2"/>
  <c r="AX344" i="2"/>
  <c r="AX343" i="2"/>
  <c r="AX342" i="2"/>
  <c r="AX341" i="2"/>
  <c r="AX340" i="2"/>
  <c r="AX339" i="2"/>
  <c r="AX335" i="2"/>
  <c r="AX334" i="2"/>
  <c r="AX333" i="2"/>
  <c r="AX332" i="2"/>
  <c r="AX331" i="2"/>
  <c r="AX330" i="2"/>
  <c r="AX329" i="2"/>
  <c r="AX328" i="2"/>
  <c r="AX325" i="2"/>
  <c r="AX324" i="2"/>
  <c r="AX320" i="2"/>
  <c r="AX319" i="2"/>
  <c r="AX318" i="2"/>
  <c r="AX314" i="2"/>
  <c r="AX312" i="2"/>
  <c r="AX309" i="2"/>
  <c r="AX308" i="2"/>
  <c r="AX307" i="2"/>
  <c r="AX306" i="2"/>
  <c r="AX305" i="2"/>
  <c r="AX304" i="2"/>
  <c r="AX302" i="2"/>
  <c r="AX301" i="2"/>
  <c r="AX300" i="2"/>
  <c r="AX299" i="2"/>
  <c r="AX298" i="2"/>
  <c r="AX297" i="2"/>
  <c r="AX294" i="2"/>
  <c r="AX293" i="2"/>
  <c r="AX290" i="2"/>
  <c r="AX289" i="2"/>
  <c r="AX288" i="2"/>
  <c r="AX287" i="2"/>
  <c r="AX284" i="2"/>
  <c r="AX283" i="2"/>
  <c r="AX282" i="2"/>
  <c r="AX281" i="2"/>
  <c r="AX280" i="2"/>
  <c r="AX279" i="2"/>
  <c r="AX273" i="2"/>
  <c r="AX272" i="2"/>
  <c r="AX271" i="2"/>
  <c r="AX270" i="2"/>
  <c r="AX269" i="2"/>
  <c r="AX267" i="2"/>
  <c r="AX266" i="2"/>
  <c r="AX265" i="2"/>
  <c r="AX264" i="2"/>
  <c r="AX263" i="2"/>
  <c r="AX262" i="2"/>
  <c r="AX258" i="2"/>
  <c r="AX256" i="2"/>
  <c r="AX253" i="2"/>
  <c r="AX252" i="2"/>
  <c r="AX243" i="2"/>
  <c r="AX236" i="2"/>
  <c r="AX235" i="2"/>
  <c r="AX228" i="2"/>
  <c r="AX227" i="2"/>
  <c r="AX226" i="2"/>
  <c r="AX225" i="2"/>
  <c r="AX224" i="2"/>
  <c r="AX223" i="2"/>
  <c r="AX222" i="2"/>
  <c r="AX220" i="2"/>
  <c r="AX217" i="2"/>
  <c r="AX216" i="2"/>
  <c r="AX215" i="2"/>
  <c r="AX214" i="2"/>
  <c r="AX213" i="2"/>
  <c r="AX212" i="2"/>
  <c r="AX211" i="2"/>
  <c r="AX210" i="2"/>
  <c r="AX209" i="2"/>
  <c r="AX208" i="2"/>
  <c r="AX207" i="2"/>
  <c r="AX206" i="2"/>
  <c r="AX205" i="2"/>
  <c r="AX204" i="2"/>
  <c r="AX203" i="2"/>
  <c r="AX202" i="2"/>
  <c r="AX201" i="2"/>
  <c r="AX200" i="2"/>
  <c r="AX199" i="2"/>
  <c r="AX198" i="2"/>
  <c r="AX197" i="2"/>
  <c r="AX196" i="2"/>
  <c r="AX195" i="2"/>
  <c r="AX194" i="2"/>
  <c r="AX193" i="2"/>
  <c r="AX192" i="2"/>
  <c r="AX190" i="2"/>
  <c r="AX186" i="2"/>
  <c r="AX183" i="2"/>
  <c r="AX182" i="2"/>
  <c r="AX181" i="2"/>
  <c r="AX180" i="2"/>
  <c r="AX179" i="2"/>
  <c r="AX178" i="2"/>
  <c r="AX177" i="2"/>
  <c r="AX176" i="2"/>
  <c r="AX175" i="2"/>
  <c r="AX174" i="2"/>
  <c r="AX173" i="2"/>
  <c r="AX172" i="2"/>
  <c r="AX171" i="2"/>
  <c r="AX170" i="2"/>
  <c r="AX169" i="2"/>
  <c r="AX168" i="2"/>
  <c r="AX167" i="2"/>
  <c r="AX166" i="2"/>
  <c r="AX163" i="2"/>
  <c r="AX162" i="2"/>
  <c r="AX158" i="2"/>
  <c r="AX157" i="2"/>
  <c r="AX156" i="2"/>
  <c r="AX154" i="2"/>
  <c r="AX153" i="2"/>
  <c r="AX152" i="2"/>
  <c r="AX151" i="2"/>
  <c r="AX150" i="2"/>
  <c r="AX149" i="2"/>
  <c r="AX145" i="2"/>
  <c r="AX144" i="2"/>
  <c r="AX143" i="2"/>
  <c r="AX141" i="2"/>
  <c r="AX140" i="2"/>
  <c r="AX139" i="2"/>
  <c r="AX133" i="2"/>
  <c r="AX132" i="2"/>
  <c r="AX131" i="2"/>
  <c r="AX130" i="2"/>
  <c r="AX129" i="2"/>
  <c r="AX128" i="2"/>
  <c r="AX127" i="2"/>
  <c r="AX126" i="2"/>
  <c r="AX125" i="2"/>
  <c r="AX124" i="2"/>
  <c r="AX123" i="2"/>
  <c r="AX122" i="2"/>
  <c r="AX121" i="2"/>
  <c r="AX120" i="2"/>
  <c r="AX119" i="2"/>
  <c r="AX118" i="2"/>
  <c r="AX117" i="2"/>
  <c r="AX111" i="2"/>
  <c r="AX110" i="2"/>
  <c r="AX109" i="2"/>
  <c r="AX108" i="2"/>
  <c r="AX107" i="2"/>
  <c r="AX106" i="2"/>
  <c r="AX99" i="2"/>
  <c r="AX98" i="2"/>
  <c r="AX95" i="2"/>
  <c r="AX92" i="2"/>
  <c r="AX89" i="2"/>
  <c r="AX85" i="2"/>
  <c r="AX82" i="2"/>
  <c r="AX76" i="2"/>
  <c r="AX75" i="2"/>
  <c r="AX74" i="2"/>
  <c r="AX72" i="2"/>
  <c r="AX71" i="2"/>
  <c r="AX70" i="2"/>
  <c r="AX69" i="2"/>
  <c r="AX66" i="2"/>
  <c r="AX65" i="2"/>
  <c r="AX64" i="2"/>
  <c r="AX63" i="2"/>
  <c r="AX62" i="2"/>
  <c r="AX61" i="2"/>
  <c r="AX60" i="2"/>
  <c r="AX59" i="2"/>
  <c r="AX58" i="2"/>
  <c r="AX49" i="2"/>
  <c r="AX48" i="2"/>
  <c r="AX47" i="2"/>
  <c r="AX46" i="2"/>
  <c r="AX45" i="2"/>
  <c r="AX43" i="2"/>
  <c r="AX42" i="2"/>
  <c r="AX41" i="2"/>
  <c r="AX39" i="2"/>
  <c r="AX38" i="2"/>
  <c r="AX35" i="2"/>
  <c r="AX34" i="2"/>
  <c r="AX33" i="2"/>
  <c r="AX30" i="2"/>
  <c r="AX29" i="2"/>
  <c r="AX27" i="2"/>
  <c r="AX26" i="2"/>
  <c r="AX25" i="2"/>
  <c r="AX24" i="2"/>
  <c r="AX21" i="2"/>
  <c r="AX20" i="2"/>
  <c r="AX19" i="2"/>
  <c r="AX18" i="2"/>
  <c r="AX17" i="2"/>
  <c r="AX16" i="2"/>
  <c r="AX14" i="2"/>
  <c r="AX13" i="2"/>
  <c r="AX12" i="2"/>
  <c r="AX11" i="2"/>
  <c r="AX10" i="2"/>
  <c r="AX6" i="2"/>
  <c r="AX491" i="2" s="1"/>
  <c r="AS487" i="2"/>
  <c r="AS479" i="2"/>
  <c r="AS435" i="2"/>
  <c r="AS434" i="2"/>
  <c r="AS433" i="2"/>
  <c r="AS432" i="2"/>
  <c r="AS421" i="2"/>
  <c r="AS192" i="2"/>
  <c r="AT192" i="2" s="1"/>
  <c r="Y491" i="2"/>
  <c r="Y485" i="3"/>
  <c r="J432" i="4"/>
  <c r="Z564" i="1"/>
  <c r="AX479" i="1"/>
  <c r="AX466" i="1"/>
  <c r="AX465" i="1"/>
  <c r="AX464" i="1"/>
  <c r="AX463" i="1"/>
  <c r="AX462" i="1"/>
  <c r="AX460" i="1"/>
  <c r="AX456" i="1"/>
  <c r="AX454" i="1"/>
  <c r="AX452" i="1"/>
  <c r="AX451" i="1"/>
  <c r="AX448" i="1"/>
  <c r="AX379" i="1"/>
  <c r="AX376" i="1"/>
  <c r="AX373" i="1"/>
  <c r="AX372" i="1"/>
  <c r="AX370" i="1"/>
  <c r="AX369" i="1"/>
  <c r="AX341" i="1"/>
  <c r="AX274" i="1"/>
  <c r="AX269" i="1"/>
  <c r="AX267" i="1"/>
  <c r="AX236" i="1"/>
  <c r="AX235" i="1"/>
  <c r="AX214" i="1"/>
  <c r="AX213" i="1"/>
  <c r="AX212" i="1"/>
  <c r="AX211" i="1"/>
  <c r="AX209" i="1"/>
  <c r="AX208" i="1"/>
  <c r="AX206" i="1"/>
  <c r="AX203" i="1"/>
  <c r="AX194" i="1"/>
  <c r="AX190" i="1"/>
  <c r="AX182" i="1"/>
  <c r="AX70" i="1"/>
  <c r="AX49" i="1"/>
  <c r="AX48" i="1"/>
  <c r="AX47" i="1"/>
  <c r="AX46" i="1"/>
  <c r="AX43" i="1"/>
  <c r="AX42" i="1"/>
  <c r="AX40" i="1"/>
  <c r="AX37" i="1"/>
  <c r="AX22" i="1"/>
  <c r="AX18" i="1"/>
  <c r="AX17" i="1"/>
  <c r="AX15" i="1"/>
  <c r="AX14" i="1"/>
  <c r="AX13" i="1"/>
  <c r="AX12" i="1"/>
  <c r="AX10" i="1"/>
  <c r="AX9" i="1"/>
  <c r="F508" i="5"/>
  <c r="D508" i="5"/>
  <c r="F507" i="5"/>
  <c r="D507" i="5"/>
  <c r="F506" i="5"/>
  <c r="D506" i="5"/>
  <c r="F505" i="5"/>
  <c r="D505" i="5"/>
  <c r="F504" i="5"/>
  <c r="D504" i="5"/>
  <c r="H503" i="5"/>
  <c r="F503" i="5"/>
  <c r="D503" i="5"/>
  <c r="F502" i="5"/>
  <c r="D502" i="5"/>
  <c r="H500" i="5"/>
  <c r="F500" i="5"/>
  <c r="H499" i="5"/>
  <c r="F499" i="5"/>
  <c r="F498" i="5"/>
  <c r="F497" i="5"/>
  <c r="D497" i="5"/>
  <c r="F490" i="5"/>
  <c r="D490" i="5"/>
  <c r="F489" i="5"/>
  <c r="D489" i="5"/>
  <c r="D488" i="5"/>
  <c r="H486" i="5"/>
  <c r="F486" i="5"/>
  <c r="D486" i="5"/>
  <c r="AT275" i="1"/>
  <c r="AU275" i="1" s="1"/>
  <c r="H494" i="2"/>
  <c r="I494" i="2"/>
  <c r="J494" i="2"/>
  <c r="K494" i="2"/>
  <c r="L494" i="2"/>
  <c r="M494" i="2"/>
  <c r="N494" i="2"/>
  <c r="O494" i="2"/>
  <c r="P494" i="2"/>
  <c r="Q494" i="2"/>
  <c r="R494" i="2"/>
  <c r="S494" i="2"/>
  <c r="T494" i="2"/>
  <c r="U494" i="2"/>
  <c r="V494" i="2"/>
  <c r="W494" i="2"/>
  <c r="X494" i="2"/>
  <c r="AT377" i="1"/>
  <c r="AU377" i="1" s="1"/>
  <c r="AT380" i="1"/>
  <c r="AU380" i="1" s="1"/>
  <c r="F479" i="5"/>
  <c r="D479" i="5"/>
  <c r="C479" i="5"/>
  <c r="I479" i="5" s="1"/>
  <c r="H476" i="5"/>
  <c r="H475" i="5"/>
  <c r="F475" i="5"/>
  <c r="AT563" i="1"/>
  <c r="AU563" i="1" s="1"/>
  <c r="AT562" i="1"/>
  <c r="AU562" i="1" s="1"/>
  <c r="AT561" i="1"/>
  <c r="AU561" i="1" s="1"/>
  <c r="AT560" i="1"/>
  <c r="AT559" i="1"/>
  <c r="AU559" i="1" s="1"/>
  <c r="AT558" i="1"/>
  <c r="AU558" i="1" s="1"/>
  <c r="AT557" i="1"/>
  <c r="AU557" i="1" s="1"/>
  <c r="AT555" i="1"/>
  <c r="AU555" i="1" s="1"/>
  <c r="AT549" i="1"/>
  <c r="AU549" i="1" s="1"/>
  <c r="AT548" i="1"/>
  <c r="AU548" i="1" s="1"/>
  <c r="AT547" i="1"/>
  <c r="AU547" i="1" s="1"/>
  <c r="AT546" i="1"/>
  <c r="AU546" i="1" s="1"/>
  <c r="AT544" i="1"/>
  <c r="AU544" i="1" s="1"/>
  <c r="AT538" i="1"/>
  <c r="AU538" i="1" s="1"/>
  <c r="AT530" i="1"/>
  <c r="AU530" i="1" s="1"/>
  <c r="AT529" i="1"/>
  <c r="AU529" i="1" s="1"/>
  <c r="AT526" i="1"/>
  <c r="AU526" i="1" s="1"/>
  <c r="AT525" i="1"/>
  <c r="AU525" i="1" s="1"/>
  <c r="AT524" i="1"/>
  <c r="AU524" i="1" s="1"/>
  <c r="AT523" i="1"/>
  <c r="AU523" i="1" s="1"/>
  <c r="AT522" i="1"/>
  <c r="AU522" i="1" s="1"/>
  <c r="AT521" i="1"/>
  <c r="AU521" i="1" s="1"/>
  <c r="AT519" i="1"/>
  <c r="AU519" i="1" s="1"/>
  <c r="AT518" i="1"/>
  <c r="AU518" i="1" s="1"/>
  <c r="AT517" i="1"/>
  <c r="AU517" i="1" s="1"/>
  <c r="AT516" i="1"/>
  <c r="AU516" i="1" s="1"/>
  <c r="AT515" i="1"/>
  <c r="AU515" i="1" s="1"/>
  <c r="AT514" i="1"/>
  <c r="AU514" i="1" s="1"/>
  <c r="AT513" i="1"/>
  <c r="AU513" i="1" s="1"/>
  <c r="AT512" i="1"/>
  <c r="AU512" i="1" s="1"/>
  <c r="AT511" i="1"/>
  <c r="AU511" i="1" s="1"/>
  <c r="AT510" i="1"/>
  <c r="AU510" i="1" s="1"/>
  <c r="AT509" i="1"/>
  <c r="AU509" i="1" s="1"/>
  <c r="AT508" i="1"/>
  <c r="AU508" i="1" s="1"/>
  <c r="AT507" i="1"/>
  <c r="AU507" i="1" s="1"/>
  <c r="AT506" i="1"/>
  <c r="AU506" i="1" s="1"/>
  <c r="AT505" i="1"/>
  <c r="AU505" i="1" s="1"/>
  <c r="AT504" i="1"/>
  <c r="AU504" i="1" s="1"/>
  <c r="AT503" i="1"/>
  <c r="AU503" i="1" s="1"/>
  <c r="AT502" i="1"/>
  <c r="AU502" i="1" s="1"/>
  <c r="AT500" i="1"/>
  <c r="AU500" i="1" s="1"/>
  <c r="AT499" i="1"/>
  <c r="AU499" i="1" s="1"/>
  <c r="AT498" i="1"/>
  <c r="AU498" i="1" s="1"/>
  <c r="AT497" i="1"/>
  <c r="AT490" i="1"/>
  <c r="AU490" i="1" s="1"/>
  <c r="AT488" i="1"/>
  <c r="AU488" i="1" s="1"/>
  <c r="AT487" i="1"/>
  <c r="AU487" i="1" s="1"/>
  <c r="AT486" i="1"/>
  <c r="C274" i="5" s="1"/>
  <c r="I274" i="5" s="1"/>
  <c r="AT485" i="1"/>
  <c r="AU485" i="1" s="1"/>
  <c r="AT484" i="1"/>
  <c r="AU484" i="1" s="1"/>
  <c r="AT483" i="1"/>
  <c r="AU483" i="1" s="1"/>
  <c r="AT482" i="1"/>
  <c r="C270" i="5" s="1"/>
  <c r="I270" i="5" s="1"/>
  <c r="AT481" i="1"/>
  <c r="AU481" i="1" s="1"/>
  <c r="AT480" i="1"/>
  <c r="C268" i="5" s="1"/>
  <c r="I268" i="5" s="1"/>
  <c r="AU479" i="1"/>
  <c r="AT478" i="1"/>
  <c r="AU478" i="1" s="1"/>
  <c r="AT477" i="1"/>
  <c r="AU477" i="1" s="1"/>
  <c r="AT476" i="1"/>
  <c r="AU476" i="1" s="1"/>
  <c r="AT472" i="1"/>
  <c r="AU472" i="1" s="1"/>
  <c r="AT471" i="1"/>
  <c r="AU471" i="1" s="1"/>
  <c r="AT470" i="1"/>
  <c r="AU470" i="1" s="1"/>
  <c r="C258" i="5"/>
  <c r="I258" i="5" s="1"/>
  <c r="AU465" i="1"/>
  <c r="C261" i="5"/>
  <c r="I261" i="5" s="1"/>
  <c r="AU462" i="1"/>
  <c r="AU460" i="1"/>
  <c r="AT459" i="1"/>
  <c r="AU459" i="1" s="1"/>
  <c r="AU456" i="1"/>
  <c r="AT455" i="1"/>
  <c r="AU455" i="1" s="1"/>
  <c r="AU454" i="1"/>
  <c r="AT453" i="1"/>
  <c r="AU452" i="1"/>
  <c r="AU451" i="1"/>
  <c r="AT439" i="1"/>
  <c r="AU439" i="1" s="1"/>
  <c r="AT438" i="1"/>
  <c r="AU438" i="1" s="1"/>
  <c r="AT437" i="1"/>
  <c r="AU437" i="1" s="1"/>
  <c r="AT432" i="1"/>
  <c r="AU432" i="1" s="1"/>
  <c r="AT431" i="1"/>
  <c r="AU431" i="1" s="1"/>
  <c r="AT430" i="1"/>
  <c r="AU430" i="1" s="1"/>
  <c r="AT429" i="1"/>
  <c r="AU429" i="1" s="1"/>
  <c r="AT428" i="1"/>
  <c r="AU428" i="1" s="1"/>
  <c r="AT427" i="1"/>
  <c r="AU427" i="1" s="1"/>
  <c r="AT425" i="1"/>
  <c r="AU425" i="1" s="1"/>
  <c r="AT424" i="1"/>
  <c r="AU424" i="1" s="1"/>
  <c r="AT423" i="1"/>
  <c r="AU423" i="1" s="1"/>
  <c r="AT421" i="1"/>
  <c r="AU421" i="1" s="1"/>
  <c r="AT420" i="1"/>
  <c r="AU420" i="1" s="1"/>
  <c r="AT419" i="1"/>
  <c r="AU419" i="1" s="1"/>
  <c r="AT417" i="1"/>
  <c r="AU417" i="1" s="1"/>
  <c r="AT416" i="1"/>
  <c r="AU416" i="1" s="1"/>
  <c r="AT415" i="1"/>
  <c r="AU415" i="1" s="1"/>
  <c r="AT414" i="1"/>
  <c r="AU414" i="1" s="1"/>
  <c r="AT413" i="1"/>
  <c r="AU413" i="1" s="1"/>
  <c r="AT412" i="1"/>
  <c r="AU412" i="1" s="1"/>
  <c r="AT411" i="1"/>
  <c r="AU411" i="1" s="1"/>
  <c r="AT407" i="1"/>
  <c r="AU407" i="1" s="1"/>
  <c r="AT406" i="1"/>
  <c r="AU406" i="1" s="1"/>
  <c r="AT405" i="1"/>
  <c r="C215" i="5" s="1"/>
  <c r="I215" i="5" s="1"/>
  <c r="AT404" i="1"/>
  <c r="AU404" i="1" s="1"/>
  <c r="AT403" i="1"/>
  <c r="C210" i="5" s="1"/>
  <c r="I210" i="5" s="1"/>
  <c r="AT402" i="1"/>
  <c r="AU402" i="1" s="1"/>
  <c r="AT401" i="1"/>
  <c r="AU401" i="1" s="1"/>
  <c r="AT400" i="1"/>
  <c r="C207" i="5" s="1"/>
  <c r="I207" i="5" s="1"/>
  <c r="AT397" i="1"/>
  <c r="AU397" i="1" s="1"/>
  <c r="AT396" i="1"/>
  <c r="AU396" i="1" s="1"/>
  <c r="AT392" i="1"/>
  <c r="AT391" i="1"/>
  <c r="AU391" i="1" s="1"/>
  <c r="AT390" i="1"/>
  <c r="AU390" i="1" s="1"/>
  <c r="AT386" i="1"/>
  <c r="AU386" i="1" s="1"/>
  <c r="AT384" i="1"/>
  <c r="AU384" i="1" s="1"/>
  <c r="AT381" i="1"/>
  <c r="AU381" i="1" s="1"/>
  <c r="AU379" i="1"/>
  <c r="AT378" i="1"/>
  <c r="AU378" i="1" s="1"/>
  <c r="AU376" i="1"/>
  <c r="AT374" i="1"/>
  <c r="AU374" i="1" s="1"/>
  <c r="AU372" i="1"/>
  <c r="AT371" i="1"/>
  <c r="AU371" i="1" s="1"/>
  <c r="AU370" i="1"/>
  <c r="AT366" i="1"/>
  <c r="C187" i="5" s="1"/>
  <c r="I187" i="5" s="1"/>
  <c r="AT365" i="1"/>
  <c r="AU365" i="1" s="1"/>
  <c r="AT362" i="1"/>
  <c r="C396" i="5" s="1"/>
  <c r="I396" i="5" s="1"/>
  <c r="AT361" i="1"/>
  <c r="AU361" i="1" s="1"/>
  <c r="AT360" i="1"/>
  <c r="AU360" i="1" s="1"/>
  <c r="AT359" i="1"/>
  <c r="AU359" i="1" s="1"/>
  <c r="AT356" i="1"/>
  <c r="AU356" i="1" s="1"/>
  <c r="AT355" i="1"/>
  <c r="AT354" i="1"/>
  <c r="AU354" i="1" s="1"/>
  <c r="AT353" i="1"/>
  <c r="AU353" i="1" s="1"/>
  <c r="AT352" i="1"/>
  <c r="AU352" i="1" s="1"/>
  <c r="AT351" i="1"/>
  <c r="AT345" i="1"/>
  <c r="C171" i="5" s="1"/>
  <c r="I171" i="5" s="1"/>
  <c r="AT342" i="1"/>
  <c r="C168" i="5" s="1"/>
  <c r="I168" i="5" s="1"/>
  <c r="AU341" i="1"/>
  <c r="AT340" i="1"/>
  <c r="AU340" i="1" s="1"/>
  <c r="AT339" i="1"/>
  <c r="AU339" i="1" s="1"/>
  <c r="AT334" i="1"/>
  <c r="AU334" i="1" s="1"/>
  <c r="AT332" i="1"/>
  <c r="AU332" i="1" s="1"/>
  <c r="AT329" i="1"/>
  <c r="AU329" i="1" s="1"/>
  <c r="AT319" i="1"/>
  <c r="AU319" i="1" s="1"/>
  <c r="AT318" i="1"/>
  <c r="AU318" i="1" s="1"/>
  <c r="AT317" i="1"/>
  <c r="AU317" i="1" s="1"/>
  <c r="AT316" i="1"/>
  <c r="AU316" i="1" s="1"/>
  <c r="AT315" i="1"/>
  <c r="AU315" i="1" s="1"/>
  <c r="AT314" i="1"/>
  <c r="AU314" i="1" s="1"/>
  <c r="AT313" i="1"/>
  <c r="AU313" i="1" s="1"/>
  <c r="AT312" i="1"/>
  <c r="AU312" i="1" s="1"/>
  <c r="AT311" i="1"/>
  <c r="AT310" i="1"/>
  <c r="AU310" i="1" s="1"/>
  <c r="AT309" i="1"/>
  <c r="AU309" i="1" s="1"/>
  <c r="AT308" i="1"/>
  <c r="AU308" i="1" s="1"/>
  <c r="AT307" i="1"/>
  <c r="AU307" i="1" s="1"/>
  <c r="AT292" i="1"/>
  <c r="AU292" i="1" s="1"/>
  <c r="AT291" i="1"/>
  <c r="AU291" i="1" s="1"/>
  <c r="AT290" i="1"/>
  <c r="AT289" i="1"/>
  <c r="AU289" i="1" s="1"/>
  <c r="AT286" i="1"/>
  <c r="AU286" i="1" s="1"/>
  <c r="AT281" i="1"/>
  <c r="AU281" i="1" s="1"/>
  <c r="AU278" i="1"/>
  <c r="AT277" i="1"/>
  <c r="AU277" i="1" s="1"/>
  <c r="AT276" i="1"/>
  <c r="C137" i="5" s="1"/>
  <c r="I137" i="5" s="1"/>
  <c r="AU274" i="1"/>
  <c r="AT273" i="1"/>
  <c r="AU273" i="1" s="1"/>
  <c r="AT272" i="1"/>
  <c r="AU272" i="1" s="1"/>
  <c r="AT270" i="1"/>
  <c r="AU270" i="1" s="1"/>
  <c r="AU269" i="1"/>
  <c r="AU268" i="1"/>
  <c r="C134" i="5"/>
  <c r="I134" i="5" s="1"/>
  <c r="AT266" i="1"/>
  <c r="AU266" i="1" s="1"/>
  <c r="AT265" i="1"/>
  <c r="C131" i="5" s="1"/>
  <c r="I131" i="5" s="1"/>
  <c r="AT264" i="1"/>
  <c r="AU264" i="1" s="1"/>
  <c r="AT263" i="1"/>
  <c r="AU263" i="1" s="1"/>
  <c r="AT262" i="1"/>
  <c r="AU262" i="1" s="1"/>
  <c r="AT261" i="1"/>
  <c r="AT260" i="1"/>
  <c r="C346" i="5" s="1"/>
  <c r="I346" i="5" s="1"/>
  <c r="AT259" i="1"/>
  <c r="AU259" i="1" s="1"/>
  <c r="AT257" i="1"/>
  <c r="AU257" i="1" s="1"/>
  <c r="AT252" i="1"/>
  <c r="AT251" i="1"/>
  <c r="AU251" i="1" s="1"/>
  <c r="AT250" i="1"/>
  <c r="AU250" i="1" s="1"/>
  <c r="AT240" i="1"/>
  <c r="AU240" i="1" s="1"/>
  <c r="AT232" i="1"/>
  <c r="AU232" i="1" s="1"/>
  <c r="C110" i="5"/>
  <c r="I110" i="5" s="1"/>
  <c r="C109" i="5"/>
  <c r="I109" i="5" s="1"/>
  <c r="C32" i="5"/>
  <c r="I32" i="5" s="1"/>
  <c r="C30" i="5"/>
  <c r="I30" i="5" s="1"/>
  <c r="C29" i="5"/>
  <c r="I29" i="5" s="1"/>
  <c r="AU206" i="1"/>
  <c r="C25" i="5"/>
  <c r="I25" i="5" s="1"/>
  <c r="AU194" i="1"/>
  <c r="C383" i="5"/>
  <c r="I383" i="5" s="1"/>
  <c r="AU182" i="1"/>
  <c r="AT166" i="1"/>
  <c r="AU166" i="1" s="1"/>
  <c r="AT162" i="1"/>
  <c r="C88" i="5" s="1"/>
  <c r="I88" i="5" s="1"/>
  <c r="AT125" i="1"/>
  <c r="AU125" i="1" s="1"/>
  <c r="AT124" i="1"/>
  <c r="AU124" i="1" s="1"/>
  <c r="AT123" i="1"/>
  <c r="C67" i="5" s="1"/>
  <c r="I67" i="5" s="1"/>
  <c r="AT122" i="1"/>
  <c r="AU122" i="1" s="1"/>
  <c r="AT121" i="1"/>
  <c r="AT120" i="1"/>
  <c r="AU120" i="1" s="1"/>
  <c r="AT113" i="1"/>
  <c r="AU113" i="1" s="1"/>
  <c r="AT109" i="1"/>
  <c r="AU109" i="1" s="1"/>
  <c r="AT105" i="1"/>
  <c r="C36" i="5"/>
  <c r="I36" i="5" s="1"/>
  <c r="AT300" i="1"/>
  <c r="C159" i="5" s="1"/>
  <c r="I159" i="5" s="1"/>
  <c r="AT299" i="1"/>
  <c r="AU299" i="1" s="1"/>
  <c r="AT328" i="1"/>
  <c r="C161" i="5" s="1"/>
  <c r="I161" i="5" s="1"/>
  <c r="AX1" i="1"/>
  <c r="AT288" i="1"/>
  <c r="AU288" i="1" s="1"/>
  <c r="AT253" i="1"/>
  <c r="AU253" i="1" s="1"/>
  <c r="AT249" i="1"/>
  <c r="AU249" i="1" s="1"/>
  <c r="AT243" i="1"/>
  <c r="AU243" i="1" s="1"/>
  <c r="AT242" i="1"/>
  <c r="AU242" i="1" s="1"/>
  <c r="AT241" i="1"/>
  <c r="AU241" i="1" s="1"/>
  <c r="AT239" i="1"/>
  <c r="AU239" i="1" s="1"/>
  <c r="AT238" i="1"/>
  <c r="AU238" i="1" s="1"/>
  <c r="AT237" i="1"/>
  <c r="AU237" i="1" s="1"/>
  <c r="AT229" i="1"/>
  <c r="AU229" i="1" s="1"/>
  <c r="AT228" i="1"/>
  <c r="AU228" i="1" s="1"/>
  <c r="AT227" i="1"/>
  <c r="AU227" i="1" s="1"/>
  <c r="AT225" i="1"/>
  <c r="AU225" i="1" s="1"/>
  <c r="AT224" i="1"/>
  <c r="AU224" i="1" s="1"/>
  <c r="AT223" i="1"/>
  <c r="AU223" i="1" s="1"/>
  <c r="AT222" i="1"/>
  <c r="AU222" i="1" s="1"/>
  <c r="AT221" i="1"/>
  <c r="AU221" i="1" s="1"/>
  <c r="AT220" i="1"/>
  <c r="AU220" i="1" s="1"/>
  <c r="AT219" i="1"/>
  <c r="AU219" i="1" s="1"/>
  <c r="AT218" i="1"/>
  <c r="AU218" i="1" s="1"/>
  <c r="AT202" i="1"/>
  <c r="AU202" i="1" s="1"/>
  <c r="AT201" i="1"/>
  <c r="AU201" i="1" s="1"/>
  <c r="AU200" i="1"/>
  <c r="AT197" i="1"/>
  <c r="AU197" i="1" s="1"/>
  <c r="AT196" i="1"/>
  <c r="AU196" i="1" s="1"/>
  <c r="AT193" i="1"/>
  <c r="AU193" i="1" s="1"/>
  <c r="AT192" i="1"/>
  <c r="AU192" i="1" s="1"/>
  <c r="AT189" i="1"/>
  <c r="AU189" i="1" s="1"/>
  <c r="AT188" i="1"/>
  <c r="AU188" i="1" s="1"/>
  <c r="AT185" i="1"/>
  <c r="AU185" i="1" s="1"/>
  <c r="AT184" i="1"/>
  <c r="AU184" i="1" s="1"/>
  <c r="AT179" i="1"/>
  <c r="AU179" i="1" s="1"/>
  <c r="AT172" i="1"/>
  <c r="AU172" i="1" s="1"/>
  <c r="AT169" i="1"/>
  <c r="AU169" i="1" s="1"/>
  <c r="AT165" i="1"/>
  <c r="AU165" i="1" s="1"/>
  <c r="AT156" i="1"/>
  <c r="AU156" i="1" s="1"/>
  <c r="AT155" i="1"/>
  <c r="AU155" i="1" s="1"/>
  <c r="AT154" i="1"/>
  <c r="AU154" i="1" s="1"/>
  <c r="AT153" i="1"/>
  <c r="AU153" i="1" s="1"/>
  <c r="AT152" i="1"/>
  <c r="AU152" i="1" s="1"/>
  <c r="AT151" i="1"/>
  <c r="AU151" i="1" s="1"/>
  <c r="AT150" i="1"/>
  <c r="AU150" i="1" s="1"/>
  <c r="AT149" i="1"/>
  <c r="AU149" i="1" s="1"/>
  <c r="AT148" i="1"/>
  <c r="AU148" i="1" s="1"/>
  <c r="AT147" i="1"/>
  <c r="AU147" i="1" s="1"/>
  <c r="AT146" i="1"/>
  <c r="AU146" i="1" s="1"/>
  <c r="AT145" i="1"/>
  <c r="AU145" i="1" s="1"/>
  <c r="AT144" i="1"/>
  <c r="AU144" i="1" s="1"/>
  <c r="AT143" i="1"/>
  <c r="AU143" i="1" s="1"/>
  <c r="AT142" i="1"/>
  <c r="AU142" i="1" s="1"/>
  <c r="AT141" i="1"/>
  <c r="AU141" i="1" s="1"/>
  <c r="AT140" i="1"/>
  <c r="AU140" i="1" s="1"/>
  <c r="AT139" i="1"/>
  <c r="AU139" i="1" s="1"/>
  <c r="AT138" i="1"/>
  <c r="AU138" i="1" s="1"/>
  <c r="AT137" i="1"/>
  <c r="AU137" i="1" s="1"/>
  <c r="AT136" i="1"/>
  <c r="AU136" i="1" s="1"/>
  <c r="AT135" i="1"/>
  <c r="AU135" i="1" s="1"/>
  <c r="AT134" i="1"/>
  <c r="AU134" i="1" s="1"/>
  <c r="AT133" i="1"/>
  <c r="AU133" i="1" s="1"/>
  <c r="AT132" i="1"/>
  <c r="AU132" i="1" s="1"/>
  <c r="AT131" i="1"/>
  <c r="AU131" i="1" s="1"/>
  <c r="AT108" i="1"/>
  <c r="AU108" i="1" s="1"/>
  <c r="AT102" i="1"/>
  <c r="AU102" i="1" s="1"/>
  <c r="AT99" i="1"/>
  <c r="AU99" i="1" s="1"/>
  <c r="AT95" i="1"/>
  <c r="AU95" i="1" s="1"/>
  <c r="AT92" i="1"/>
  <c r="AU92" i="1" s="1"/>
  <c r="AT86" i="1"/>
  <c r="AU86" i="1" s="1"/>
  <c r="AT85" i="1"/>
  <c r="AU85" i="1" s="1"/>
  <c r="AT84" i="1"/>
  <c r="AU84" i="1" s="1"/>
  <c r="AT83" i="1"/>
  <c r="AU83" i="1" s="1"/>
  <c r="AT77" i="1"/>
  <c r="AU77" i="1" s="1"/>
  <c r="AT76" i="1"/>
  <c r="AT75" i="1"/>
  <c r="AU75" i="1" s="1"/>
  <c r="AT74" i="1"/>
  <c r="AU74" i="1" s="1"/>
  <c r="AT73" i="1"/>
  <c r="AU73" i="1" s="1"/>
  <c r="AT69" i="1"/>
  <c r="AT271" i="1"/>
  <c r="AU271" i="1" s="1"/>
  <c r="AT244" i="1"/>
  <c r="AU244" i="1" s="1"/>
  <c r="AT66" i="1"/>
  <c r="AU66" i="1" s="1"/>
  <c r="AT65" i="1"/>
  <c r="AU65" i="1" s="1"/>
  <c r="AT64" i="1"/>
  <c r="AU64" i="1" s="1"/>
  <c r="AT63" i="1"/>
  <c r="AU63" i="1" s="1"/>
  <c r="AT62" i="1"/>
  <c r="AU62" i="1" s="1"/>
  <c r="AT61" i="1"/>
  <c r="AT60" i="1"/>
  <c r="AU60" i="1" s="1"/>
  <c r="AT59" i="1"/>
  <c r="AU59" i="1" s="1"/>
  <c r="AT58" i="1"/>
  <c r="AU58" i="1" s="1"/>
  <c r="AT287" i="1"/>
  <c r="AT248" i="1"/>
  <c r="AU248" i="1" s="1"/>
  <c r="AT344" i="1"/>
  <c r="AU344" i="1" s="1"/>
  <c r="AT285" i="1"/>
  <c r="AU285" i="1" s="1"/>
  <c r="AT247" i="1"/>
  <c r="AU247" i="1" s="1"/>
  <c r="AT205" i="1"/>
  <c r="AT210" i="1"/>
  <c r="AU210" i="1" s="1"/>
  <c r="AT207" i="1"/>
  <c r="AU207" i="1" s="1"/>
  <c r="AT284" i="1"/>
  <c r="AU284" i="1" s="1"/>
  <c r="AT246" i="1"/>
  <c r="AU246" i="1" s="1"/>
  <c r="AT283" i="1"/>
  <c r="AU283" i="1" s="1"/>
  <c r="AT245" i="1"/>
  <c r="C447" i="5"/>
  <c r="I447" i="5" s="1"/>
  <c r="D447" i="5"/>
  <c r="F447" i="5"/>
  <c r="C448" i="5"/>
  <c r="I448" i="5" s="1"/>
  <c r="D448" i="5"/>
  <c r="F448" i="5"/>
  <c r="AT322" i="4"/>
  <c r="AT190" i="4"/>
  <c r="H447" i="5" s="1"/>
  <c r="AT431" i="4"/>
  <c r="H446" i="5" s="1"/>
  <c r="F446" i="5"/>
  <c r="D446" i="5"/>
  <c r="C446" i="5"/>
  <c r="I446" i="5" s="1"/>
  <c r="C407" i="5"/>
  <c r="I407" i="5" s="1"/>
  <c r="D407" i="5"/>
  <c r="F407" i="5"/>
  <c r="C408" i="5"/>
  <c r="I408" i="5" s="1"/>
  <c r="D408" i="5"/>
  <c r="F408" i="5"/>
  <c r="C409" i="5"/>
  <c r="I409" i="5" s="1"/>
  <c r="D409" i="5"/>
  <c r="F409" i="5"/>
  <c r="C410" i="5"/>
  <c r="I410" i="5" s="1"/>
  <c r="D410" i="5"/>
  <c r="F410" i="5"/>
  <c r="C411" i="5"/>
  <c r="I411" i="5" s="1"/>
  <c r="D411" i="5"/>
  <c r="F411" i="5"/>
  <c r="C412" i="5"/>
  <c r="I412" i="5" s="1"/>
  <c r="D412" i="5"/>
  <c r="F412" i="5"/>
  <c r="C413" i="5"/>
  <c r="I413" i="5" s="1"/>
  <c r="D413" i="5"/>
  <c r="F413" i="5"/>
  <c r="C414" i="5"/>
  <c r="I414" i="5" s="1"/>
  <c r="D414" i="5"/>
  <c r="F414" i="5"/>
  <c r="C415" i="5"/>
  <c r="I415" i="5" s="1"/>
  <c r="D415" i="5"/>
  <c r="F415" i="5"/>
  <c r="C416" i="5"/>
  <c r="I416" i="5" s="1"/>
  <c r="D416" i="5"/>
  <c r="F416" i="5"/>
  <c r="C417" i="5"/>
  <c r="I417" i="5" s="1"/>
  <c r="D417" i="5"/>
  <c r="F417" i="5"/>
  <c r="C418" i="5"/>
  <c r="I418" i="5" s="1"/>
  <c r="D418" i="5"/>
  <c r="F418" i="5"/>
  <c r="C419" i="5"/>
  <c r="I419" i="5" s="1"/>
  <c r="D419" i="5"/>
  <c r="F419" i="5"/>
  <c r="C420" i="5"/>
  <c r="I420" i="5" s="1"/>
  <c r="D420" i="5"/>
  <c r="F420" i="5"/>
  <c r="C421" i="5"/>
  <c r="I421" i="5" s="1"/>
  <c r="D421" i="5"/>
  <c r="F421" i="5"/>
  <c r="C422" i="5"/>
  <c r="I422" i="5" s="1"/>
  <c r="D422" i="5"/>
  <c r="F422" i="5"/>
  <c r="C423" i="5"/>
  <c r="I423" i="5" s="1"/>
  <c r="D423" i="5"/>
  <c r="F423" i="5"/>
  <c r="C424" i="5"/>
  <c r="I424" i="5" s="1"/>
  <c r="D424" i="5"/>
  <c r="F424" i="5"/>
  <c r="C425" i="5"/>
  <c r="I425" i="5" s="1"/>
  <c r="D425" i="5"/>
  <c r="F425" i="5"/>
  <c r="C426" i="5"/>
  <c r="I426" i="5" s="1"/>
  <c r="D426" i="5"/>
  <c r="F426" i="5"/>
  <c r="C427" i="5"/>
  <c r="I427" i="5" s="1"/>
  <c r="D427" i="5"/>
  <c r="F427" i="5"/>
  <c r="C428" i="5"/>
  <c r="I428" i="5" s="1"/>
  <c r="D428" i="5"/>
  <c r="F428" i="5"/>
  <c r="C429" i="5"/>
  <c r="I429" i="5" s="1"/>
  <c r="D429" i="5"/>
  <c r="F429" i="5"/>
  <c r="C430" i="5"/>
  <c r="I430" i="5" s="1"/>
  <c r="D430" i="5"/>
  <c r="F430" i="5"/>
  <c r="C431" i="5"/>
  <c r="I431" i="5" s="1"/>
  <c r="D431" i="5"/>
  <c r="F431" i="5"/>
  <c r="C432" i="5"/>
  <c r="I432" i="5" s="1"/>
  <c r="D432" i="5"/>
  <c r="F432" i="5"/>
  <c r="C433" i="5"/>
  <c r="I433" i="5" s="1"/>
  <c r="D433" i="5"/>
  <c r="F433" i="5"/>
  <c r="C434" i="5"/>
  <c r="I434" i="5" s="1"/>
  <c r="D434" i="5"/>
  <c r="F434" i="5"/>
  <c r="C435" i="5"/>
  <c r="I435" i="5" s="1"/>
  <c r="D435" i="5"/>
  <c r="F435" i="5"/>
  <c r="C436" i="5"/>
  <c r="I436" i="5" s="1"/>
  <c r="D436" i="5"/>
  <c r="F436" i="5"/>
  <c r="C437" i="5"/>
  <c r="I437" i="5" s="1"/>
  <c r="D437" i="5"/>
  <c r="F437" i="5"/>
  <c r="C438" i="5"/>
  <c r="I438" i="5" s="1"/>
  <c r="D438" i="5"/>
  <c r="F438" i="5"/>
  <c r="C439" i="5"/>
  <c r="I439" i="5" s="1"/>
  <c r="D439" i="5"/>
  <c r="F439" i="5"/>
  <c r="C440" i="5"/>
  <c r="I440" i="5" s="1"/>
  <c r="D440" i="5"/>
  <c r="F440" i="5"/>
  <c r="C441" i="5"/>
  <c r="I441" i="5" s="1"/>
  <c r="D441" i="5"/>
  <c r="F441" i="5"/>
  <c r="C442" i="5"/>
  <c r="I442" i="5" s="1"/>
  <c r="D442" i="5"/>
  <c r="F442" i="5"/>
  <c r="C443" i="5"/>
  <c r="I443" i="5" s="1"/>
  <c r="D443" i="5"/>
  <c r="F443" i="5"/>
  <c r="C444" i="5"/>
  <c r="I444" i="5" s="1"/>
  <c r="D444" i="5"/>
  <c r="F444" i="5"/>
  <c r="C445" i="5"/>
  <c r="I445" i="5" s="1"/>
  <c r="D445" i="5"/>
  <c r="F445" i="5"/>
  <c r="AT344" i="4"/>
  <c r="AU344" i="4" s="1"/>
  <c r="AT343" i="4"/>
  <c r="AU343" i="4" s="1"/>
  <c r="AT340" i="4"/>
  <c r="AU340" i="4" s="1"/>
  <c r="AT339" i="4"/>
  <c r="AU339" i="4" s="1"/>
  <c r="AT336" i="4"/>
  <c r="AU336" i="4" s="1"/>
  <c r="AT335" i="4"/>
  <c r="AU335" i="4" s="1"/>
  <c r="AT331" i="4"/>
  <c r="AU331" i="4" s="1"/>
  <c r="AT330" i="4"/>
  <c r="AU330" i="4" s="1"/>
  <c r="AT328" i="4"/>
  <c r="AU328" i="4" s="1"/>
  <c r="AT327" i="4"/>
  <c r="AT320" i="4"/>
  <c r="AU320" i="4" s="1"/>
  <c r="AT318" i="4"/>
  <c r="H434" i="5" s="1"/>
  <c r="AT317" i="4"/>
  <c r="AU317" i="4" s="1"/>
  <c r="AT274" i="4"/>
  <c r="AU274" i="4" s="1"/>
  <c r="AT272" i="4"/>
  <c r="AU272" i="4" s="1"/>
  <c r="AT269" i="4"/>
  <c r="AU269" i="4" s="1"/>
  <c r="AT268" i="4"/>
  <c r="AU268" i="4" s="1"/>
  <c r="AT267" i="4"/>
  <c r="AT266" i="4"/>
  <c r="AU266" i="4" s="1"/>
  <c r="AT265" i="4"/>
  <c r="AU265" i="4" s="1"/>
  <c r="AT264" i="4"/>
  <c r="AU264" i="4" s="1"/>
  <c r="AT262" i="4"/>
  <c r="AU262" i="4" s="1"/>
  <c r="AT261" i="4"/>
  <c r="AU261" i="4" s="1"/>
  <c r="AT260" i="4"/>
  <c r="AU260" i="4" s="1"/>
  <c r="AT259" i="4"/>
  <c r="AU259" i="4" s="1"/>
  <c r="AT258" i="4"/>
  <c r="AU258" i="4" s="1"/>
  <c r="AT257" i="4"/>
  <c r="AU257" i="4" s="1"/>
  <c r="AT255" i="4"/>
  <c r="AU255" i="4" s="1"/>
  <c r="AT254" i="4"/>
  <c r="AT253" i="4"/>
  <c r="AU253" i="4" s="1"/>
  <c r="AT252" i="4"/>
  <c r="AU252" i="4" s="1"/>
  <c r="AT251" i="4"/>
  <c r="AU251" i="4" s="1"/>
  <c r="AT250" i="4"/>
  <c r="AU250" i="4" s="1"/>
  <c r="AT243" i="4"/>
  <c r="H412" i="5" s="1"/>
  <c r="AT241" i="4"/>
  <c r="AU241" i="4" s="1"/>
  <c r="AT240" i="4"/>
  <c r="AU240" i="4" s="1"/>
  <c r="AT237" i="4"/>
  <c r="AU237" i="4" s="1"/>
  <c r="AT235" i="4"/>
  <c r="H498" i="5" s="1"/>
  <c r="AT233" i="4"/>
  <c r="AU233" i="4" s="1"/>
  <c r="AT232" i="4"/>
  <c r="AU232" i="4" s="1"/>
  <c r="AT231" i="4"/>
  <c r="AU231" i="4" s="1"/>
  <c r="AT230" i="4"/>
  <c r="AT342" i="4"/>
  <c r="AU342" i="4" s="1"/>
  <c r="AT338" i="4"/>
  <c r="AU338" i="4" s="1"/>
  <c r="AT334" i="4"/>
  <c r="AU334" i="4" s="1"/>
  <c r="AT329" i="4"/>
  <c r="AT326" i="4"/>
  <c r="AU326" i="4" s="1"/>
  <c r="AT319" i="4"/>
  <c r="AU319" i="4" s="1"/>
  <c r="AT315" i="4"/>
  <c r="AU315" i="4" s="1"/>
  <c r="AT310" i="4"/>
  <c r="AU310" i="4" s="1"/>
  <c r="AT305" i="4"/>
  <c r="AU305" i="4" s="1"/>
  <c r="AT303" i="4"/>
  <c r="AU303" i="4" s="1"/>
  <c r="AT236" i="4"/>
  <c r="AU236" i="4" s="1"/>
  <c r="AT234" i="4"/>
  <c r="AU234" i="4" s="1"/>
  <c r="C399" i="5"/>
  <c r="I399" i="5" s="1"/>
  <c r="D399" i="5"/>
  <c r="F399" i="5"/>
  <c r="C400" i="5"/>
  <c r="I400" i="5" s="1"/>
  <c r="D400" i="5"/>
  <c r="F400" i="5"/>
  <c r="C401" i="5"/>
  <c r="I401" i="5" s="1"/>
  <c r="D401" i="5"/>
  <c r="F401" i="5"/>
  <c r="C402" i="5"/>
  <c r="I402" i="5" s="1"/>
  <c r="D402" i="5"/>
  <c r="F402" i="5"/>
  <c r="C403" i="5"/>
  <c r="I403" i="5" s="1"/>
  <c r="D403" i="5"/>
  <c r="F403" i="5"/>
  <c r="C404" i="5"/>
  <c r="I404" i="5" s="1"/>
  <c r="D404" i="5"/>
  <c r="F404" i="5"/>
  <c r="C405" i="5"/>
  <c r="I405" i="5" s="1"/>
  <c r="D405" i="5"/>
  <c r="F405" i="5"/>
  <c r="C406" i="5"/>
  <c r="I406" i="5" s="1"/>
  <c r="D406" i="5"/>
  <c r="F406" i="5"/>
  <c r="AT321" i="4"/>
  <c r="AU321" i="4" s="1"/>
  <c r="AT358" i="4"/>
  <c r="AU358" i="4" s="1"/>
  <c r="AT293" i="4"/>
  <c r="AT282" i="4"/>
  <c r="AU282" i="4" s="1"/>
  <c r="AT33" i="4"/>
  <c r="AU33" i="4" s="1"/>
  <c r="AT31" i="4"/>
  <c r="AU31" i="4" s="1"/>
  <c r="AT92" i="4"/>
  <c r="AU92" i="4" s="1"/>
  <c r="AT32" i="4"/>
  <c r="AU32" i="4" s="1"/>
  <c r="AT30" i="4"/>
  <c r="H373" i="5"/>
  <c r="P373" i="5" s="1"/>
  <c r="S373" i="5" s="1"/>
  <c r="V373" i="5" s="1"/>
  <c r="H366" i="5"/>
  <c r="H364" i="5"/>
  <c r="H363" i="5"/>
  <c r="H362" i="5"/>
  <c r="H361" i="5"/>
  <c r="H360" i="5"/>
  <c r="H359" i="5"/>
  <c r="H358" i="5"/>
  <c r="H357" i="5"/>
  <c r="H356" i="5"/>
  <c r="H355" i="5"/>
  <c r="H351" i="5"/>
  <c r="H309" i="5"/>
  <c r="H308" i="5"/>
  <c r="P308" i="5" s="1"/>
  <c r="S308" i="5" s="1"/>
  <c r="V308" i="5" s="1"/>
  <c r="H278" i="5"/>
  <c r="H277" i="5"/>
  <c r="H276" i="5"/>
  <c r="H275" i="5"/>
  <c r="P275" i="5" s="1"/>
  <c r="S275" i="5" s="1"/>
  <c r="V275" i="5" s="1"/>
  <c r="H273" i="5"/>
  <c r="H272" i="5"/>
  <c r="H271" i="5"/>
  <c r="H270" i="5"/>
  <c r="H263" i="5"/>
  <c r="H262" i="5"/>
  <c r="H261" i="5"/>
  <c r="H258" i="5"/>
  <c r="H257" i="5"/>
  <c r="H173" i="5"/>
  <c r="H167" i="5"/>
  <c r="H149" i="5"/>
  <c r="H135" i="5"/>
  <c r="H133" i="5"/>
  <c r="H132" i="5"/>
  <c r="P132" i="5" s="1"/>
  <c r="S132" i="5" s="1"/>
  <c r="V132" i="5" s="1"/>
  <c r="AU424" i="4"/>
  <c r="AU322" i="4"/>
  <c r="AU318" i="4"/>
  <c r="AU245" i="4"/>
  <c r="AU215" i="4"/>
  <c r="AU214" i="4"/>
  <c r="AU210" i="4"/>
  <c r="AU190" i="4"/>
  <c r="AU188" i="4"/>
  <c r="AU187" i="4"/>
  <c r="AU142" i="4"/>
  <c r="AU139" i="4"/>
  <c r="AU106" i="4"/>
  <c r="AU87" i="4"/>
  <c r="AU72" i="4"/>
  <c r="AU71" i="4"/>
  <c r="AU69" i="4"/>
  <c r="AU68" i="4"/>
  <c r="AU28" i="4"/>
  <c r="AU27" i="4"/>
  <c r="AU26" i="4"/>
  <c r="AU25" i="4"/>
  <c r="AT430" i="4"/>
  <c r="H350" i="5" s="1"/>
  <c r="P350" i="5" s="1"/>
  <c r="S350" i="5" s="1"/>
  <c r="V350" i="5" s="1"/>
  <c r="AT429" i="4"/>
  <c r="H349" i="5" s="1"/>
  <c r="P349" i="5" s="1"/>
  <c r="S349" i="5" s="1"/>
  <c r="V349" i="5" s="1"/>
  <c r="AT428" i="4"/>
  <c r="H347" i="5" s="1"/>
  <c r="AT427" i="4"/>
  <c r="AT426" i="4"/>
  <c r="AU426" i="4" s="1"/>
  <c r="AT425" i="4"/>
  <c r="H274" i="5" s="1"/>
  <c r="AT423" i="4"/>
  <c r="AU423" i="4" s="1"/>
  <c r="AT422" i="4"/>
  <c r="AU422" i="4" s="1"/>
  <c r="AT421" i="4"/>
  <c r="AU421" i="4" s="1"/>
  <c r="AT420" i="4"/>
  <c r="AU420" i="4" s="1"/>
  <c r="AT419" i="4"/>
  <c r="AU419" i="4" s="1"/>
  <c r="AT417" i="4"/>
  <c r="AU417" i="4" s="1"/>
  <c r="AT411" i="4"/>
  <c r="AU411" i="4" s="1"/>
  <c r="AT409" i="4"/>
  <c r="AU409" i="4" s="1"/>
  <c r="AT403" i="4"/>
  <c r="AU403" i="4" s="1"/>
  <c r="AT395" i="4"/>
  <c r="AU395" i="4" s="1"/>
  <c r="AT394" i="4"/>
  <c r="AU394" i="4" s="1"/>
  <c r="AT393" i="4"/>
  <c r="AU393" i="4" s="1"/>
  <c r="AT389" i="4"/>
  <c r="AU389" i="4" s="1"/>
  <c r="AT388" i="4"/>
  <c r="AU388" i="4" s="1"/>
  <c r="AT387" i="4"/>
  <c r="AU387" i="4" s="1"/>
  <c r="AT386" i="4"/>
  <c r="AU386" i="4" s="1"/>
  <c r="AT385" i="4"/>
  <c r="AU385" i="4" s="1"/>
  <c r="AT384" i="4"/>
  <c r="AU384" i="4" s="1"/>
  <c r="AT383" i="4"/>
  <c r="AU383" i="4" s="1"/>
  <c r="AT382" i="4"/>
  <c r="AU382" i="4" s="1"/>
  <c r="AT381" i="4"/>
  <c r="AU381" i="4" s="1"/>
  <c r="AT380" i="4"/>
  <c r="AU380" i="4" s="1"/>
  <c r="AT379" i="4"/>
  <c r="AU379" i="4" s="1"/>
  <c r="AT378" i="4"/>
  <c r="AU378" i="4" s="1"/>
  <c r="AT374" i="4"/>
  <c r="AU374" i="4" s="1"/>
  <c r="AT373" i="4"/>
  <c r="AU373" i="4" s="1"/>
  <c r="AT372" i="4"/>
  <c r="AU372" i="4" s="1"/>
  <c r="AT367" i="4"/>
  <c r="H213" i="5" s="1"/>
  <c r="AT357" i="4"/>
  <c r="AU357" i="4" s="1"/>
  <c r="AT356" i="4"/>
  <c r="AU356" i="4" s="1"/>
  <c r="AT355" i="4"/>
  <c r="AU355" i="4" s="1"/>
  <c r="AT351" i="4"/>
  <c r="AU351" i="4" s="1"/>
  <c r="AT350" i="4"/>
  <c r="AU350" i="4" s="1"/>
  <c r="AT349" i="4"/>
  <c r="AT348" i="4"/>
  <c r="AU348" i="4" s="1"/>
  <c r="AT314" i="4"/>
  <c r="AU314" i="4" s="1"/>
  <c r="AT313" i="4"/>
  <c r="AU313" i="4" s="1"/>
  <c r="AT312" i="4"/>
  <c r="AU312" i="4" s="1"/>
  <c r="AT309" i="4"/>
  <c r="AU309" i="4" s="1"/>
  <c r="AT308" i="4"/>
  <c r="AU308" i="4" s="1"/>
  <c r="AT307" i="4"/>
  <c r="AU307" i="4" s="1"/>
  <c r="AT304" i="4"/>
  <c r="AU304" i="4" s="1"/>
  <c r="AT302" i="4"/>
  <c r="AT301" i="4"/>
  <c r="AT300" i="4"/>
  <c r="AT299" i="4"/>
  <c r="AU299" i="4" s="1"/>
  <c r="AT298" i="4"/>
  <c r="H495" i="5" s="1"/>
  <c r="AT294" i="4"/>
  <c r="AU294" i="4" s="1"/>
  <c r="AT292" i="4"/>
  <c r="AT291" i="4"/>
  <c r="AU291" i="4" s="1"/>
  <c r="AT290" i="4"/>
  <c r="AU290" i="4" s="1"/>
  <c r="AT287" i="4"/>
  <c r="H354" i="5" s="1"/>
  <c r="AT286" i="4"/>
  <c r="AU286" i="4" s="1"/>
  <c r="AT279" i="4"/>
  <c r="AU279" i="4" s="1"/>
  <c r="AT278" i="4"/>
  <c r="H480" i="5" s="1"/>
  <c r="AT246" i="4"/>
  <c r="AT242" i="4"/>
  <c r="AT224" i="4"/>
  <c r="AU224" i="4" s="1"/>
  <c r="AT222" i="4"/>
  <c r="AT221" i="4"/>
  <c r="AT220" i="4"/>
  <c r="AU220" i="4" s="1"/>
  <c r="AT219" i="4"/>
  <c r="AT203" i="4"/>
  <c r="AT202" i="4"/>
  <c r="AT195" i="4"/>
  <c r="AU195" i="4" s="1"/>
  <c r="AT193" i="4"/>
  <c r="AT189" i="4"/>
  <c r="H175" i="5" s="1"/>
  <c r="AT186" i="4"/>
  <c r="AT185" i="4"/>
  <c r="H127" i="5" s="1"/>
  <c r="P127" i="5" s="1"/>
  <c r="S127" i="5" s="1"/>
  <c r="V127" i="5" s="1"/>
  <c r="AT184" i="4"/>
  <c r="AU184" i="4" s="1"/>
  <c r="AT183" i="4"/>
  <c r="H259" i="5" s="1"/>
  <c r="AT181" i="4"/>
  <c r="AT177" i="4"/>
  <c r="AT175" i="4"/>
  <c r="AU175" i="4" s="1"/>
  <c r="AT174" i="4"/>
  <c r="AU174" i="4" s="1"/>
  <c r="AT173" i="4"/>
  <c r="AU173" i="4" s="1"/>
  <c r="AT172" i="4"/>
  <c r="AU172" i="4" s="1"/>
  <c r="AT171" i="4"/>
  <c r="AT170" i="4"/>
  <c r="AU170" i="4" s="1"/>
  <c r="AT169" i="4"/>
  <c r="AU169" i="4" s="1"/>
  <c r="AT168" i="4"/>
  <c r="AU168" i="4" s="1"/>
  <c r="AT167" i="4"/>
  <c r="AU167" i="4" s="1"/>
  <c r="AT166" i="4"/>
  <c r="AU166" i="4" s="1"/>
  <c r="AT165" i="4"/>
  <c r="AU165" i="4" s="1"/>
  <c r="AT164" i="4"/>
  <c r="AU164" i="4" s="1"/>
  <c r="AT163" i="4"/>
  <c r="AU163" i="4" s="1"/>
  <c r="AT162" i="4"/>
  <c r="AU162" i="4" s="1"/>
  <c r="AT159" i="4"/>
  <c r="AU159" i="4" s="1"/>
  <c r="AT155" i="4"/>
  <c r="AU155" i="4" s="1"/>
  <c r="AT154" i="4"/>
  <c r="AT153" i="4"/>
  <c r="AU153" i="4" s="1"/>
  <c r="AT151" i="4"/>
  <c r="AU151" i="4" s="1"/>
  <c r="AT150" i="4"/>
  <c r="AU150" i="4" s="1"/>
  <c r="AT149" i="4"/>
  <c r="AU149" i="4" s="1"/>
  <c r="AT147" i="4"/>
  <c r="H120" i="5" s="1"/>
  <c r="AT146" i="4"/>
  <c r="AU146" i="4" s="1"/>
  <c r="AT145" i="4"/>
  <c r="AU145" i="4" s="1"/>
  <c r="AT141" i="4"/>
  <c r="AU141" i="4" s="1"/>
  <c r="AT140" i="4"/>
  <c r="AT138" i="4"/>
  <c r="AU138" i="4" s="1"/>
  <c r="AT137" i="4"/>
  <c r="AT132" i="4"/>
  <c r="AU132" i="4" s="1"/>
  <c r="AT131" i="4"/>
  <c r="AU131" i="4" s="1"/>
  <c r="AT130" i="4"/>
  <c r="AT129" i="4"/>
  <c r="AU129" i="4" s="1"/>
  <c r="AT128" i="4"/>
  <c r="AU128" i="4" s="1"/>
  <c r="AT127" i="4"/>
  <c r="AU127" i="4" s="1"/>
  <c r="AT126" i="4"/>
  <c r="AU126" i="4" s="1"/>
  <c r="AT125" i="4"/>
  <c r="AU125" i="4" s="1"/>
  <c r="AT124" i="4"/>
  <c r="AU124" i="4" s="1"/>
  <c r="AT123" i="4"/>
  <c r="AU123" i="4" s="1"/>
  <c r="AT122" i="4"/>
  <c r="AU122" i="4" s="1"/>
  <c r="AT121" i="4"/>
  <c r="AU121" i="4" s="1"/>
  <c r="AT120" i="4"/>
  <c r="AU120" i="4" s="1"/>
  <c r="AT119" i="4"/>
  <c r="AU119" i="4" s="1"/>
  <c r="AT118" i="4"/>
  <c r="AU118" i="4" s="1"/>
  <c r="AT117" i="4"/>
  <c r="AU117" i="4" s="1"/>
  <c r="AT116" i="4"/>
  <c r="AU116" i="4" s="1"/>
  <c r="AT115" i="4"/>
  <c r="AU115" i="4" s="1"/>
  <c r="AT114" i="4"/>
  <c r="AT113" i="4"/>
  <c r="AU113" i="4" s="1"/>
  <c r="AT112" i="4"/>
  <c r="H164" i="5" s="1"/>
  <c r="AT99" i="4"/>
  <c r="AT98" i="4"/>
  <c r="AT95" i="4"/>
  <c r="AU95" i="4" s="1"/>
  <c r="AT90" i="4"/>
  <c r="AU90" i="4" s="1"/>
  <c r="AT85" i="4"/>
  <c r="AU85" i="4" s="1"/>
  <c r="AT84" i="4"/>
  <c r="AU84" i="4" s="1"/>
  <c r="AT83" i="4"/>
  <c r="AU83" i="4" s="1"/>
  <c r="AT81" i="4"/>
  <c r="AU81" i="4" s="1"/>
  <c r="AT80" i="4"/>
  <c r="AU80" i="4" s="1"/>
  <c r="AT79" i="4"/>
  <c r="AU79" i="4" s="1"/>
  <c r="AT78" i="4"/>
  <c r="AU78" i="4" s="1"/>
  <c r="AT75" i="4"/>
  <c r="AT73" i="4"/>
  <c r="AU73" i="4" s="1"/>
  <c r="AT70" i="4"/>
  <c r="AU70" i="4" s="1"/>
  <c r="AT67" i="4"/>
  <c r="AU67" i="4" s="1"/>
  <c r="AT66" i="4"/>
  <c r="AU66" i="4" s="1"/>
  <c r="AT65" i="4"/>
  <c r="AT56" i="4"/>
  <c r="H130" i="5" s="1"/>
  <c r="AT55" i="4"/>
  <c r="AU55" i="4" s="1"/>
  <c r="AT54" i="4"/>
  <c r="AT53" i="4"/>
  <c r="AT52" i="4"/>
  <c r="AU52" i="4" s="1"/>
  <c r="AT50" i="4"/>
  <c r="AT49" i="4"/>
  <c r="AT48" i="4"/>
  <c r="AT47" i="4"/>
  <c r="H450" i="5" s="1"/>
  <c r="AT45" i="4"/>
  <c r="AU45" i="4" s="1"/>
  <c r="AT44" i="4"/>
  <c r="AT41" i="4"/>
  <c r="AU41" i="4" s="1"/>
  <c r="AT40" i="4"/>
  <c r="AU40" i="4" s="1"/>
  <c r="AT39" i="4"/>
  <c r="AU39" i="4" s="1"/>
  <c r="AT36" i="4"/>
  <c r="AU36" i="4" s="1"/>
  <c r="AT35" i="4"/>
  <c r="AU35" i="4" s="1"/>
  <c r="AT21" i="4"/>
  <c r="AU21" i="4" s="1"/>
  <c r="AT20" i="4"/>
  <c r="AU20" i="4" s="1"/>
  <c r="AT19" i="4"/>
  <c r="AU19" i="4" s="1"/>
  <c r="AT18" i="4"/>
  <c r="AU18" i="4" s="1"/>
  <c r="AT17" i="4"/>
  <c r="AT16" i="4"/>
  <c r="AU16" i="4" s="1"/>
  <c r="AT14" i="4"/>
  <c r="AU14" i="4" s="1"/>
  <c r="AT13" i="4"/>
  <c r="AT12" i="4"/>
  <c r="AT11" i="4"/>
  <c r="AU11" i="4" s="1"/>
  <c r="AT10" i="4"/>
  <c r="H449" i="5" s="1"/>
  <c r="AT6" i="4"/>
  <c r="H66" i="5" s="1"/>
  <c r="AS193" i="3"/>
  <c r="AS90" i="3"/>
  <c r="AT90" i="3" s="1"/>
  <c r="AS469" i="3"/>
  <c r="AT469" i="3" s="1"/>
  <c r="AS468" i="3"/>
  <c r="AT468" i="3" s="1"/>
  <c r="AS460" i="3"/>
  <c r="AT460" i="3" s="1"/>
  <c r="AS459" i="3"/>
  <c r="AT459" i="3" s="1"/>
  <c r="AS455" i="3"/>
  <c r="AT455" i="3" s="1"/>
  <c r="AS454" i="3"/>
  <c r="AT454" i="3" s="1"/>
  <c r="AS448" i="3"/>
  <c r="AS439" i="3"/>
  <c r="AT439" i="3" s="1"/>
  <c r="AS438" i="3"/>
  <c r="AT438" i="3" s="1"/>
  <c r="AS437" i="3"/>
  <c r="AT437" i="3" s="1"/>
  <c r="AS436" i="3"/>
  <c r="AT436" i="3" s="1"/>
  <c r="AS435" i="3"/>
  <c r="F372" i="5" s="1"/>
  <c r="AS429" i="3"/>
  <c r="F371" i="5" s="1"/>
  <c r="AS424" i="3"/>
  <c r="AT424" i="3" s="1"/>
  <c r="AS417" i="3"/>
  <c r="AT417" i="3" s="1"/>
  <c r="AS395" i="3"/>
  <c r="AT395" i="3" s="1"/>
  <c r="AS355" i="3"/>
  <c r="F215" i="5" s="1"/>
  <c r="F374" i="5"/>
  <c r="F310" i="5"/>
  <c r="F308" i="5"/>
  <c r="F277" i="5"/>
  <c r="F273" i="5"/>
  <c r="F272" i="5"/>
  <c r="F268" i="5"/>
  <c r="F212" i="5"/>
  <c r="F211" i="5"/>
  <c r="F173" i="5"/>
  <c r="F172" i="5"/>
  <c r="F170" i="5"/>
  <c r="F169" i="5"/>
  <c r="F163" i="5"/>
  <c r="F123" i="5"/>
  <c r="F66" i="5"/>
  <c r="F65" i="5"/>
  <c r="F64" i="5"/>
  <c r="F63" i="5"/>
  <c r="F213" i="5"/>
  <c r="AS316" i="3"/>
  <c r="AT316" i="3" s="1"/>
  <c r="AS294" i="3"/>
  <c r="F366" i="5" s="1"/>
  <c r="AS485" i="2"/>
  <c r="AS190" i="2"/>
  <c r="AT190" i="2" s="1"/>
  <c r="AS286" i="3"/>
  <c r="AT286" i="3" s="1"/>
  <c r="AS283" i="3"/>
  <c r="AS282" i="3"/>
  <c r="F364" i="5" s="1"/>
  <c r="C364" i="5"/>
  <c r="I364" i="5" s="1"/>
  <c r="D364" i="5"/>
  <c r="C365" i="5"/>
  <c r="I365" i="5" s="1"/>
  <c r="D365" i="5"/>
  <c r="C366" i="5"/>
  <c r="I366" i="5" s="1"/>
  <c r="D366" i="5"/>
  <c r="D371" i="5"/>
  <c r="C372" i="5"/>
  <c r="I372" i="5" s="1"/>
  <c r="D372" i="5"/>
  <c r="C374" i="5"/>
  <c r="I374" i="5" s="1"/>
  <c r="D374" i="5"/>
  <c r="C375" i="5"/>
  <c r="I375" i="5" s="1"/>
  <c r="D375" i="5"/>
  <c r="C376" i="5"/>
  <c r="I376" i="5" s="1"/>
  <c r="D376" i="5"/>
  <c r="AS267" i="3"/>
  <c r="AT267" i="3" s="1"/>
  <c r="AS266" i="3"/>
  <c r="AT266" i="3" s="1"/>
  <c r="AS265" i="3"/>
  <c r="AT265" i="3" s="1"/>
  <c r="AS264" i="3"/>
  <c r="AT264" i="3" s="1"/>
  <c r="AS263" i="3"/>
  <c r="AT263" i="3" s="1"/>
  <c r="AS262" i="3"/>
  <c r="AT262" i="3" s="1"/>
  <c r="AS261" i="3"/>
  <c r="AT261" i="3" s="1"/>
  <c r="AS260" i="3"/>
  <c r="AT260" i="3" s="1"/>
  <c r="AS259" i="3"/>
  <c r="AT259" i="3" s="1"/>
  <c r="AS258" i="3"/>
  <c r="AT258" i="3" s="1"/>
  <c r="AS257" i="3"/>
  <c r="D353" i="5"/>
  <c r="D354" i="5"/>
  <c r="D355" i="5"/>
  <c r="D356" i="5"/>
  <c r="D357" i="5"/>
  <c r="D358" i="5"/>
  <c r="D359" i="5"/>
  <c r="D360" i="5"/>
  <c r="D361" i="5"/>
  <c r="D362" i="5"/>
  <c r="D363" i="5"/>
  <c r="C352" i="5"/>
  <c r="I352" i="5" s="1"/>
  <c r="AS241" i="3"/>
  <c r="AT241" i="3" s="1"/>
  <c r="AS232" i="3"/>
  <c r="AS231" i="3"/>
  <c r="AS230" i="3"/>
  <c r="AS229" i="3"/>
  <c r="AS228" i="3"/>
  <c r="AS201" i="3"/>
  <c r="AS191" i="3"/>
  <c r="C345" i="5"/>
  <c r="I345" i="5" s="1"/>
  <c r="D345" i="5"/>
  <c r="D346" i="5"/>
  <c r="C347" i="5"/>
  <c r="I347" i="5" s="1"/>
  <c r="C348" i="5"/>
  <c r="I348" i="5" s="1"/>
  <c r="C349" i="5"/>
  <c r="I349" i="5" s="1"/>
  <c r="D349" i="5"/>
  <c r="C350" i="5"/>
  <c r="I350" i="5" s="1"/>
  <c r="D350" i="5"/>
  <c r="C351" i="5"/>
  <c r="I351" i="5" s="1"/>
  <c r="D351" i="5"/>
  <c r="AS180" i="3"/>
  <c r="AT180" i="3" s="1"/>
  <c r="D344" i="5"/>
  <c r="AS168" i="3"/>
  <c r="AT168" i="3" s="1"/>
  <c r="AS155" i="3"/>
  <c r="AT155" i="3" s="1"/>
  <c r="AS154" i="3"/>
  <c r="AT154" i="3" s="1"/>
  <c r="AS153" i="3"/>
  <c r="AT153" i="3" s="1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86" i="5"/>
  <c r="D39" i="5"/>
  <c r="D38" i="5"/>
  <c r="D36" i="5"/>
  <c r="AT149" i="2"/>
  <c r="C343" i="5"/>
  <c r="I343" i="5" s="1"/>
  <c r="AS138" i="3"/>
  <c r="C342" i="5"/>
  <c r="I342" i="5" s="1"/>
  <c r="AS124" i="3"/>
  <c r="C330" i="5"/>
  <c r="I330" i="5" s="1"/>
  <c r="C331" i="5"/>
  <c r="I331" i="5" s="1"/>
  <c r="C332" i="5"/>
  <c r="I332" i="5" s="1"/>
  <c r="C333" i="5"/>
  <c r="I333" i="5" s="1"/>
  <c r="C334" i="5"/>
  <c r="I334" i="5" s="1"/>
  <c r="C335" i="5"/>
  <c r="I335" i="5" s="1"/>
  <c r="C336" i="5"/>
  <c r="I336" i="5" s="1"/>
  <c r="C337" i="5"/>
  <c r="I337" i="5" s="1"/>
  <c r="C338" i="5"/>
  <c r="I338" i="5" s="1"/>
  <c r="C339" i="5"/>
  <c r="I339" i="5" s="1"/>
  <c r="C340" i="5"/>
  <c r="I340" i="5" s="1"/>
  <c r="C341" i="5"/>
  <c r="I341" i="5" s="1"/>
  <c r="AS137" i="3"/>
  <c r="AT137" i="3" s="1"/>
  <c r="AS136" i="3"/>
  <c r="AT136" i="3" s="1"/>
  <c r="AS135" i="3"/>
  <c r="AT135" i="3" s="1"/>
  <c r="AS134" i="3"/>
  <c r="AT134" i="3" s="1"/>
  <c r="AS133" i="3"/>
  <c r="AT133" i="3" s="1"/>
  <c r="AS132" i="3"/>
  <c r="AT132" i="3" s="1"/>
  <c r="AS131" i="3"/>
  <c r="AT131" i="3" s="1"/>
  <c r="AS130" i="3"/>
  <c r="AT130" i="3" s="1"/>
  <c r="AS129" i="3"/>
  <c r="AT129" i="3" s="1"/>
  <c r="AS128" i="3"/>
  <c r="AT128" i="3" s="1"/>
  <c r="AS127" i="3"/>
  <c r="AT127" i="3" s="1"/>
  <c r="AS126" i="3"/>
  <c r="AT126" i="3" s="1"/>
  <c r="AS125" i="3"/>
  <c r="AT125" i="3" s="1"/>
  <c r="AS123" i="3"/>
  <c r="AT123" i="3" s="1"/>
  <c r="AS122" i="3"/>
  <c r="AT122" i="3" s="1"/>
  <c r="AS121" i="3"/>
  <c r="AT121" i="3" s="1"/>
  <c r="AS120" i="3"/>
  <c r="AT120" i="3" s="1"/>
  <c r="AS119" i="3"/>
  <c r="AT119" i="3" s="1"/>
  <c r="AS118" i="3"/>
  <c r="C311" i="5"/>
  <c r="I311" i="5" s="1"/>
  <c r="C312" i="5"/>
  <c r="I312" i="5" s="1"/>
  <c r="C313" i="5"/>
  <c r="I313" i="5" s="1"/>
  <c r="C314" i="5"/>
  <c r="I314" i="5" s="1"/>
  <c r="C315" i="5"/>
  <c r="I315" i="5" s="1"/>
  <c r="C316" i="5"/>
  <c r="I316" i="5" s="1"/>
  <c r="C317" i="5"/>
  <c r="I317" i="5" s="1"/>
  <c r="C318" i="5"/>
  <c r="I318" i="5" s="1"/>
  <c r="C319" i="5"/>
  <c r="I319" i="5" s="1"/>
  <c r="C320" i="5"/>
  <c r="I320" i="5" s="1"/>
  <c r="C321" i="5"/>
  <c r="I321" i="5" s="1"/>
  <c r="C322" i="5"/>
  <c r="I322" i="5" s="1"/>
  <c r="C323" i="5"/>
  <c r="I323" i="5" s="1"/>
  <c r="C324" i="5"/>
  <c r="I324" i="5" s="1"/>
  <c r="C325" i="5"/>
  <c r="I325" i="5" s="1"/>
  <c r="C326" i="5"/>
  <c r="I326" i="5" s="1"/>
  <c r="C327" i="5"/>
  <c r="I327" i="5" s="1"/>
  <c r="C328" i="5"/>
  <c r="I328" i="5" s="1"/>
  <c r="C329" i="5"/>
  <c r="I329" i="5" s="1"/>
  <c r="C86" i="5"/>
  <c r="I86" i="5" s="1"/>
  <c r="C113" i="6"/>
  <c r="C75" i="6"/>
  <c r="C82" i="6"/>
  <c r="C68" i="6"/>
  <c r="C105" i="6"/>
  <c r="C57" i="6"/>
  <c r="C59" i="6"/>
  <c r="C61" i="6"/>
  <c r="C63" i="6"/>
  <c r="C114" i="6"/>
  <c r="C96" i="6"/>
  <c r="C120" i="6"/>
  <c r="C32" i="6"/>
  <c r="C101" i="6"/>
  <c r="C111" i="6"/>
  <c r="C77" i="6"/>
  <c r="C102" i="6"/>
  <c r="C29" i="6"/>
  <c r="C92" i="6"/>
  <c r="C73" i="6"/>
  <c r="C179" i="6"/>
  <c r="C165" i="6"/>
  <c r="C166" i="6"/>
  <c r="C167" i="6"/>
  <c r="C168" i="6"/>
  <c r="C169" i="6"/>
  <c r="C170" i="6"/>
  <c r="C159" i="6"/>
  <c r="C160" i="6"/>
  <c r="C161" i="6"/>
  <c r="C162" i="6"/>
  <c r="C163" i="6"/>
  <c r="C164" i="6"/>
  <c r="C171" i="6"/>
  <c r="C98" i="6"/>
  <c r="C172" i="6"/>
  <c r="C174" i="6"/>
  <c r="C173" i="6"/>
  <c r="C180" i="6"/>
  <c r="C156" i="6"/>
  <c r="C157" i="6"/>
  <c r="C158" i="6"/>
  <c r="C176" i="6"/>
  <c r="C142" i="6"/>
  <c r="C135" i="6"/>
  <c r="C136" i="6"/>
  <c r="C143" i="6"/>
  <c r="C118" i="6"/>
  <c r="C23" i="6"/>
  <c r="C88" i="6"/>
  <c r="C104" i="6"/>
  <c r="C137" i="6"/>
  <c r="C140" i="6"/>
  <c r="C145" i="6"/>
  <c r="C147" i="6"/>
  <c r="C89" i="6"/>
  <c r="C139" i="6"/>
  <c r="C115" i="6"/>
  <c r="C108" i="6"/>
  <c r="C52" i="6"/>
  <c r="C138" i="6"/>
  <c r="C40" i="6"/>
  <c r="C123" i="6"/>
  <c r="C2" i="6"/>
  <c r="C9" i="6"/>
  <c r="C27" i="6"/>
  <c r="C28" i="6"/>
  <c r="C76" i="6"/>
  <c r="C107" i="6"/>
  <c r="C5" i="6"/>
  <c r="C93" i="6"/>
  <c r="C3" i="6"/>
  <c r="C90" i="6"/>
  <c r="C91" i="6"/>
  <c r="C6" i="6"/>
  <c r="C7" i="6"/>
  <c r="C4" i="6"/>
  <c r="C17" i="6"/>
  <c r="C18" i="6"/>
  <c r="C20" i="6"/>
  <c r="C21" i="6"/>
  <c r="C10" i="6"/>
  <c r="C22" i="6"/>
  <c r="C26" i="6"/>
  <c r="C16" i="6"/>
  <c r="C13" i="6"/>
  <c r="C24" i="6"/>
  <c r="C30" i="6"/>
  <c r="C25" i="6"/>
  <c r="C69" i="6"/>
  <c r="C177" i="6"/>
  <c r="C19" i="6"/>
  <c r="C94" i="6"/>
  <c r="C122" i="6"/>
  <c r="C72" i="6"/>
  <c r="C70" i="6"/>
  <c r="C154" i="6"/>
  <c r="C43" i="6"/>
  <c r="C39" i="6"/>
  <c r="C81" i="6"/>
  <c r="C44" i="6"/>
  <c r="C46" i="6"/>
  <c r="C47" i="6"/>
  <c r="C103" i="6"/>
  <c r="C112" i="6"/>
  <c r="C45" i="6"/>
  <c r="C41" i="6"/>
  <c r="C134" i="6"/>
  <c r="C50" i="6"/>
  <c r="C125" i="6"/>
  <c r="C65" i="6"/>
  <c r="C49" i="6"/>
  <c r="C42" i="6"/>
  <c r="C48" i="6"/>
  <c r="C124" i="6"/>
  <c r="C126" i="6"/>
  <c r="C127" i="6"/>
  <c r="C128" i="6"/>
  <c r="C133" i="6"/>
  <c r="C64" i="6"/>
  <c r="C67" i="6"/>
  <c r="C130" i="6"/>
  <c r="C129" i="6"/>
  <c r="C131" i="6"/>
  <c r="C132" i="6"/>
  <c r="C144" i="6"/>
  <c r="C146" i="6"/>
  <c r="C149" i="6"/>
  <c r="C148" i="6"/>
  <c r="C150" i="6"/>
  <c r="C71" i="6"/>
  <c r="C119" i="6"/>
  <c r="C14" i="6"/>
  <c r="C15" i="6"/>
  <c r="C38" i="6"/>
  <c r="C87" i="6"/>
  <c r="C12" i="6"/>
  <c r="C155" i="6"/>
  <c r="C175" i="6"/>
  <c r="C8" i="6"/>
  <c r="C74" i="6"/>
  <c r="C100" i="6"/>
  <c r="C106" i="6"/>
  <c r="C121" i="6"/>
  <c r="C178" i="6"/>
  <c r="C79" i="6"/>
  <c r="C37" i="6"/>
  <c r="C97" i="6"/>
  <c r="C99" i="6"/>
  <c r="C80" i="6"/>
  <c r="C31" i="6"/>
  <c r="C34" i="6"/>
  <c r="C33" i="6"/>
  <c r="C86" i="6"/>
  <c r="C56" i="6"/>
  <c r="C58" i="6"/>
  <c r="C60" i="6"/>
  <c r="C62" i="6"/>
  <c r="C141" i="6"/>
  <c r="C95" i="6"/>
  <c r="C83" i="6"/>
  <c r="C55" i="6"/>
  <c r="C78" i="6"/>
  <c r="C84" i="6"/>
  <c r="C35" i="6"/>
  <c r="C51" i="6"/>
  <c r="C53" i="6"/>
  <c r="C116" i="6"/>
  <c r="C117" i="6"/>
  <c r="C54" i="6"/>
  <c r="C109" i="6"/>
  <c r="C110" i="6"/>
  <c r="C85" i="6"/>
  <c r="C66" i="6"/>
  <c r="C151" i="6"/>
  <c r="C152" i="6"/>
  <c r="C153" i="6"/>
  <c r="C36" i="6"/>
  <c r="C11" i="6"/>
  <c r="AT487" i="2"/>
  <c r="AT435" i="2"/>
  <c r="AT434" i="2"/>
  <c r="AT433" i="2"/>
  <c r="AT421" i="2"/>
  <c r="AS490" i="2"/>
  <c r="AT490" i="2" s="1"/>
  <c r="AS489" i="2"/>
  <c r="AT489" i="2" s="1"/>
  <c r="AS488" i="2"/>
  <c r="AS473" i="2"/>
  <c r="AT473" i="2" s="1"/>
  <c r="AS465" i="2"/>
  <c r="AT465" i="2" s="1"/>
  <c r="AS464" i="2"/>
  <c r="AT464" i="2" s="1"/>
  <c r="AS461" i="2"/>
  <c r="AS460" i="2"/>
  <c r="AT460" i="2" s="1"/>
  <c r="AS459" i="2"/>
  <c r="AT459" i="2" s="1"/>
  <c r="AS458" i="2"/>
  <c r="AT458" i="2" s="1"/>
  <c r="AS457" i="2"/>
  <c r="AS456" i="2"/>
  <c r="AT456" i="2" s="1"/>
  <c r="AS454" i="2"/>
  <c r="AT454" i="2" s="1"/>
  <c r="AS453" i="2"/>
  <c r="AT453" i="2" s="1"/>
  <c r="AS452" i="2"/>
  <c r="AS451" i="2"/>
  <c r="AT451" i="2" s="1"/>
  <c r="AS450" i="2"/>
  <c r="AT450" i="2" s="1"/>
  <c r="AS449" i="2"/>
  <c r="AT449" i="2" s="1"/>
  <c r="AS448" i="2"/>
  <c r="AS447" i="2"/>
  <c r="AT447" i="2" s="1"/>
  <c r="AS446" i="2"/>
  <c r="AT446" i="2" s="1"/>
  <c r="AS445" i="2"/>
  <c r="AT445" i="2" s="1"/>
  <c r="AS444" i="2"/>
  <c r="AS443" i="2"/>
  <c r="AT443" i="2" s="1"/>
  <c r="AS442" i="2"/>
  <c r="AT442" i="2" s="1"/>
  <c r="AS441" i="2"/>
  <c r="AT441" i="2" s="1"/>
  <c r="AS440" i="2"/>
  <c r="AS439" i="2"/>
  <c r="AT439" i="2" s="1"/>
  <c r="AS438" i="2"/>
  <c r="AT438" i="2" s="1"/>
  <c r="AS437" i="2"/>
  <c r="AT437" i="2" s="1"/>
  <c r="AS425" i="2"/>
  <c r="AS423" i="2"/>
  <c r="AS422" i="2"/>
  <c r="AT422" i="2" s="1"/>
  <c r="AS420" i="2"/>
  <c r="AT420" i="2" s="1"/>
  <c r="AS419" i="2"/>
  <c r="AS418" i="2"/>
  <c r="AS417" i="2"/>
  <c r="AT417" i="2" s="1"/>
  <c r="AS416" i="2"/>
  <c r="AT416" i="2" s="1"/>
  <c r="AS415" i="2"/>
  <c r="AS414" i="2"/>
  <c r="AS413" i="2"/>
  <c r="AT413" i="2" s="1"/>
  <c r="AS412" i="2"/>
  <c r="AT412" i="2" s="1"/>
  <c r="AS411" i="2"/>
  <c r="AS407" i="2"/>
  <c r="AT407" i="2" s="1"/>
  <c r="AS406" i="2"/>
  <c r="AT406" i="2" s="1"/>
  <c r="AS405" i="2"/>
  <c r="AT405" i="2" s="1"/>
  <c r="AS401" i="2"/>
  <c r="AS400" i="2"/>
  <c r="AS399" i="2"/>
  <c r="AT399" i="2" s="1"/>
  <c r="AS398" i="2"/>
  <c r="AT398" i="2" s="1"/>
  <c r="AS397" i="2"/>
  <c r="AS396" i="2"/>
  <c r="AS395" i="2"/>
  <c r="AT395" i="2" s="1"/>
  <c r="AS394" i="2"/>
  <c r="AT394" i="2" s="1"/>
  <c r="AS393" i="2"/>
  <c r="AS392" i="2"/>
  <c r="AT392" i="2" s="1"/>
  <c r="AS391" i="2"/>
  <c r="AT391" i="2" s="1"/>
  <c r="AS390" i="2"/>
  <c r="AT390" i="2" s="1"/>
  <c r="AS386" i="2"/>
  <c r="AS385" i="2"/>
  <c r="AT385" i="2" s="1"/>
  <c r="AS384" i="2"/>
  <c r="AT384" i="2" s="1"/>
  <c r="AS382" i="2"/>
  <c r="AT382" i="2" s="1"/>
  <c r="AS381" i="2"/>
  <c r="AS380" i="2"/>
  <c r="AT380" i="2" s="1"/>
  <c r="AS378" i="2"/>
  <c r="AT378" i="2" s="1"/>
  <c r="AS377" i="2"/>
  <c r="AT377" i="2" s="1"/>
  <c r="AS376" i="2"/>
  <c r="AS373" i="2"/>
  <c r="AT373" i="2" s="1"/>
  <c r="AS372" i="2"/>
  <c r="AT372" i="2" s="1"/>
  <c r="AS371" i="2"/>
  <c r="AT371" i="2" s="1"/>
  <c r="AS369" i="2"/>
  <c r="AS368" i="2"/>
  <c r="AT368" i="2" s="1"/>
  <c r="AS367" i="2"/>
  <c r="AT367" i="2" s="1"/>
  <c r="AS366" i="2"/>
  <c r="AT366" i="2" s="1"/>
  <c r="AS365" i="2"/>
  <c r="AS364" i="2"/>
  <c r="AT364" i="2" s="1"/>
  <c r="AS359" i="2"/>
  <c r="AT359" i="2" s="1"/>
  <c r="AS358" i="2"/>
  <c r="AT358" i="2" s="1"/>
  <c r="AS357" i="2"/>
  <c r="AS356" i="2"/>
  <c r="AT356" i="2" s="1"/>
  <c r="AS355" i="2"/>
  <c r="AT355" i="2" s="1"/>
  <c r="AS354" i="2"/>
  <c r="AT354" i="2" s="1"/>
  <c r="AS352" i="2"/>
  <c r="AS351" i="2"/>
  <c r="AT351" i="2" s="1"/>
  <c r="AS350" i="2"/>
  <c r="AT350" i="2" s="1"/>
  <c r="AS348" i="2"/>
  <c r="AT348" i="2" s="1"/>
  <c r="AS347" i="2"/>
  <c r="AS346" i="2"/>
  <c r="AT346" i="2" s="1"/>
  <c r="AS344" i="2"/>
  <c r="AT344" i="2" s="1"/>
  <c r="AS343" i="2"/>
  <c r="AT343" i="2" s="1"/>
  <c r="AS342" i="2"/>
  <c r="AS341" i="2"/>
  <c r="AT341" i="2" s="1"/>
  <c r="AS340" i="2"/>
  <c r="AT340" i="2" s="1"/>
  <c r="AS339" i="2"/>
  <c r="AT339" i="2" s="1"/>
  <c r="AS335" i="2"/>
  <c r="AS334" i="2"/>
  <c r="AS333" i="2"/>
  <c r="AT333" i="2" s="1"/>
  <c r="AS332" i="2"/>
  <c r="AT332" i="2" s="1"/>
  <c r="AS331" i="2"/>
  <c r="AS330" i="2"/>
  <c r="AS329" i="2"/>
  <c r="AT329" i="2" s="1"/>
  <c r="AS328" i="2"/>
  <c r="AT328" i="2" s="1"/>
  <c r="AS325" i="2"/>
  <c r="AS324" i="2"/>
  <c r="AS320" i="2"/>
  <c r="AT320" i="2" s="1"/>
  <c r="AS319" i="2"/>
  <c r="AT319" i="2" s="1"/>
  <c r="AS318" i="2"/>
  <c r="AS314" i="2"/>
  <c r="AT314" i="2" s="1"/>
  <c r="AS312" i="2"/>
  <c r="AT312" i="2" s="1"/>
  <c r="AS309" i="2"/>
  <c r="AT309" i="2" s="1"/>
  <c r="AS308" i="2"/>
  <c r="AS307" i="2"/>
  <c r="AT307" i="2" s="1"/>
  <c r="AS306" i="2"/>
  <c r="AT306" i="2" s="1"/>
  <c r="AS305" i="2"/>
  <c r="AT305" i="2" s="1"/>
  <c r="AS304" i="2"/>
  <c r="AS302" i="2"/>
  <c r="AT302" i="2" s="1"/>
  <c r="AS301" i="2"/>
  <c r="AT301" i="2" s="1"/>
  <c r="AS300" i="2"/>
  <c r="AT300" i="2" s="1"/>
  <c r="AS299" i="2"/>
  <c r="AS298" i="2"/>
  <c r="AS297" i="2"/>
  <c r="AT297" i="2" s="1"/>
  <c r="AS294" i="2"/>
  <c r="AT294" i="2" s="1"/>
  <c r="AS293" i="2"/>
  <c r="AS290" i="2"/>
  <c r="D395" i="5" s="1"/>
  <c r="AS289" i="2"/>
  <c r="AT289" i="2" s="1"/>
  <c r="AS288" i="2"/>
  <c r="AT288" i="2" s="1"/>
  <c r="AS287" i="2"/>
  <c r="AS284" i="2"/>
  <c r="AT284" i="2" s="1"/>
  <c r="AS283" i="2"/>
  <c r="AT283" i="2" s="1"/>
  <c r="AS282" i="2"/>
  <c r="AT282" i="2" s="1"/>
  <c r="AS281" i="2"/>
  <c r="AS280" i="2"/>
  <c r="AT280" i="2" s="1"/>
  <c r="AS279" i="2"/>
  <c r="AT279" i="2" s="1"/>
  <c r="AS273" i="2"/>
  <c r="AT273" i="2" s="1"/>
  <c r="AS272" i="2"/>
  <c r="AS271" i="2"/>
  <c r="AS270" i="2"/>
  <c r="AT270" i="2" s="1"/>
  <c r="AS269" i="2"/>
  <c r="AT269" i="2" s="1"/>
  <c r="AS267" i="2"/>
  <c r="AS266" i="2"/>
  <c r="AS265" i="2"/>
  <c r="AT265" i="2" s="1"/>
  <c r="AS264" i="2"/>
  <c r="AT264" i="2" s="1"/>
  <c r="AS263" i="2"/>
  <c r="AS262" i="2"/>
  <c r="D454" i="5" s="1"/>
  <c r="AS258" i="2"/>
  <c r="AT258" i="2" s="1"/>
  <c r="AS256" i="2"/>
  <c r="AT256" i="2" s="1"/>
  <c r="AS253" i="2"/>
  <c r="AS252" i="2"/>
  <c r="AS243" i="2"/>
  <c r="AT243" i="2" s="1"/>
  <c r="AS236" i="2"/>
  <c r="AT236" i="2" s="1"/>
  <c r="AS235" i="2"/>
  <c r="AS228" i="2"/>
  <c r="AT228" i="2" s="1"/>
  <c r="AS227" i="2"/>
  <c r="AT227" i="2" s="1"/>
  <c r="AS226" i="2"/>
  <c r="AT226" i="2" s="1"/>
  <c r="AS225" i="2"/>
  <c r="AS224" i="2"/>
  <c r="AT224" i="2" s="1"/>
  <c r="AS223" i="2"/>
  <c r="AT223" i="2" s="1"/>
  <c r="AS222" i="2"/>
  <c r="AT222" i="2" s="1"/>
  <c r="AS220" i="2"/>
  <c r="AS217" i="2"/>
  <c r="AS216" i="2"/>
  <c r="AT216" i="2" s="1"/>
  <c r="AS215" i="2"/>
  <c r="AT215" i="2" s="1"/>
  <c r="AS214" i="2"/>
  <c r="AS213" i="2"/>
  <c r="AS212" i="2"/>
  <c r="AT212" i="2" s="1"/>
  <c r="AS211" i="2"/>
  <c r="AT211" i="2" s="1"/>
  <c r="AS210" i="2"/>
  <c r="AS209" i="2"/>
  <c r="AS208" i="2"/>
  <c r="AT208" i="2" s="1"/>
  <c r="AS207" i="2"/>
  <c r="AT207" i="2" s="1"/>
  <c r="AS206" i="2"/>
  <c r="AS205" i="2"/>
  <c r="AS204" i="2"/>
  <c r="AT204" i="2" s="1"/>
  <c r="AS203" i="2"/>
  <c r="AT203" i="2" s="1"/>
  <c r="AS202" i="2"/>
  <c r="AS201" i="2"/>
  <c r="AS200" i="2"/>
  <c r="AT200" i="2" s="1"/>
  <c r="AS199" i="2"/>
  <c r="AT199" i="2" s="1"/>
  <c r="AS198" i="2"/>
  <c r="AS197" i="2"/>
  <c r="AS196" i="2"/>
  <c r="AT196" i="2" s="1"/>
  <c r="AS195" i="2"/>
  <c r="AT195" i="2" s="1"/>
  <c r="AS194" i="2"/>
  <c r="AS193" i="2"/>
  <c r="AS186" i="2"/>
  <c r="AT186" i="2" s="1"/>
  <c r="AS183" i="2"/>
  <c r="AT183" i="2" s="1"/>
  <c r="AS182" i="2"/>
  <c r="AT182" i="2" s="1"/>
  <c r="AS181" i="2"/>
  <c r="D487" i="5" s="1"/>
  <c r="AS180" i="2"/>
  <c r="AT180" i="2" s="1"/>
  <c r="AS179" i="2"/>
  <c r="AT179" i="2" s="1"/>
  <c r="AS178" i="2"/>
  <c r="AT178" i="2" s="1"/>
  <c r="AS177" i="2"/>
  <c r="AT177" i="2" s="1"/>
  <c r="AS176" i="2"/>
  <c r="AT176" i="2" s="1"/>
  <c r="AS175" i="2"/>
  <c r="AT175" i="2" s="1"/>
  <c r="AS174" i="2"/>
  <c r="AT174" i="2" s="1"/>
  <c r="AS173" i="2"/>
  <c r="AT173" i="2" s="1"/>
  <c r="AS172" i="2"/>
  <c r="AT172" i="2" s="1"/>
  <c r="AS171" i="2"/>
  <c r="AT171" i="2" s="1"/>
  <c r="AS170" i="2"/>
  <c r="AT170" i="2" s="1"/>
  <c r="AS169" i="2"/>
  <c r="AT169" i="2" s="1"/>
  <c r="AS168" i="2"/>
  <c r="AT168" i="2" s="1"/>
  <c r="AS167" i="2"/>
  <c r="AT167" i="2" s="1"/>
  <c r="AS166" i="2"/>
  <c r="AT166" i="2" s="1"/>
  <c r="AS163" i="2"/>
  <c r="AT163" i="2" s="1"/>
  <c r="AS162" i="2"/>
  <c r="AT162" i="2" s="1"/>
  <c r="AS158" i="2"/>
  <c r="AT158" i="2" s="1"/>
  <c r="AS157" i="2"/>
  <c r="AT157" i="2" s="1"/>
  <c r="AS156" i="2"/>
  <c r="AT156" i="2" s="1"/>
  <c r="AS154" i="2"/>
  <c r="AT154" i="2" s="1"/>
  <c r="AS153" i="2"/>
  <c r="AT153" i="2" s="1"/>
  <c r="AS152" i="2"/>
  <c r="AT152" i="2" s="1"/>
  <c r="AS151" i="2"/>
  <c r="AT151" i="2" s="1"/>
  <c r="AT150" i="2"/>
  <c r="AS145" i="2"/>
  <c r="AT145" i="2" s="1"/>
  <c r="AS144" i="2"/>
  <c r="AS143" i="2"/>
  <c r="AT143" i="2" s="1"/>
  <c r="AT141" i="2"/>
  <c r="AS140" i="2"/>
  <c r="AT140" i="2" s="1"/>
  <c r="AS133" i="2"/>
  <c r="AS132" i="2"/>
  <c r="AT132" i="2" s="1"/>
  <c r="AS131" i="2"/>
  <c r="AT131" i="2" s="1"/>
  <c r="AS130" i="2"/>
  <c r="AT130" i="2" s="1"/>
  <c r="AS129" i="2"/>
  <c r="AS128" i="2"/>
  <c r="AT128" i="2" s="1"/>
  <c r="AS127" i="2"/>
  <c r="AT127" i="2" s="1"/>
  <c r="AS126" i="2"/>
  <c r="AT126" i="2" s="1"/>
  <c r="AS125" i="2"/>
  <c r="AS124" i="2"/>
  <c r="AT124" i="2" s="1"/>
  <c r="AS123" i="2"/>
  <c r="AT123" i="2" s="1"/>
  <c r="AS122" i="2"/>
  <c r="AT122" i="2" s="1"/>
  <c r="AS121" i="2"/>
  <c r="AS120" i="2"/>
  <c r="AT120" i="2" s="1"/>
  <c r="AS119" i="2"/>
  <c r="AT119" i="2" s="1"/>
  <c r="AS118" i="2"/>
  <c r="AT118" i="2" s="1"/>
  <c r="AS117" i="2"/>
  <c r="AS111" i="2"/>
  <c r="AT111" i="2" s="1"/>
  <c r="AS110" i="2"/>
  <c r="AT110" i="2" s="1"/>
  <c r="AS109" i="2"/>
  <c r="AS108" i="2"/>
  <c r="AS107" i="2"/>
  <c r="AT107" i="2" s="1"/>
  <c r="AS106" i="2"/>
  <c r="AT106" i="2" s="1"/>
  <c r="AS99" i="2"/>
  <c r="AS98" i="2"/>
  <c r="AS95" i="2"/>
  <c r="AT95" i="2" s="1"/>
  <c r="AS92" i="2"/>
  <c r="AT92" i="2" s="1"/>
  <c r="AS89" i="2"/>
  <c r="AT89" i="2" s="1"/>
  <c r="AS85" i="2"/>
  <c r="AS82" i="2"/>
  <c r="AT82" i="2" s="1"/>
  <c r="AS76" i="2"/>
  <c r="AT76" i="2" s="1"/>
  <c r="AS75" i="2"/>
  <c r="AT75" i="2" s="1"/>
  <c r="AS74" i="2"/>
  <c r="AS72" i="2"/>
  <c r="AT72" i="2" s="1"/>
  <c r="AS71" i="2"/>
  <c r="AT71" i="2" s="1"/>
  <c r="AS70" i="2"/>
  <c r="AT70" i="2" s="1"/>
  <c r="AS69" i="2"/>
  <c r="AS66" i="2"/>
  <c r="AT66" i="2" s="1"/>
  <c r="AS65" i="2"/>
  <c r="AT65" i="2" s="1"/>
  <c r="AS64" i="2"/>
  <c r="AT64" i="2" s="1"/>
  <c r="AS63" i="2"/>
  <c r="AS62" i="2"/>
  <c r="AT62" i="2" s="1"/>
  <c r="AS61" i="2"/>
  <c r="AT61" i="2" s="1"/>
  <c r="AS60" i="2"/>
  <c r="AT60" i="2" s="1"/>
  <c r="AS59" i="2"/>
  <c r="AS58" i="2"/>
  <c r="AT58" i="2" s="1"/>
  <c r="AS49" i="2"/>
  <c r="AT49" i="2" s="1"/>
  <c r="AS48" i="2"/>
  <c r="AS47" i="2"/>
  <c r="AS46" i="2"/>
  <c r="AT46" i="2" s="1"/>
  <c r="AS45" i="2"/>
  <c r="AT45" i="2" s="1"/>
  <c r="AS43" i="2"/>
  <c r="AS42" i="2"/>
  <c r="AS41" i="2"/>
  <c r="AT41" i="2" s="1"/>
  <c r="AS39" i="2"/>
  <c r="AT39" i="2" s="1"/>
  <c r="AS38" i="2"/>
  <c r="AT35" i="2"/>
  <c r="AS34" i="2"/>
  <c r="AT34" i="2" s="1"/>
  <c r="AS33" i="2"/>
  <c r="AT33" i="2" s="1"/>
  <c r="AS30" i="2"/>
  <c r="AT30" i="2" s="1"/>
  <c r="AS29" i="2"/>
  <c r="AS27" i="2"/>
  <c r="AT27" i="2" s="1"/>
  <c r="AS26" i="2"/>
  <c r="AT26" i="2" s="1"/>
  <c r="AS25" i="2"/>
  <c r="AT25" i="2" s="1"/>
  <c r="AS24" i="2"/>
  <c r="AS21" i="2"/>
  <c r="AT21" i="2" s="1"/>
  <c r="AS20" i="2"/>
  <c r="AT20" i="2" s="1"/>
  <c r="AS19" i="2"/>
  <c r="AT19" i="2" s="1"/>
  <c r="AS18" i="2"/>
  <c r="AS17" i="2"/>
  <c r="AT17" i="2" s="1"/>
  <c r="AS16" i="2"/>
  <c r="AT16" i="2" s="1"/>
  <c r="AS14" i="2"/>
  <c r="AS13" i="2"/>
  <c r="AS12" i="2"/>
  <c r="AT12" i="2" s="1"/>
  <c r="AS11" i="2"/>
  <c r="AT11" i="2" s="1"/>
  <c r="AS10" i="2"/>
  <c r="AS6" i="2"/>
  <c r="AS71" i="3"/>
  <c r="AT71" i="3" s="1"/>
  <c r="AS44" i="3"/>
  <c r="AT44" i="3" s="1"/>
  <c r="AS45" i="3"/>
  <c r="AT45" i="3" s="1"/>
  <c r="AS46" i="3"/>
  <c r="C38" i="5"/>
  <c r="I38" i="5" s="1"/>
  <c r="C39" i="5"/>
  <c r="I39" i="5" s="1"/>
  <c r="AT354" i="3"/>
  <c r="AT210" i="3"/>
  <c r="AS484" i="3"/>
  <c r="AT484" i="3" s="1"/>
  <c r="AS476" i="3"/>
  <c r="AT476" i="3" s="1"/>
  <c r="AS475" i="3"/>
  <c r="AT475" i="3" s="1"/>
  <c r="AS474" i="3"/>
  <c r="AT474" i="3" s="1"/>
  <c r="AS470" i="3"/>
  <c r="AT470" i="3" s="1"/>
  <c r="AS467" i="3"/>
  <c r="AT467" i="3" s="1"/>
  <c r="AS466" i="3"/>
  <c r="AT466" i="3" s="1"/>
  <c r="AS465" i="3"/>
  <c r="AT465" i="3" s="1"/>
  <c r="AS464" i="3"/>
  <c r="AT464" i="3" s="1"/>
  <c r="AS463" i="3"/>
  <c r="AT463" i="3" s="1"/>
  <c r="AS462" i="3"/>
  <c r="AT462" i="3" s="1"/>
  <c r="AS461" i="3"/>
  <c r="AT461" i="3" s="1"/>
  <c r="AS453" i="3"/>
  <c r="AS434" i="3"/>
  <c r="AS433" i="3"/>
  <c r="AS432" i="3"/>
  <c r="AS431" i="3"/>
  <c r="AS430" i="3"/>
  <c r="AS428" i="3"/>
  <c r="AS423" i="3"/>
  <c r="AT423" i="3" s="1"/>
  <c r="AS422" i="3"/>
  <c r="AT422" i="3" s="1"/>
  <c r="AS421" i="3"/>
  <c r="AT421" i="3" s="1"/>
  <c r="AS416" i="3"/>
  <c r="AS415" i="3"/>
  <c r="AS414" i="3"/>
  <c r="F373" i="5" s="1"/>
  <c r="AS413" i="3"/>
  <c r="AT413" i="3" s="1"/>
  <c r="AS412" i="3"/>
  <c r="AS411" i="3"/>
  <c r="AS410" i="3"/>
  <c r="AS409" i="3"/>
  <c r="AT409" i="3" s="1"/>
  <c r="AS408" i="3"/>
  <c r="AT408" i="3" s="1"/>
  <c r="AS407" i="3"/>
  <c r="AT407" i="3" s="1"/>
  <c r="AS406" i="3"/>
  <c r="AT406" i="3" s="1"/>
  <c r="AS405" i="3"/>
  <c r="AT405" i="3" s="1"/>
  <c r="AS401" i="3"/>
  <c r="AT401" i="3" s="1"/>
  <c r="AS400" i="3"/>
  <c r="AT400" i="3" s="1"/>
  <c r="AS399" i="3"/>
  <c r="AT399" i="3" s="1"/>
  <c r="AS397" i="3"/>
  <c r="AT397" i="3" s="1"/>
  <c r="AS396" i="3"/>
  <c r="AT396" i="3" s="1"/>
  <c r="AS393" i="3"/>
  <c r="AT393" i="3" s="1"/>
  <c r="AS392" i="3"/>
  <c r="AT392" i="3" s="1"/>
  <c r="AS391" i="3"/>
  <c r="AT391" i="3" s="1"/>
  <c r="AS388" i="3"/>
  <c r="AT388" i="3" s="1"/>
  <c r="AS387" i="3"/>
  <c r="AT387" i="3" s="1"/>
  <c r="AS386" i="3"/>
  <c r="AT386" i="3" s="1"/>
  <c r="AS384" i="3"/>
  <c r="AT384" i="3" s="1"/>
  <c r="AS383" i="3"/>
  <c r="AT383" i="3" s="1"/>
  <c r="AS382" i="3"/>
  <c r="AT382" i="3" s="1"/>
  <c r="AS377" i="3"/>
  <c r="AT377" i="3" s="1"/>
  <c r="AS376" i="3"/>
  <c r="AT376" i="3" s="1"/>
  <c r="AS375" i="3"/>
  <c r="AT375" i="3" s="1"/>
  <c r="AS374" i="3"/>
  <c r="AT374" i="3" s="1"/>
  <c r="AS372" i="3"/>
  <c r="AT372" i="3" s="1"/>
  <c r="AS371" i="3"/>
  <c r="AT371" i="3" s="1"/>
  <c r="AS370" i="3"/>
  <c r="AT370" i="3" s="1"/>
  <c r="AS368" i="3"/>
  <c r="AT368" i="3" s="1"/>
  <c r="AS367" i="3"/>
  <c r="AT367" i="3" s="1"/>
  <c r="AS366" i="3"/>
  <c r="AT366" i="3" s="1"/>
  <c r="AS364" i="3"/>
  <c r="AT364" i="3" s="1"/>
  <c r="AS363" i="3"/>
  <c r="AT363" i="3" s="1"/>
  <c r="AS362" i="3"/>
  <c r="AT362" i="3" s="1"/>
  <c r="AS361" i="3"/>
  <c r="AT361" i="3" s="1"/>
  <c r="AS360" i="3"/>
  <c r="AT360" i="3" s="1"/>
  <c r="AS359" i="3"/>
  <c r="AT359" i="3" s="1"/>
  <c r="AS353" i="3"/>
  <c r="AT353" i="3" s="1"/>
  <c r="AS352" i="3"/>
  <c r="AS351" i="3"/>
  <c r="AS350" i="3"/>
  <c r="AS347" i="3"/>
  <c r="AS346" i="3"/>
  <c r="AS342" i="3"/>
  <c r="AT342" i="3" s="1"/>
  <c r="AS341" i="3"/>
  <c r="AT341" i="3" s="1"/>
  <c r="AS340" i="3"/>
  <c r="AS336" i="3"/>
  <c r="AT336" i="3" s="1"/>
  <c r="AS334" i="3"/>
  <c r="AT334" i="3" s="1"/>
  <c r="AS331" i="3"/>
  <c r="AT331" i="3" s="1"/>
  <c r="AS330" i="3"/>
  <c r="AT330" i="3" s="1"/>
  <c r="AS329" i="3"/>
  <c r="AT329" i="3" s="1"/>
  <c r="AS328" i="3"/>
  <c r="AT328" i="3" s="1"/>
  <c r="AS327" i="3"/>
  <c r="AT327" i="3" s="1"/>
  <c r="AS326" i="3"/>
  <c r="AT326" i="3" s="1"/>
  <c r="AS324" i="3"/>
  <c r="AT324" i="3" s="1"/>
  <c r="AS323" i="3"/>
  <c r="AS322" i="3"/>
  <c r="AT322" i="3" s="1"/>
  <c r="AS321" i="3"/>
  <c r="AT321" i="3" s="1"/>
  <c r="AS320" i="3"/>
  <c r="F478" i="5" s="1"/>
  <c r="AS319" i="3"/>
  <c r="AT319" i="3" s="1"/>
  <c r="AS315" i="3"/>
  <c r="AS314" i="3"/>
  <c r="AT314" i="3" s="1"/>
  <c r="AS311" i="3"/>
  <c r="F395" i="5" s="1"/>
  <c r="AS310" i="3"/>
  <c r="AT310" i="3" s="1"/>
  <c r="AS309" i="3"/>
  <c r="AT309" i="3" s="1"/>
  <c r="AS308" i="3"/>
  <c r="AT308" i="3" s="1"/>
  <c r="AS305" i="3"/>
  <c r="AT305" i="3" s="1"/>
  <c r="AS304" i="3"/>
  <c r="AS303" i="3"/>
  <c r="AT303" i="3" s="1"/>
  <c r="AS302" i="3"/>
  <c r="AS301" i="3"/>
  <c r="AT301" i="3" s="1"/>
  <c r="AS300" i="3"/>
  <c r="AS293" i="3"/>
  <c r="AS291" i="3"/>
  <c r="AS290" i="3"/>
  <c r="AS289" i="3"/>
  <c r="AS288" i="3"/>
  <c r="F454" i="5" s="1"/>
  <c r="AS280" i="3"/>
  <c r="AT280" i="3" s="1"/>
  <c r="AS277" i="3"/>
  <c r="AT277" i="3" s="1"/>
  <c r="AS276" i="3"/>
  <c r="AS256" i="3"/>
  <c r="AS249" i="3"/>
  <c r="AS248" i="3"/>
  <c r="AT248" i="3" s="1"/>
  <c r="AS240" i="3"/>
  <c r="AS239" i="3"/>
  <c r="AT239" i="3" s="1"/>
  <c r="AS238" i="3"/>
  <c r="AT238" i="3" s="1"/>
  <c r="AS237" i="3"/>
  <c r="AT237" i="3" s="1"/>
  <c r="AS235" i="3"/>
  <c r="AS227" i="3"/>
  <c r="AS226" i="3"/>
  <c r="AS225" i="3"/>
  <c r="AS224" i="3"/>
  <c r="AT224" i="3" s="1"/>
  <c r="AS223" i="3"/>
  <c r="AS222" i="3"/>
  <c r="F485" i="5" s="1"/>
  <c r="AS221" i="3"/>
  <c r="AS220" i="3"/>
  <c r="AT220" i="3" s="1"/>
  <c r="AS219" i="3"/>
  <c r="AS218" i="3"/>
  <c r="AS217" i="3"/>
  <c r="AS216" i="3"/>
  <c r="AT216" i="3" s="1"/>
  <c r="AS215" i="3"/>
  <c r="AS214" i="3"/>
  <c r="AS213" i="3"/>
  <c r="F484" i="5" s="1"/>
  <c r="AS212" i="3"/>
  <c r="AS211" i="3"/>
  <c r="AS209" i="3"/>
  <c r="AS208" i="3"/>
  <c r="AS207" i="3"/>
  <c r="AS206" i="3"/>
  <c r="AT206" i="3" s="1"/>
  <c r="AS205" i="3"/>
  <c r="AS204" i="3"/>
  <c r="AS203" i="3"/>
  <c r="AS202" i="3"/>
  <c r="AT202" i="3" s="1"/>
  <c r="AS200" i="3"/>
  <c r="AS199" i="3"/>
  <c r="AS197" i="3"/>
  <c r="AS188" i="3"/>
  <c r="AT188" i="3" s="1"/>
  <c r="AS187" i="3"/>
  <c r="AT187" i="3" s="1"/>
  <c r="AS186" i="3"/>
  <c r="F487" i="5" s="1"/>
  <c r="AS185" i="3"/>
  <c r="AT185" i="3" s="1"/>
  <c r="AS184" i="3"/>
  <c r="AT184" i="3" s="1"/>
  <c r="AS183" i="3"/>
  <c r="AT183" i="3" s="1"/>
  <c r="AS182" i="3"/>
  <c r="AT182" i="3" s="1"/>
  <c r="AS181" i="3"/>
  <c r="AT181" i="3" s="1"/>
  <c r="AS179" i="3"/>
  <c r="AT179" i="3" s="1"/>
  <c r="AS178" i="3"/>
  <c r="AT178" i="3" s="1"/>
  <c r="AS177" i="3"/>
  <c r="AT177" i="3" s="1"/>
  <c r="AS176" i="3"/>
  <c r="AT176" i="3" s="1"/>
  <c r="AS175" i="3"/>
  <c r="AT175" i="3" s="1"/>
  <c r="AS174" i="3"/>
  <c r="AT174" i="3" s="1"/>
  <c r="AS173" i="3"/>
  <c r="AT173" i="3" s="1"/>
  <c r="AS172" i="3"/>
  <c r="AT172" i="3" s="1"/>
  <c r="AS171" i="3"/>
  <c r="AT171" i="3" s="1"/>
  <c r="AS167" i="3"/>
  <c r="AT167" i="3" s="1"/>
  <c r="AS163" i="3"/>
  <c r="AT163" i="3" s="1"/>
  <c r="AS162" i="3"/>
  <c r="AS161" i="3"/>
  <c r="AT161" i="3" s="1"/>
  <c r="AS159" i="3"/>
  <c r="AT159" i="3" s="1"/>
  <c r="AS158" i="3"/>
  <c r="AT158" i="3" s="1"/>
  <c r="AS157" i="3"/>
  <c r="AT157" i="3" s="1"/>
  <c r="AS150" i="3"/>
  <c r="AT150" i="3" s="1"/>
  <c r="AS149" i="3"/>
  <c r="AT149" i="3" s="1"/>
  <c r="AS148" i="3"/>
  <c r="AT148" i="3" s="1"/>
  <c r="AS146" i="3"/>
  <c r="AT146" i="3" s="1"/>
  <c r="AS145" i="3"/>
  <c r="AS144" i="3"/>
  <c r="AS111" i="3"/>
  <c r="F476" i="5" s="1"/>
  <c r="AS104" i="3"/>
  <c r="AT104" i="3" s="1"/>
  <c r="AS103" i="3"/>
  <c r="AS100" i="3"/>
  <c r="AS97" i="3"/>
  <c r="AT97" i="3" s="1"/>
  <c r="AS93" i="3"/>
  <c r="AT93" i="3" s="1"/>
  <c r="AS87" i="3"/>
  <c r="AT87" i="3" s="1"/>
  <c r="AS81" i="3"/>
  <c r="AT81" i="3" s="1"/>
  <c r="AS80" i="3"/>
  <c r="AT80" i="3" s="1"/>
  <c r="AS79" i="3"/>
  <c r="AT79" i="3" s="1"/>
  <c r="AS77" i="3"/>
  <c r="AT77" i="3" s="1"/>
  <c r="AS76" i="3"/>
  <c r="AT76" i="3" s="1"/>
  <c r="AS75" i="3"/>
  <c r="AT75" i="3" s="1"/>
  <c r="AS74" i="3"/>
  <c r="AT74" i="3" s="1"/>
  <c r="AS69" i="3"/>
  <c r="AT69" i="3" s="1"/>
  <c r="AS68" i="3"/>
  <c r="AT68" i="3" s="1"/>
  <c r="AS67" i="3"/>
  <c r="AT67" i="3" s="1"/>
  <c r="AS66" i="3"/>
  <c r="AT66" i="3" s="1"/>
  <c r="AS65" i="3"/>
  <c r="AT65" i="3" s="1"/>
  <c r="AS64" i="3"/>
  <c r="AT64" i="3" s="1"/>
  <c r="AS63" i="3"/>
  <c r="AT63" i="3" s="1"/>
  <c r="AS62" i="3"/>
  <c r="AT62" i="3" s="1"/>
  <c r="AS61" i="3"/>
  <c r="AS52" i="3"/>
  <c r="AT52" i="3" s="1"/>
  <c r="AS51" i="3"/>
  <c r="AS50" i="3"/>
  <c r="AS49" i="3"/>
  <c r="AS48" i="3"/>
  <c r="AS43" i="3"/>
  <c r="AS42" i="3"/>
  <c r="AS41" i="3"/>
  <c r="F451" i="5" s="1"/>
  <c r="AS39" i="3"/>
  <c r="AS38" i="3"/>
  <c r="F453" i="5" s="1"/>
  <c r="AS35" i="3"/>
  <c r="AS34" i="3"/>
  <c r="AT34" i="3" s="1"/>
  <c r="AS33" i="3"/>
  <c r="AT33" i="3" s="1"/>
  <c r="AS30" i="3"/>
  <c r="AT30" i="3" s="1"/>
  <c r="AS29" i="3"/>
  <c r="AT29" i="3" s="1"/>
  <c r="AS27" i="3"/>
  <c r="AT27" i="3" s="1"/>
  <c r="AS26" i="3"/>
  <c r="AT26" i="3" s="1"/>
  <c r="AS25" i="3"/>
  <c r="AT25" i="3" s="1"/>
  <c r="AS24" i="3"/>
  <c r="AS21" i="3"/>
  <c r="AT21" i="3" s="1"/>
  <c r="AS20" i="3"/>
  <c r="AT20" i="3" s="1"/>
  <c r="AS19" i="3"/>
  <c r="AT19" i="3" s="1"/>
  <c r="AS18" i="3"/>
  <c r="AT18" i="3" s="1"/>
  <c r="AS17" i="3"/>
  <c r="AT17" i="3" s="1"/>
  <c r="AS16" i="3"/>
  <c r="AT16" i="3" s="1"/>
  <c r="AS14" i="3"/>
  <c r="AT14" i="3" s="1"/>
  <c r="AS13" i="3"/>
  <c r="AS12" i="3"/>
  <c r="AT12" i="3" s="1"/>
  <c r="AS11" i="3"/>
  <c r="F455" i="5" s="1"/>
  <c r="AS10" i="3"/>
  <c r="AT10" i="3" s="1"/>
  <c r="AS6" i="3"/>
  <c r="AU466" i="1"/>
  <c r="AU448" i="1"/>
  <c r="AU338" i="1"/>
  <c r="AU214" i="1"/>
  <c r="AU211" i="1"/>
  <c r="AU49" i="1"/>
  <c r="AU48" i="1"/>
  <c r="AU47" i="1"/>
  <c r="AU46" i="1"/>
  <c r="AU45" i="1"/>
  <c r="AU44" i="1"/>
  <c r="AU43" i="1"/>
  <c r="AU42" i="1"/>
  <c r="AU41" i="1"/>
  <c r="AU40" i="1"/>
  <c r="AU39" i="1"/>
  <c r="AU37" i="1"/>
  <c r="AU36" i="1"/>
  <c r="AU35" i="1"/>
  <c r="AU32" i="1"/>
  <c r="AU31" i="1"/>
  <c r="AU29" i="1"/>
  <c r="AU28" i="1"/>
  <c r="AU26" i="1"/>
  <c r="AU25" i="1"/>
  <c r="AU22" i="1"/>
  <c r="AU19" i="1"/>
  <c r="AU18" i="1"/>
  <c r="AU17" i="1"/>
  <c r="AU16" i="1"/>
  <c r="AU15" i="1"/>
  <c r="AU14" i="1"/>
  <c r="AU13" i="1"/>
  <c r="AU12" i="1"/>
  <c r="AU11" i="1"/>
  <c r="AU10" i="1"/>
  <c r="AU9" i="1"/>
  <c r="AU6" i="1"/>
  <c r="C8" i="5"/>
  <c r="I8" i="5" s="1"/>
  <c r="C12" i="5"/>
  <c r="I12" i="5" s="1"/>
  <c r="C13" i="5"/>
  <c r="I13" i="5" s="1"/>
  <c r="C35" i="5"/>
  <c r="I35" i="5" s="1"/>
  <c r="C61" i="5"/>
  <c r="I61" i="5" s="1"/>
  <c r="C63" i="5"/>
  <c r="I63" i="5" s="1"/>
  <c r="C64" i="5"/>
  <c r="I64" i="5" s="1"/>
  <c r="C65" i="5"/>
  <c r="I65" i="5" s="1"/>
  <c r="C66" i="5"/>
  <c r="I66" i="5" s="1"/>
  <c r="C101" i="5"/>
  <c r="I101" i="5" s="1"/>
  <c r="C111" i="5"/>
  <c r="I111" i="5" s="1"/>
  <c r="C114" i="5"/>
  <c r="I114" i="5" s="1"/>
  <c r="C119" i="5"/>
  <c r="I119" i="5" s="1"/>
  <c r="C133" i="5"/>
  <c r="I133" i="5" s="1"/>
  <c r="C135" i="5"/>
  <c r="I135" i="5" s="1"/>
  <c r="C139" i="5"/>
  <c r="I139" i="5" s="1"/>
  <c r="C140" i="5"/>
  <c r="I140" i="5" s="1"/>
  <c r="C141" i="5"/>
  <c r="I141" i="5" s="1"/>
  <c r="C142" i="5"/>
  <c r="I142" i="5" s="1"/>
  <c r="C143" i="5"/>
  <c r="I143" i="5" s="1"/>
  <c r="C146" i="5"/>
  <c r="I146" i="5" s="1"/>
  <c r="C147" i="5"/>
  <c r="I147" i="5" s="1"/>
  <c r="C148" i="5"/>
  <c r="I148" i="5" s="1"/>
  <c r="C149" i="5"/>
  <c r="I149" i="5" s="1"/>
  <c r="C150" i="5"/>
  <c r="I150" i="5" s="1"/>
  <c r="C152" i="5"/>
  <c r="I152" i="5" s="1"/>
  <c r="C170" i="5"/>
  <c r="I170" i="5" s="1"/>
  <c r="C172" i="5"/>
  <c r="I172" i="5" s="1"/>
  <c r="C173" i="5"/>
  <c r="I173" i="5" s="1"/>
  <c r="C174" i="5"/>
  <c r="I174" i="5" s="1"/>
  <c r="C175" i="5"/>
  <c r="I175" i="5" s="1"/>
  <c r="C212" i="5"/>
  <c r="I212" i="5" s="1"/>
  <c r="C213" i="5"/>
  <c r="I213" i="5" s="1"/>
  <c r="C277" i="5"/>
  <c r="I277" i="5" s="1"/>
  <c r="C278" i="5"/>
  <c r="I278" i="5" s="1"/>
  <c r="C310" i="5"/>
  <c r="I310" i="5" s="1"/>
  <c r="C7" i="5"/>
  <c r="I7" i="5" s="1"/>
  <c r="H344" i="5" l="1"/>
  <c r="L344" i="5" s="1"/>
  <c r="H506" i="5"/>
  <c r="L506" i="5" s="1"/>
  <c r="H136" i="5"/>
  <c r="L136" i="5" s="1"/>
  <c r="H477" i="5"/>
  <c r="L477" i="5" s="1"/>
  <c r="H488" i="5"/>
  <c r="L488" i="5" s="1"/>
  <c r="H62" i="5"/>
  <c r="L62" i="5" s="1"/>
  <c r="H168" i="5"/>
  <c r="L168" i="5" s="1"/>
  <c r="H63" i="5"/>
  <c r="L63" i="5" s="1"/>
  <c r="H126" i="5"/>
  <c r="L126" i="5" s="1"/>
  <c r="H137" i="5"/>
  <c r="H145" i="5"/>
  <c r="H161" i="5"/>
  <c r="L161" i="5" s="1"/>
  <c r="H345" i="5"/>
  <c r="L345" i="5" s="1"/>
  <c r="H375" i="5"/>
  <c r="P375" i="5" s="1"/>
  <c r="S375" i="5" s="1"/>
  <c r="V375" i="5" s="1"/>
  <c r="H389" i="5"/>
  <c r="L389" i="5" s="1"/>
  <c r="H497" i="5"/>
  <c r="L497" i="5" s="1"/>
  <c r="H507" i="5"/>
  <c r="L507" i="5" s="1"/>
  <c r="H68" i="5"/>
  <c r="L68" i="5" s="1"/>
  <c r="H169" i="5"/>
  <c r="H490" i="5"/>
  <c r="H143" i="5"/>
  <c r="L143" i="5" s="1"/>
  <c r="H123" i="5"/>
  <c r="L123" i="5" s="1"/>
  <c r="H172" i="5"/>
  <c r="L172" i="5" s="1"/>
  <c r="H343" i="5"/>
  <c r="L343" i="5" s="1"/>
  <c r="H484" i="5"/>
  <c r="H504" i="5"/>
  <c r="L504" i="5" s="1"/>
  <c r="H101" i="5"/>
  <c r="L101" i="5" s="1"/>
  <c r="H235" i="5"/>
  <c r="L235" i="5" s="1"/>
  <c r="H64" i="5"/>
  <c r="L64" i="5" s="1"/>
  <c r="H128" i="5"/>
  <c r="L128" i="5" s="1"/>
  <c r="H138" i="5"/>
  <c r="L138" i="5" s="1"/>
  <c r="H146" i="5"/>
  <c r="L146" i="5" s="1"/>
  <c r="H162" i="5"/>
  <c r="L162" i="5" s="1"/>
  <c r="H211" i="5"/>
  <c r="L211" i="5" s="1"/>
  <c r="H376" i="5"/>
  <c r="H485" i="5"/>
  <c r="L485" i="5" s="1"/>
  <c r="H502" i="5"/>
  <c r="L502" i="5" s="1"/>
  <c r="H141" i="5"/>
  <c r="L141" i="5" s="1"/>
  <c r="H142" i="5"/>
  <c r="L142" i="5" s="1"/>
  <c r="H487" i="5"/>
  <c r="L487" i="5" s="1"/>
  <c r="H170" i="5"/>
  <c r="H166" i="5"/>
  <c r="L166" i="5" s="1"/>
  <c r="H144" i="5"/>
  <c r="L144" i="5" s="1"/>
  <c r="H86" i="5"/>
  <c r="H209" i="5"/>
  <c r="L209" i="5" s="1"/>
  <c r="H65" i="5"/>
  <c r="L65" i="5" s="1"/>
  <c r="H129" i="5"/>
  <c r="P129" i="5" s="1"/>
  <c r="S129" i="5" s="1"/>
  <c r="V129" i="5" s="1"/>
  <c r="H139" i="5"/>
  <c r="L139" i="5" s="1"/>
  <c r="H147" i="5"/>
  <c r="H163" i="5"/>
  <c r="H212" i="5"/>
  <c r="L212" i="5" s="1"/>
  <c r="H268" i="5"/>
  <c r="L268" i="5" s="1"/>
  <c r="H353" i="5"/>
  <c r="P353" i="5" s="1"/>
  <c r="S353" i="5" s="1"/>
  <c r="V353" i="5" s="1"/>
  <c r="H489" i="5"/>
  <c r="L489" i="5" s="1"/>
  <c r="H505" i="5"/>
  <c r="L505" i="5" s="1"/>
  <c r="H67" i="5"/>
  <c r="H154" i="5"/>
  <c r="H155" i="5"/>
  <c r="L155" i="5" s="1"/>
  <c r="H38" i="5"/>
  <c r="L38" i="5" s="1"/>
  <c r="H160" i="5"/>
  <c r="L160" i="5" s="1"/>
  <c r="H39" i="5"/>
  <c r="L39" i="5" s="1"/>
  <c r="H342" i="5"/>
  <c r="L342" i="5" s="1"/>
  <c r="H158" i="5"/>
  <c r="L158" i="5" s="1"/>
  <c r="H187" i="5"/>
  <c r="L187" i="5" s="1"/>
  <c r="H140" i="5"/>
  <c r="H148" i="5"/>
  <c r="L148" i="5" s="1"/>
  <c r="H269" i="5"/>
  <c r="L269" i="5" s="1"/>
  <c r="H448" i="5"/>
  <c r="L448" i="5" s="1"/>
  <c r="H479" i="5"/>
  <c r="L479" i="5" s="1"/>
  <c r="H508" i="5"/>
  <c r="L508" i="5" s="1"/>
  <c r="K64" i="5"/>
  <c r="L120" i="5"/>
  <c r="L259" i="5"/>
  <c r="K436" i="5"/>
  <c r="G436" i="5"/>
  <c r="L486" i="5"/>
  <c r="K506" i="5"/>
  <c r="G506" i="5"/>
  <c r="K173" i="5"/>
  <c r="L349" i="5"/>
  <c r="L261" i="5"/>
  <c r="L434" i="5"/>
  <c r="K417" i="5"/>
  <c r="G417" i="5"/>
  <c r="L475" i="5"/>
  <c r="L490" i="5"/>
  <c r="K500" i="5"/>
  <c r="K487" i="5"/>
  <c r="G487" i="5"/>
  <c r="K484" i="5"/>
  <c r="K395" i="5"/>
  <c r="G395" i="5"/>
  <c r="K66" i="5"/>
  <c r="K211" i="5"/>
  <c r="K374" i="5"/>
  <c r="L175" i="5"/>
  <c r="L350" i="5"/>
  <c r="L137" i="5"/>
  <c r="L145" i="5"/>
  <c r="L173" i="5"/>
  <c r="L262" i="5"/>
  <c r="L274" i="5"/>
  <c r="L359" i="5"/>
  <c r="L373" i="5"/>
  <c r="K405" i="5"/>
  <c r="G405" i="5"/>
  <c r="K438" i="5"/>
  <c r="G438" i="5"/>
  <c r="K430" i="5"/>
  <c r="G430" i="5"/>
  <c r="K422" i="5"/>
  <c r="G422" i="5"/>
  <c r="K414" i="5"/>
  <c r="G414" i="5"/>
  <c r="L476" i="5"/>
  <c r="L500" i="5"/>
  <c r="K504" i="5"/>
  <c r="G504" i="5"/>
  <c r="L347" i="5"/>
  <c r="L309" i="5"/>
  <c r="K403" i="5"/>
  <c r="G403" i="5"/>
  <c r="K444" i="5"/>
  <c r="G444" i="5"/>
  <c r="K475" i="5"/>
  <c r="L503" i="5"/>
  <c r="K65" i="5"/>
  <c r="L273" i="5"/>
  <c r="L358" i="5"/>
  <c r="K400" i="5"/>
  <c r="G400" i="5"/>
  <c r="K409" i="5"/>
  <c r="G409" i="5"/>
  <c r="K485" i="5"/>
  <c r="K215" i="5"/>
  <c r="L351" i="5"/>
  <c r="K443" i="5"/>
  <c r="G443" i="5"/>
  <c r="K427" i="5"/>
  <c r="G427" i="5"/>
  <c r="K411" i="5"/>
  <c r="G411" i="5"/>
  <c r="K447" i="5"/>
  <c r="G447" i="5"/>
  <c r="L484" i="5"/>
  <c r="K497" i="5"/>
  <c r="G497" i="5"/>
  <c r="K507" i="5"/>
  <c r="G507" i="5"/>
  <c r="K451" i="5"/>
  <c r="L127" i="5"/>
  <c r="L135" i="5"/>
  <c r="L170" i="5"/>
  <c r="L357" i="5"/>
  <c r="L366" i="5"/>
  <c r="K412" i="5"/>
  <c r="G412" i="5"/>
  <c r="K448" i="5"/>
  <c r="G448" i="5"/>
  <c r="L499" i="5"/>
  <c r="K310" i="5"/>
  <c r="K441" i="5"/>
  <c r="G441" i="5"/>
  <c r="K373" i="5"/>
  <c r="L263" i="5"/>
  <c r="L360" i="5"/>
  <c r="K402" i="5"/>
  <c r="G402" i="5"/>
  <c r="L412" i="5"/>
  <c r="K454" i="5"/>
  <c r="G454" i="5"/>
  <c r="K366" i="5"/>
  <c r="G366" i="5"/>
  <c r="K123" i="5"/>
  <c r="K268" i="5"/>
  <c r="L86" i="5"/>
  <c r="L147" i="5"/>
  <c r="L163" i="5"/>
  <c r="L276" i="5"/>
  <c r="L361" i="5"/>
  <c r="K399" i="5"/>
  <c r="G399" i="5"/>
  <c r="K440" i="5"/>
  <c r="G440" i="5"/>
  <c r="K432" i="5"/>
  <c r="G432" i="5"/>
  <c r="K424" i="5"/>
  <c r="G424" i="5"/>
  <c r="K416" i="5"/>
  <c r="G416" i="5"/>
  <c r="K408" i="5"/>
  <c r="G408" i="5"/>
  <c r="K446" i="5"/>
  <c r="G446" i="5"/>
  <c r="K502" i="5"/>
  <c r="G502" i="5"/>
  <c r="K308" i="5"/>
  <c r="L272" i="5"/>
  <c r="K428" i="5"/>
  <c r="G428" i="5"/>
  <c r="K420" i="5"/>
  <c r="G420" i="5"/>
  <c r="K490" i="5"/>
  <c r="G490" i="5"/>
  <c r="L450" i="5"/>
  <c r="K433" i="5"/>
  <c r="G433" i="5"/>
  <c r="K425" i="5"/>
  <c r="G425" i="5"/>
  <c r="K455" i="5"/>
  <c r="K212" i="5"/>
  <c r="L275" i="5"/>
  <c r="L374" i="5"/>
  <c r="K435" i="5"/>
  <c r="G435" i="5"/>
  <c r="K419" i="5"/>
  <c r="G419" i="5"/>
  <c r="K163" i="5"/>
  <c r="K272" i="5"/>
  <c r="L66" i="5"/>
  <c r="L130" i="5"/>
  <c r="L140" i="5"/>
  <c r="L164" i="5"/>
  <c r="L213" i="5"/>
  <c r="L277" i="5"/>
  <c r="L354" i="5"/>
  <c r="L362" i="5"/>
  <c r="L376" i="5"/>
  <c r="K404" i="5"/>
  <c r="G404" i="5"/>
  <c r="K445" i="5"/>
  <c r="G445" i="5"/>
  <c r="K437" i="5"/>
  <c r="G437" i="5"/>
  <c r="K429" i="5"/>
  <c r="G429" i="5"/>
  <c r="K421" i="5"/>
  <c r="G421" i="5"/>
  <c r="K413" i="5"/>
  <c r="G413" i="5"/>
  <c r="L446" i="5"/>
  <c r="K489" i="5"/>
  <c r="G489" i="5"/>
  <c r="K498" i="5"/>
  <c r="K505" i="5"/>
  <c r="G505" i="5"/>
  <c r="K172" i="5"/>
  <c r="K476" i="5"/>
  <c r="K478" i="5"/>
  <c r="K213" i="5"/>
  <c r="K169" i="5"/>
  <c r="K273" i="5"/>
  <c r="L480" i="5"/>
  <c r="L495" i="5"/>
  <c r="L132" i="5"/>
  <c r="L149" i="5"/>
  <c r="L167" i="5"/>
  <c r="L257" i="5"/>
  <c r="L270" i="5"/>
  <c r="L278" i="5"/>
  <c r="L355" i="5"/>
  <c r="L363" i="5"/>
  <c r="K401" i="5"/>
  <c r="G401" i="5"/>
  <c r="K442" i="5"/>
  <c r="G442" i="5"/>
  <c r="K434" i="5"/>
  <c r="G434" i="5"/>
  <c r="K426" i="5"/>
  <c r="G426" i="5"/>
  <c r="K418" i="5"/>
  <c r="G418" i="5"/>
  <c r="K410" i="5"/>
  <c r="G410" i="5"/>
  <c r="L447" i="5"/>
  <c r="K479" i="5"/>
  <c r="G479" i="5"/>
  <c r="L498" i="5"/>
  <c r="K508" i="5"/>
  <c r="G508" i="5"/>
  <c r="K372" i="5"/>
  <c r="G372" i="5"/>
  <c r="K453" i="5"/>
  <c r="K364" i="5"/>
  <c r="G364" i="5"/>
  <c r="K63" i="5"/>
  <c r="K170" i="5"/>
  <c r="K277" i="5"/>
  <c r="K371" i="5"/>
  <c r="G371" i="5"/>
  <c r="L449" i="5"/>
  <c r="L133" i="5"/>
  <c r="L154" i="5"/>
  <c r="L169" i="5"/>
  <c r="L258" i="5"/>
  <c r="L271" i="5"/>
  <c r="L308" i="5"/>
  <c r="L356" i="5"/>
  <c r="L364" i="5"/>
  <c r="K406" i="5"/>
  <c r="G406" i="5"/>
  <c r="K439" i="5"/>
  <c r="G439" i="5"/>
  <c r="K431" i="5"/>
  <c r="G431" i="5"/>
  <c r="K423" i="5"/>
  <c r="G423" i="5"/>
  <c r="K415" i="5"/>
  <c r="G415" i="5"/>
  <c r="K407" i="5"/>
  <c r="G407" i="5"/>
  <c r="K486" i="5"/>
  <c r="G486" i="5"/>
  <c r="K499" i="5"/>
  <c r="K503" i="5"/>
  <c r="G503" i="5"/>
  <c r="J320" i="5"/>
  <c r="E320" i="5"/>
  <c r="J415" i="5"/>
  <c r="E415" i="5"/>
  <c r="J407" i="5"/>
  <c r="E407" i="5"/>
  <c r="J321" i="5"/>
  <c r="E321" i="5"/>
  <c r="J356" i="5"/>
  <c r="J366" i="5"/>
  <c r="E366" i="5"/>
  <c r="J403" i="5"/>
  <c r="E403" i="5"/>
  <c r="J444" i="5"/>
  <c r="E444" i="5"/>
  <c r="J436" i="5"/>
  <c r="E436" i="5"/>
  <c r="J428" i="5"/>
  <c r="E428" i="5"/>
  <c r="J420" i="5"/>
  <c r="E420" i="5"/>
  <c r="J412" i="5"/>
  <c r="E412" i="5"/>
  <c r="J448" i="5"/>
  <c r="E448" i="5"/>
  <c r="J504" i="5"/>
  <c r="J314" i="5"/>
  <c r="E314" i="5"/>
  <c r="J322" i="5"/>
  <c r="E322" i="5"/>
  <c r="J330" i="5"/>
  <c r="E330" i="5"/>
  <c r="J338" i="5"/>
  <c r="E338" i="5"/>
  <c r="J349" i="5"/>
  <c r="E349" i="5"/>
  <c r="J363" i="5"/>
  <c r="J355" i="5"/>
  <c r="J375" i="5"/>
  <c r="E375" i="5"/>
  <c r="J400" i="5"/>
  <c r="E400" i="5"/>
  <c r="J441" i="5"/>
  <c r="E441" i="5"/>
  <c r="J433" i="5"/>
  <c r="E433" i="5"/>
  <c r="J425" i="5"/>
  <c r="E425" i="5"/>
  <c r="J417" i="5"/>
  <c r="E417" i="5"/>
  <c r="J409" i="5"/>
  <c r="E409" i="5"/>
  <c r="J488" i="5"/>
  <c r="J497" i="5"/>
  <c r="J507" i="5"/>
  <c r="J454" i="5"/>
  <c r="J36" i="5"/>
  <c r="E36" i="5"/>
  <c r="J315" i="5"/>
  <c r="E315" i="5"/>
  <c r="J323" i="5"/>
  <c r="E323" i="5"/>
  <c r="J331" i="5"/>
  <c r="E331" i="5"/>
  <c r="J339" i="5"/>
  <c r="E339" i="5"/>
  <c r="J362" i="5"/>
  <c r="J354" i="5"/>
  <c r="J365" i="5"/>
  <c r="E365" i="5"/>
  <c r="J405" i="5"/>
  <c r="E405" i="5"/>
  <c r="J438" i="5"/>
  <c r="E438" i="5"/>
  <c r="J430" i="5"/>
  <c r="E430" i="5"/>
  <c r="J422" i="5"/>
  <c r="E422" i="5"/>
  <c r="J414" i="5"/>
  <c r="E414" i="5"/>
  <c r="J446" i="5"/>
  <c r="E446" i="5"/>
  <c r="J502" i="5"/>
  <c r="J328" i="5"/>
  <c r="E328" i="5"/>
  <c r="J350" i="5"/>
  <c r="E350" i="5"/>
  <c r="J371" i="5"/>
  <c r="J423" i="5"/>
  <c r="E423" i="5"/>
  <c r="J337" i="5"/>
  <c r="E337" i="5"/>
  <c r="J324" i="5"/>
  <c r="E324" i="5"/>
  <c r="J344" i="5"/>
  <c r="J353" i="5"/>
  <c r="J443" i="5"/>
  <c r="E443" i="5"/>
  <c r="J435" i="5"/>
  <c r="E435" i="5"/>
  <c r="J447" i="5"/>
  <c r="E447" i="5"/>
  <c r="J489" i="5"/>
  <c r="J505" i="5"/>
  <c r="J341" i="5"/>
  <c r="E341" i="5"/>
  <c r="J360" i="5"/>
  <c r="J364" i="5"/>
  <c r="E364" i="5"/>
  <c r="J399" i="5"/>
  <c r="E399" i="5"/>
  <c r="J440" i="5"/>
  <c r="E440" i="5"/>
  <c r="J432" i="5"/>
  <c r="E432" i="5"/>
  <c r="J424" i="5"/>
  <c r="E424" i="5"/>
  <c r="J416" i="5"/>
  <c r="E416" i="5"/>
  <c r="J408" i="5"/>
  <c r="E408" i="5"/>
  <c r="J479" i="5"/>
  <c r="E479" i="5"/>
  <c r="J508" i="5"/>
  <c r="J336" i="5"/>
  <c r="E336" i="5"/>
  <c r="J376" i="5"/>
  <c r="E376" i="5"/>
  <c r="J406" i="5"/>
  <c r="E406" i="5"/>
  <c r="J431" i="5"/>
  <c r="E431" i="5"/>
  <c r="J329" i="5"/>
  <c r="E329" i="5"/>
  <c r="J316" i="5"/>
  <c r="E316" i="5"/>
  <c r="J340" i="5"/>
  <c r="E340" i="5"/>
  <c r="J361" i="5"/>
  <c r="J374" i="5"/>
  <c r="J402" i="5"/>
  <c r="E402" i="5"/>
  <c r="J411" i="5"/>
  <c r="E411" i="5"/>
  <c r="J39" i="5"/>
  <c r="E39" i="5"/>
  <c r="J317" i="5"/>
  <c r="E317" i="5"/>
  <c r="J325" i="5"/>
  <c r="E325" i="5"/>
  <c r="J333" i="5"/>
  <c r="E333" i="5"/>
  <c r="J86" i="5"/>
  <c r="E86" i="5"/>
  <c r="J318" i="5"/>
  <c r="E318" i="5"/>
  <c r="J326" i="5"/>
  <c r="E326" i="5"/>
  <c r="J334" i="5"/>
  <c r="E334" i="5"/>
  <c r="J342" i="5"/>
  <c r="E342" i="5"/>
  <c r="J351" i="5"/>
  <c r="E351" i="5"/>
  <c r="J346" i="5"/>
  <c r="E346" i="5"/>
  <c r="J359" i="5"/>
  <c r="J372" i="5"/>
  <c r="J404" i="5"/>
  <c r="E404" i="5"/>
  <c r="J445" i="5"/>
  <c r="E445" i="5"/>
  <c r="J437" i="5"/>
  <c r="E437" i="5"/>
  <c r="J429" i="5"/>
  <c r="E429" i="5"/>
  <c r="J421" i="5"/>
  <c r="E421" i="5"/>
  <c r="J413" i="5"/>
  <c r="E413" i="5"/>
  <c r="J486" i="5"/>
  <c r="J503" i="5"/>
  <c r="J312" i="5"/>
  <c r="E312" i="5"/>
  <c r="J357" i="5"/>
  <c r="J439" i="5"/>
  <c r="E439" i="5"/>
  <c r="J313" i="5"/>
  <c r="E313" i="5"/>
  <c r="J38" i="5"/>
  <c r="E38" i="5"/>
  <c r="J332" i="5"/>
  <c r="E332" i="5"/>
  <c r="J427" i="5"/>
  <c r="E427" i="5"/>
  <c r="J419" i="5"/>
  <c r="E419" i="5"/>
  <c r="J487" i="5"/>
  <c r="J395" i="5"/>
  <c r="J311" i="5"/>
  <c r="E311" i="5"/>
  <c r="J319" i="5"/>
  <c r="E319" i="5"/>
  <c r="J327" i="5"/>
  <c r="E327" i="5"/>
  <c r="J335" i="5"/>
  <c r="E335" i="5"/>
  <c r="J343" i="5"/>
  <c r="E343" i="5"/>
  <c r="J345" i="5"/>
  <c r="E345" i="5"/>
  <c r="J358" i="5"/>
  <c r="J401" i="5"/>
  <c r="E401" i="5"/>
  <c r="J442" i="5"/>
  <c r="E442" i="5"/>
  <c r="J434" i="5"/>
  <c r="E434" i="5"/>
  <c r="J426" i="5"/>
  <c r="E426" i="5"/>
  <c r="J418" i="5"/>
  <c r="E418" i="5"/>
  <c r="J410" i="5"/>
  <c r="E410" i="5"/>
  <c r="J490" i="5"/>
  <c r="J506" i="5"/>
  <c r="AY163" i="2"/>
  <c r="AT13" i="2"/>
  <c r="AT18" i="2"/>
  <c r="AT29" i="2"/>
  <c r="AT59" i="2"/>
  <c r="AT63" i="2"/>
  <c r="AT69" i="2"/>
  <c r="AT74" i="2"/>
  <c r="AT85" i="2"/>
  <c r="AT117" i="2"/>
  <c r="AT121" i="2"/>
  <c r="AT125" i="2"/>
  <c r="AT129" i="2"/>
  <c r="AT133" i="2"/>
  <c r="AT144" i="2"/>
  <c r="D483" i="5"/>
  <c r="D484" i="5"/>
  <c r="G484" i="5" s="1"/>
  <c r="AT253" i="2"/>
  <c r="D347" i="5"/>
  <c r="AT287" i="2"/>
  <c r="AT293" i="2"/>
  <c r="AT299" i="2"/>
  <c r="AT304" i="2"/>
  <c r="AT308" i="2"/>
  <c r="D389" i="5"/>
  <c r="D215" i="5"/>
  <c r="G215" i="5" s="1"/>
  <c r="AT342" i="2"/>
  <c r="AT347" i="2"/>
  <c r="AT352" i="2"/>
  <c r="AT357" i="2"/>
  <c r="AT365" i="2"/>
  <c r="AT369" i="2"/>
  <c r="AT376" i="2"/>
  <c r="AT381" i="2"/>
  <c r="AT386" i="2"/>
  <c r="AT393" i="2"/>
  <c r="AT425" i="2"/>
  <c r="AT440" i="2"/>
  <c r="AT444" i="2"/>
  <c r="AT448" i="2"/>
  <c r="AT452" i="2"/>
  <c r="AT457" i="2"/>
  <c r="AT461" i="2"/>
  <c r="AT485" i="2"/>
  <c r="AT432" i="2"/>
  <c r="D125" i="5"/>
  <c r="AT479" i="2"/>
  <c r="C512" i="5"/>
  <c r="I512" i="5" s="1"/>
  <c r="C484" i="5"/>
  <c r="I484" i="5" s="1"/>
  <c r="D481" i="5"/>
  <c r="D388" i="5"/>
  <c r="D387" i="5"/>
  <c r="D383" i="5"/>
  <c r="D449" i="5"/>
  <c r="D453" i="5"/>
  <c r="G453" i="5" s="1"/>
  <c r="H470" i="5"/>
  <c r="H457" i="5"/>
  <c r="H474" i="5"/>
  <c r="H453" i="5"/>
  <c r="H454" i="5"/>
  <c r="H482" i="5"/>
  <c r="H467" i="5"/>
  <c r="H496" i="5"/>
  <c r="H509" i="5"/>
  <c r="AU431" i="4"/>
  <c r="H365" i="5"/>
  <c r="H451" i="5"/>
  <c r="H456" i="5"/>
  <c r="H460" i="5"/>
  <c r="H464" i="5"/>
  <c r="H468" i="5"/>
  <c r="H472" i="5"/>
  <c r="H483" i="5"/>
  <c r="H493" i="5"/>
  <c r="H511" i="5"/>
  <c r="H463" i="5"/>
  <c r="H462" i="5"/>
  <c r="H465" i="5"/>
  <c r="H469" i="5"/>
  <c r="H473" i="5"/>
  <c r="H481" i="5"/>
  <c r="H494" i="5"/>
  <c r="H501" i="5"/>
  <c r="H510" i="5"/>
  <c r="H512" i="5"/>
  <c r="H459" i="5"/>
  <c r="H471" i="5"/>
  <c r="H492" i="5"/>
  <c r="H452" i="5"/>
  <c r="H455" i="5"/>
  <c r="H458" i="5"/>
  <c r="H461" i="5"/>
  <c r="H466" i="5"/>
  <c r="H478" i="5"/>
  <c r="H491" i="5"/>
  <c r="F481" i="5"/>
  <c r="F456" i="5"/>
  <c r="F389" i="5"/>
  <c r="F472" i="5"/>
  <c r="F383" i="5"/>
  <c r="F495" i="5"/>
  <c r="F391" i="5"/>
  <c r="F392" i="5"/>
  <c r="F398" i="5"/>
  <c r="F477" i="5"/>
  <c r="F483" i="5"/>
  <c r="F388" i="5"/>
  <c r="F387" i="5"/>
  <c r="F480" i="5"/>
  <c r="F386" i="5"/>
  <c r="F457" i="5"/>
  <c r="F465" i="5"/>
  <c r="F469" i="5"/>
  <c r="F473" i="5"/>
  <c r="F494" i="5"/>
  <c r="F510" i="5"/>
  <c r="F509" i="5"/>
  <c r="F90" i="5"/>
  <c r="F375" i="5"/>
  <c r="F86" i="5"/>
  <c r="F384" i="5"/>
  <c r="F390" i="5"/>
  <c r="F394" i="5"/>
  <c r="F396" i="5"/>
  <c r="F449" i="5"/>
  <c r="F450" i="5"/>
  <c r="F459" i="5"/>
  <c r="F462" i="5"/>
  <c r="F474" i="5"/>
  <c r="F511" i="5"/>
  <c r="F461" i="5"/>
  <c r="F501" i="5"/>
  <c r="F393" i="5"/>
  <c r="F397" i="5"/>
  <c r="F452" i="5"/>
  <c r="F463" i="5"/>
  <c r="F467" i="5"/>
  <c r="F471" i="5"/>
  <c r="F482" i="5"/>
  <c r="F492" i="5"/>
  <c r="F496" i="5"/>
  <c r="F512" i="5"/>
  <c r="F376" i="5"/>
  <c r="F385" i="5"/>
  <c r="F458" i="5"/>
  <c r="F460" i="5"/>
  <c r="F464" i="5"/>
  <c r="F466" i="5"/>
  <c r="F468" i="5"/>
  <c r="F470" i="5"/>
  <c r="F488" i="5"/>
  <c r="F491" i="5"/>
  <c r="F493" i="5"/>
  <c r="D476" i="5"/>
  <c r="G476" i="5" s="1"/>
  <c r="D494" i="5"/>
  <c r="D499" i="5"/>
  <c r="G499" i="5" s="1"/>
  <c r="D498" i="5"/>
  <c r="G498" i="5" s="1"/>
  <c r="D495" i="5"/>
  <c r="D510" i="5"/>
  <c r="D512" i="5"/>
  <c r="D485" i="5"/>
  <c r="G485" i="5" s="1"/>
  <c r="D493" i="5"/>
  <c r="D501" i="5"/>
  <c r="D509" i="5"/>
  <c r="D491" i="5"/>
  <c r="D478" i="5"/>
  <c r="G478" i="5" s="1"/>
  <c r="D492" i="5"/>
  <c r="D496" i="5"/>
  <c r="D500" i="5"/>
  <c r="G500" i="5" s="1"/>
  <c r="D511" i="5"/>
  <c r="C509" i="5"/>
  <c r="I509" i="5" s="1"/>
  <c r="C511" i="5"/>
  <c r="C510" i="5"/>
  <c r="I510" i="5" s="1"/>
  <c r="AX482" i="1"/>
  <c r="AX486" i="1"/>
  <c r="AX328" i="1"/>
  <c r="AX342" i="1"/>
  <c r="AX480" i="1"/>
  <c r="AX123" i="1"/>
  <c r="AX345" i="1"/>
  <c r="AX366" i="1"/>
  <c r="C508" i="5"/>
  <c r="AX406" i="1" s="1"/>
  <c r="C504" i="5"/>
  <c r="AX340" i="1" s="1"/>
  <c r="C505" i="5"/>
  <c r="AX488" i="1" s="1"/>
  <c r="C507" i="5"/>
  <c r="AX404" i="1" s="1"/>
  <c r="C506" i="5"/>
  <c r="AX120" i="1" s="1"/>
  <c r="C501" i="5"/>
  <c r="C502" i="5"/>
  <c r="E502" i="5" s="1"/>
  <c r="C503" i="5"/>
  <c r="E503" i="5" s="1"/>
  <c r="C497" i="5"/>
  <c r="E497" i="5" s="1"/>
  <c r="C498" i="5"/>
  <c r="AX307" i="1" s="1"/>
  <c r="C499" i="5"/>
  <c r="C500" i="5"/>
  <c r="C491" i="5"/>
  <c r="AX371" i="1" s="1"/>
  <c r="C493" i="5"/>
  <c r="AX378" i="1" s="1"/>
  <c r="C495" i="5"/>
  <c r="AX414" i="1" s="1"/>
  <c r="C492" i="5"/>
  <c r="AX374" i="1" s="1"/>
  <c r="C494" i="5"/>
  <c r="AX381" i="1" s="1"/>
  <c r="C496" i="5"/>
  <c r="C489" i="5"/>
  <c r="E489" i="5" s="1"/>
  <c r="C490" i="5"/>
  <c r="E490" i="5" s="1"/>
  <c r="C488" i="5"/>
  <c r="E488" i="5" s="1"/>
  <c r="C485" i="5"/>
  <c r="C486" i="5"/>
  <c r="E486" i="5" s="1"/>
  <c r="C487" i="5"/>
  <c r="E487" i="5" s="1"/>
  <c r="C169" i="5"/>
  <c r="I169" i="5" s="1"/>
  <c r="C158" i="5"/>
  <c r="D452" i="5"/>
  <c r="D458" i="5"/>
  <c r="D466" i="5"/>
  <c r="D470" i="5"/>
  <c r="D394" i="5"/>
  <c r="D457" i="5"/>
  <c r="D459" i="5"/>
  <c r="D465" i="5"/>
  <c r="D469" i="5"/>
  <c r="D475" i="5"/>
  <c r="G475" i="5" s="1"/>
  <c r="D480" i="5"/>
  <c r="D482" i="5"/>
  <c r="D396" i="5"/>
  <c r="D451" i="5"/>
  <c r="G451" i="5" s="1"/>
  <c r="D455" i="5"/>
  <c r="G455" i="5" s="1"/>
  <c r="D456" i="5"/>
  <c r="D460" i="5"/>
  <c r="D461" i="5"/>
  <c r="D464" i="5"/>
  <c r="D468" i="5"/>
  <c r="D472" i="5"/>
  <c r="D473" i="5"/>
  <c r="D474" i="5"/>
  <c r="D450" i="5"/>
  <c r="D462" i="5"/>
  <c r="D463" i="5"/>
  <c r="D467" i="5"/>
  <c r="D471" i="5"/>
  <c r="D477" i="5"/>
  <c r="C483" i="5"/>
  <c r="AX292" i="1" s="1"/>
  <c r="C62" i="5"/>
  <c r="C121" i="5"/>
  <c r="I121" i="5" s="1"/>
  <c r="AU209" i="1"/>
  <c r="C267" i="5"/>
  <c r="AX265" i="1" s="1"/>
  <c r="C92" i="5"/>
  <c r="I92" i="5" s="1"/>
  <c r="C205" i="5"/>
  <c r="C481" i="5"/>
  <c r="C482" i="5"/>
  <c r="C271" i="5"/>
  <c r="C126" i="5"/>
  <c r="C263" i="5"/>
  <c r="I263" i="5" s="1"/>
  <c r="C478" i="5"/>
  <c r="C480" i="5"/>
  <c r="C273" i="5"/>
  <c r="C155" i="5"/>
  <c r="I155" i="5" s="1"/>
  <c r="C132" i="5"/>
  <c r="C118" i="5"/>
  <c r="I118" i="5" s="1"/>
  <c r="C97" i="5"/>
  <c r="I97" i="5" s="1"/>
  <c r="AU162" i="1"/>
  <c r="AU400" i="1"/>
  <c r="C373" i="5"/>
  <c r="I373" i="5" s="1"/>
  <c r="C371" i="5"/>
  <c r="C136" i="5"/>
  <c r="C94" i="5"/>
  <c r="I94" i="5" s="1"/>
  <c r="AU300" i="1"/>
  <c r="C476" i="5"/>
  <c r="AX121" i="1" s="1"/>
  <c r="C477" i="5"/>
  <c r="AX122" i="1" s="1"/>
  <c r="C275" i="5"/>
  <c r="C262" i="5"/>
  <c r="I262" i="5" s="1"/>
  <c r="C209" i="5"/>
  <c r="C167" i="5"/>
  <c r="C309" i="5"/>
  <c r="I309" i="5" s="1"/>
  <c r="C257" i="5"/>
  <c r="I257" i="5" s="1"/>
  <c r="C185" i="5"/>
  <c r="C475" i="5"/>
  <c r="C113" i="5"/>
  <c r="I113" i="5" s="1"/>
  <c r="C392" i="5"/>
  <c r="I392" i="5" s="1"/>
  <c r="C397" i="5"/>
  <c r="I397" i="5" s="1"/>
  <c r="C395" i="5"/>
  <c r="I395" i="5" s="1"/>
  <c r="AU362" i="1"/>
  <c r="C474" i="5"/>
  <c r="C344" i="5"/>
  <c r="I344" i="5" s="1"/>
  <c r="C27" i="5"/>
  <c r="I27" i="5" s="1"/>
  <c r="C102" i="5"/>
  <c r="I102" i="5" s="1"/>
  <c r="C130" i="5"/>
  <c r="AU328" i="1"/>
  <c r="C272" i="5"/>
  <c r="C255" i="5"/>
  <c r="I255" i="5" s="1"/>
  <c r="C164" i="5"/>
  <c r="AU123" i="1"/>
  <c r="AU267" i="1"/>
  <c r="AU480" i="1"/>
  <c r="C285" i="5"/>
  <c r="C308" i="5"/>
  <c r="C276" i="5"/>
  <c r="I276" i="5" s="1"/>
  <c r="C259" i="5"/>
  <c r="I259" i="5" s="1"/>
  <c r="C249" i="5"/>
  <c r="I249" i="5" s="1"/>
  <c r="C163" i="5"/>
  <c r="C154" i="5"/>
  <c r="C115" i="5"/>
  <c r="I115" i="5" s="1"/>
  <c r="C108" i="5"/>
  <c r="I108" i="5" s="1"/>
  <c r="C96" i="5"/>
  <c r="I96" i="5" s="1"/>
  <c r="AU203" i="1"/>
  <c r="AU276" i="1"/>
  <c r="AU345" i="1"/>
  <c r="AU403" i="1"/>
  <c r="C389" i="5"/>
  <c r="I389" i="5" s="1"/>
  <c r="C60" i="5"/>
  <c r="C120" i="5"/>
  <c r="I120" i="5" s="1"/>
  <c r="AU342" i="1"/>
  <c r="C360" i="5"/>
  <c r="E360" i="5" s="1"/>
  <c r="C305" i="5"/>
  <c r="C206" i="5"/>
  <c r="AU235" i="1"/>
  <c r="C301" i="5"/>
  <c r="C233" i="5"/>
  <c r="C204" i="5"/>
  <c r="C180" i="5"/>
  <c r="C138" i="5"/>
  <c r="C128" i="5"/>
  <c r="AX268" i="1" s="1"/>
  <c r="C33" i="5"/>
  <c r="I33" i="5" s="1"/>
  <c r="AU212" i="1"/>
  <c r="AU366" i="1"/>
  <c r="C90" i="5"/>
  <c r="I90" i="5" s="1"/>
  <c r="C391" i="5"/>
  <c r="I391" i="5" s="1"/>
  <c r="C68" i="5"/>
  <c r="C156" i="5"/>
  <c r="C127" i="5"/>
  <c r="C123" i="5"/>
  <c r="I123" i="5" s="1"/>
  <c r="C390" i="5"/>
  <c r="I390" i="5" s="1"/>
  <c r="C181" i="5"/>
  <c r="C189" i="5"/>
  <c r="I189" i="5" s="1"/>
  <c r="C193" i="5"/>
  <c r="I193" i="5" s="1"/>
  <c r="C202" i="5"/>
  <c r="C379" i="5"/>
  <c r="I379" i="5" s="1"/>
  <c r="C166" i="5"/>
  <c r="C265" i="5"/>
  <c r="C217" i="5"/>
  <c r="C188" i="5"/>
  <c r="I188" i="5" s="1"/>
  <c r="C99" i="5"/>
  <c r="I99" i="5" s="1"/>
  <c r="AU70" i="1"/>
  <c r="AU311" i="1"/>
  <c r="AU463" i="1"/>
  <c r="C378" i="5"/>
  <c r="I378" i="5" s="1"/>
  <c r="C87" i="5"/>
  <c r="C289" i="5"/>
  <c r="C91" i="5"/>
  <c r="I91" i="5" s="1"/>
  <c r="AU260" i="1"/>
  <c r="C281" i="5"/>
  <c r="AX400" i="1" s="1"/>
  <c r="C269" i="5"/>
  <c r="I269" i="5" s="1"/>
  <c r="C229" i="5"/>
  <c r="C208" i="5"/>
  <c r="C200" i="5"/>
  <c r="C176" i="5"/>
  <c r="C362" i="5"/>
  <c r="E362" i="5" s="1"/>
  <c r="C354" i="5"/>
  <c r="C368" i="5"/>
  <c r="I368" i="5" s="1"/>
  <c r="C353" i="5"/>
  <c r="E353" i="5" s="1"/>
  <c r="C297" i="5"/>
  <c r="C245" i="5"/>
  <c r="I245" i="5" s="1"/>
  <c r="C293" i="5"/>
  <c r="C241" i="5"/>
  <c r="I241" i="5" s="1"/>
  <c r="C225" i="5"/>
  <c r="C196" i="5"/>
  <c r="I196" i="5" s="1"/>
  <c r="C145" i="5"/>
  <c r="I145" i="5" s="1"/>
  <c r="C356" i="5"/>
  <c r="E356" i="5" s="1"/>
  <c r="C384" i="5"/>
  <c r="I384" i="5" s="1"/>
  <c r="C253" i="5"/>
  <c r="I253" i="5" s="1"/>
  <c r="C237" i="5"/>
  <c r="I237" i="5" s="1"/>
  <c r="C221" i="5"/>
  <c r="C192" i="5"/>
  <c r="I192" i="5" s="1"/>
  <c r="C184" i="5"/>
  <c r="C165" i="5"/>
  <c r="C160" i="5"/>
  <c r="C122" i="5"/>
  <c r="I122" i="5" s="1"/>
  <c r="C17" i="5"/>
  <c r="I17" i="5" s="1"/>
  <c r="C19" i="5"/>
  <c r="I19" i="5" s="1"/>
  <c r="AU105" i="1"/>
  <c r="AU121" i="1"/>
  <c r="AU190" i="1"/>
  <c r="AU208" i="1"/>
  <c r="AU213" i="1"/>
  <c r="AU236" i="1"/>
  <c r="C358" i="5"/>
  <c r="E358" i="5" s="1"/>
  <c r="C382" i="5"/>
  <c r="I382" i="5" s="1"/>
  <c r="C304" i="5"/>
  <c r="C296" i="5"/>
  <c r="C288" i="5"/>
  <c r="C280" i="5"/>
  <c r="C264" i="5"/>
  <c r="C260" i="5"/>
  <c r="I260" i="5" s="1"/>
  <c r="C256" i="5"/>
  <c r="I256" i="5" s="1"/>
  <c r="C252" i="5"/>
  <c r="I252" i="5" s="1"/>
  <c r="C248" i="5"/>
  <c r="I248" i="5" s="1"/>
  <c r="C244" i="5"/>
  <c r="I244" i="5" s="1"/>
  <c r="C240" i="5"/>
  <c r="I240" i="5" s="1"/>
  <c r="C236" i="5"/>
  <c r="I236" i="5" s="1"/>
  <c r="C232" i="5"/>
  <c r="C228" i="5"/>
  <c r="C224" i="5"/>
  <c r="C220" i="5"/>
  <c r="C216" i="5"/>
  <c r="I216" i="5" s="1"/>
  <c r="C211" i="5"/>
  <c r="I211" i="5" s="1"/>
  <c r="C203" i="5"/>
  <c r="C199" i="5"/>
  <c r="C195" i="5"/>
  <c r="I195" i="5" s="1"/>
  <c r="C191" i="5"/>
  <c r="I191" i="5" s="1"/>
  <c r="C183" i="5"/>
  <c r="C179" i="5"/>
  <c r="C144" i="5"/>
  <c r="I144" i="5" s="1"/>
  <c r="C129" i="5"/>
  <c r="AX278" i="1" s="1"/>
  <c r="C125" i="5"/>
  <c r="C116" i="5"/>
  <c r="I116" i="5" s="1"/>
  <c r="C106" i="5"/>
  <c r="I106" i="5" s="1"/>
  <c r="C34" i="5"/>
  <c r="I34" i="5" s="1"/>
  <c r="AU252" i="1"/>
  <c r="AU261" i="1"/>
  <c r="AU265" i="1"/>
  <c r="AU290" i="1"/>
  <c r="AU351" i="1"/>
  <c r="AU355" i="1"/>
  <c r="AU369" i="1"/>
  <c r="AU373" i="1"/>
  <c r="AU392" i="1"/>
  <c r="AU405" i="1"/>
  <c r="AU453" i="1"/>
  <c r="AU464" i="1"/>
  <c r="AU482" i="1"/>
  <c r="AU486" i="1"/>
  <c r="AU497" i="1"/>
  <c r="AU560" i="1"/>
  <c r="C367" i="5"/>
  <c r="I367" i="5" s="1"/>
  <c r="C381" i="5"/>
  <c r="I381" i="5" s="1"/>
  <c r="C388" i="5"/>
  <c r="I388" i="5" s="1"/>
  <c r="C300" i="5"/>
  <c r="C284" i="5"/>
  <c r="AX403" i="1" s="1"/>
  <c r="C307" i="5"/>
  <c r="C303" i="5"/>
  <c r="C299" i="5"/>
  <c r="C295" i="5"/>
  <c r="C291" i="5"/>
  <c r="C287" i="5"/>
  <c r="C283" i="5"/>
  <c r="C279" i="5"/>
  <c r="I279" i="5" s="1"/>
  <c r="C251" i="5"/>
  <c r="I251" i="5" s="1"/>
  <c r="C247" i="5"/>
  <c r="I247" i="5" s="1"/>
  <c r="C243" i="5"/>
  <c r="I243" i="5" s="1"/>
  <c r="C239" i="5"/>
  <c r="I239" i="5" s="1"/>
  <c r="C235" i="5"/>
  <c r="I235" i="5" s="1"/>
  <c r="C231" i="5"/>
  <c r="C227" i="5"/>
  <c r="C223" i="5"/>
  <c r="C219" i="5"/>
  <c r="C214" i="5"/>
  <c r="I214" i="5" s="1"/>
  <c r="C198" i="5"/>
  <c r="I198" i="5" s="1"/>
  <c r="C194" i="5"/>
  <c r="I194" i="5" s="1"/>
  <c r="C190" i="5"/>
  <c r="I190" i="5" s="1"/>
  <c r="C186" i="5"/>
  <c r="C182" i="5"/>
  <c r="C178" i="5"/>
  <c r="C162" i="5"/>
  <c r="C124" i="5"/>
  <c r="C363" i="5"/>
  <c r="E363" i="5" s="1"/>
  <c r="C361" i="5"/>
  <c r="E361" i="5" s="1"/>
  <c r="C359" i="5"/>
  <c r="E359" i="5" s="1"/>
  <c r="C357" i="5"/>
  <c r="E357" i="5" s="1"/>
  <c r="C355" i="5"/>
  <c r="E355" i="5" s="1"/>
  <c r="C377" i="5"/>
  <c r="I377" i="5" s="1"/>
  <c r="C370" i="5"/>
  <c r="I370" i="5" s="1"/>
  <c r="C380" i="5"/>
  <c r="I380" i="5" s="1"/>
  <c r="C393" i="5"/>
  <c r="I393" i="5" s="1"/>
  <c r="C398" i="5"/>
  <c r="I398" i="5" s="1"/>
  <c r="C292" i="5"/>
  <c r="C306" i="5"/>
  <c r="C302" i="5"/>
  <c r="C298" i="5"/>
  <c r="C294" i="5"/>
  <c r="C290" i="5"/>
  <c r="C286" i="5"/>
  <c r="C282" i="5"/>
  <c r="C266" i="5"/>
  <c r="AX260" i="1" s="1"/>
  <c r="C254" i="5"/>
  <c r="I254" i="5" s="1"/>
  <c r="C250" i="5"/>
  <c r="I250" i="5" s="1"/>
  <c r="C246" i="5"/>
  <c r="I246" i="5" s="1"/>
  <c r="C242" i="5"/>
  <c r="I242" i="5" s="1"/>
  <c r="C238" i="5"/>
  <c r="I238" i="5" s="1"/>
  <c r="C234" i="5"/>
  <c r="I234" i="5" s="1"/>
  <c r="C230" i="5"/>
  <c r="C226" i="5"/>
  <c r="C222" i="5"/>
  <c r="C218" i="5"/>
  <c r="C201" i="5"/>
  <c r="C197" i="5"/>
  <c r="I197" i="5" s="1"/>
  <c r="C177" i="5"/>
  <c r="C369" i="5"/>
  <c r="I369" i="5" s="1"/>
  <c r="C394" i="5"/>
  <c r="I394" i="5" s="1"/>
  <c r="C472" i="5"/>
  <c r="C473" i="5"/>
  <c r="C470" i="5"/>
  <c r="C471" i="5"/>
  <c r="C464" i="5"/>
  <c r="C466" i="5"/>
  <c r="C468" i="5"/>
  <c r="C461" i="5"/>
  <c r="C463" i="5"/>
  <c r="C465" i="5"/>
  <c r="C467" i="5"/>
  <c r="C469" i="5"/>
  <c r="C462" i="5"/>
  <c r="C460" i="5"/>
  <c r="C21" i="5"/>
  <c r="C458" i="5"/>
  <c r="C459" i="5"/>
  <c r="C386" i="5"/>
  <c r="I386" i="5" s="1"/>
  <c r="C77" i="5"/>
  <c r="C57" i="5"/>
  <c r="AU69" i="1"/>
  <c r="C14" i="5"/>
  <c r="C455" i="5"/>
  <c r="C40" i="5"/>
  <c r="C456" i="5"/>
  <c r="C6" i="5"/>
  <c r="I6" i="5" s="1"/>
  <c r="C100" i="5"/>
  <c r="I100" i="5" s="1"/>
  <c r="C85" i="5"/>
  <c r="C69" i="5"/>
  <c r="C49" i="5"/>
  <c r="AU61" i="1"/>
  <c r="C43" i="5"/>
  <c r="C5" i="5"/>
  <c r="I5" i="5" s="1"/>
  <c r="C73" i="5"/>
  <c r="C53" i="5"/>
  <c r="C104" i="5"/>
  <c r="I104" i="5" s="1"/>
  <c r="C81" i="5"/>
  <c r="C103" i="5"/>
  <c r="C95" i="5"/>
  <c r="C84" i="5"/>
  <c r="C80" i="5"/>
  <c r="C76" i="5"/>
  <c r="C72" i="5"/>
  <c r="C56" i="5"/>
  <c r="C52" i="5"/>
  <c r="C24" i="5"/>
  <c r="C20" i="5"/>
  <c r="C387" i="5"/>
  <c r="I387" i="5" s="1"/>
  <c r="C3" i="5"/>
  <c r="C157" i="5"/>
  <c r="I157" i="5" s="1"/>
  <c r="C153" i="5"/>
  <c r="C117" i="5"/>
  <c r="I117" i="5" s="1"/>
  <c r="C98" i="5"/>
  <c r="I98" i="5" s="1"/>
  <c r="C89" i="5"/>
  <c r="I89" i="5" s="1"/>
  <c r="C83" i="5"/>
  <c r="C79" i="5"/>
  <c r="C75" i="5"/>
  <c r="C71" i="5"/>
  <c r="C59" i="5"/>
  <c r="C55" i="5"/>
  <c r="C51" i="5"/>
  <c r="C23" i="5"/>
  <c r="C18" i="5"/>
  <c r="AX44" i="1" s="1"/>
  <c r="C16" i="5"/>
  <c r="C37" i="5"/>
  <c r="I37" i="5" s="1"/>
  <c r="C93" i="5"/>
  <c r="I93" i="5" s="1"/>
  <c r="C82" i="5"/>
  <c r="C78" i="5"/>
  <c r="C74" i="5"/>
  <c r="C70" i="5"/>
  <c r="C58" i="5"/>
  <c r="C54" i="5"/>
  <c r="C50" i="5"/>
  <c r="C22" i="5"/>
  <c r="C11" i="5"/>
  <c r="I11" i="5" s="1"/>
  <c r="C15" i="5"/>
  <c r="AU76" i="1"/>
  <c r="C385" i="5"/>
  <c r="I385" i="5" s="1"/>
  <c r="C457" i="5"/>
  <c r="C47" i="5"/>
  <c r="AU287" i="1"/>
  <c r="C10" i="5"/>
  <c r="I10" i="5" s="1"/>
  <c r="C42" i="5"/>
  <c r="C45" i="5"/>
  <c r="C41" i="5"/>
  <c r="C46" i="5"/>
  <c r="C48" i="5"/>
  <c r="C44" i="5"/>
  <c r="C4" i="5"/>
  <c r="I4" i="5" s="1"/>
  <c r="C453" i="5"/>
  <c r="C112" i="5"/>
  <c r="I112" i="5" s="1"/>
  <c r="C454" i="5"/>
  <c r="E454" i="5" s="1"/>
  <c r="C9" i="5"/>
  <c r="I9" i="5" s="1"/>
  <c r="C26" i="5"/>
  <c r="I26" i="5" s="1"/>
  <c r="AU205" i="1"/>
  <c r="C151" i="5"/>
  <c r="C450" i="5"/>
  <c r="C452" i="5"/>
  <c r="C107" i="5"/>
  <c r="I107" i="5" s="1"/>
  <c r="C31" i="5"/>
  <c r="I31" i="5" s="1"/>
  <c r="C449" i="5"/>
  <c r="AU245" i="1"/>
  <c r="C28" i="5"/>
  <c r="I28" i="5" s="1"/>
  <c r="C451" i="5"/>
  <c r="C105" i="5"/>
  <c r="I105" i="5" s="1"/>
  <c r="D381" i="5"/>
  <c r="D386" i="5"/>
  <c r="D370" i="5"/>
  <c r="D368" i="5"/>
  <c r="D90" i="5"/>
  <c r="D385" i="5"/>
  <c r="D391" i="5"/>
  <c r="D397" i="5"/>
  <c r="D379" i="5"/>
  <c r="D390" i="5"/>
  <c r="D382" i="5"/>
  <c r="D380" i="5"/>
  <c r="D378" i="5"/>
  <c r="D87" i="5"/>
  <c r="D392" i="5"/>
  <c r="D398" i="5"/>
  <c r="D384" i="5"/>
  <c r="D377" i="5"/>
  <c r="D373" i="5"/>
  <c r="G373" i="5" s="1"/>
  <c r="D369" i="5"/>
  <c r="D393" i="5"/>
  <c r="H404" i="5"/>
  <c r="H408" i="5"/>
  <c r="H425" i="5"/>
  <c r="H442" i="5"/>
  <c r="H410" i="5"/>
  <c r="H429" i="5"/>
  <c r="H437" i="5"/>
  <c r="AU235" i="4"/>
  <c r="H428" i="5"/>
  <c r="H210" i="5"/>
  <c r="H417" i="5"/>
  <c r="AU230" i="4"/>
  <c r="AU243" i="4"/>
  <c r="AU254" i="4"/>
  <c r="H433" i="5"/>
  <c r="H416" i="5"/>
  <c r="AU267" i="4"/>
  <c r="AU327" i="4"/>
  <c r="H441" i="5"/>
  <c r="H445" i="5"/>
  <c r="H421" i="5"/>
  <c r="H406" i="5"/>
  <c r="H399" i="5"/>
  <c r="H444" i="5"/>
  <c r="H440" i="5"/>
  <c r="H438" i="5"/>
  <c r="H435" i="5"/>
  <c r="H424" i="5"/>
  <c r="H423" i="5"/>
  <c r="H415" i="5"/>
  <c r="H413" i="5"/>
  <c r="H411" i="5"/>
  <c r="H432" i="5"/>
  <c r="H420" i="5"/>
  <c r="H419" i="5"/>
  <c r="H405" i="5"/>
  <c r="H443" i="5"/>
  <c r="H436" i="5"/>
  <c r="H430" i="5"/>
  <c r="H426" i="5"/>
  <c r="H409" i="5"/>
  <c r="H422" i="5"/>
  <c r="H407" i="5"/>
  <c r="H439" i="5"/>
  <c r="H431" i="5"/>
  <c r="H427" i="5"/>
  <c r="H418" i="5"/>
  <c r="H414" i="5"/>
  <c r="H402" i="5"/>
  <c r="H400" i="5"/>
  <c r="AU329" i="4"/>
  <c r="H401" i="5"/>
  <c r="H403" i="5"/>
  <c r="AU293" i="4"/>
  <c r="H394" i="5"/>
  <c r="H391" i="5"/>
  <c r="H397" i="5"/>
  <c r="H396" i="5"/>
  <c r="H392" i="5"/>
  <c r="H393" i="5"/>
  <c r="H398" i="5"/>
  <c r="H395" i="5"/>
  <c r="H185" i="5"/>
  <c r="H390" i="5"/>
  <c r="H388" i="5"/>
  <c r="H384" i="5"/>
  <c r="H387" i="5"/>
  <c r="H106" i="5"/>
  <c r="H288" i="5"/>
  <c r="H383" i="5"/>
  <c r="H385" i="5"/>
  <c r="H386" i="5"/>
  <c r="H5" i="5"/>
  <c r="H236" i="5"/>
  <c r="H122" i="5"/>
  <c r="AU30" i="4"/>
  <c r="H192" i="5"/>
  <c r="H69" i="5"/>
  <c r="L69" i="5" s="1"/>
  <c r="H41" i="5"/>
  <c r="H279" i="5"/>
  <c r="H176" i="5"/>
  <c r="P176" i="5" s="1"/>
  <c r="S176" i="5" s="1"/>
  <c r="V176" i="5" s="1"/>
  <c r="AU177" i="4"/>
  <c r="H17" i="5"/>
  <c r="H171" i="5"/>
  <c r="H244" i="5"/>
  <c r="H316" i="5"/>
  <c r="H19" i="5"/>
  <c r="H92" i="5"/>
  <c r="H304" i="5"/>
  <c r="AU50" i="4"/>
  <c r="AU171" i="4"/>
  <c r="AU189" i="4"/>
  <c r="H8" i="5"/>
  <c r="H29" i="5"/>
  <c r="H57" i="5"/>
  <c r="H85" i="5"/>
  <c r="H208" i="5"/>
  <c r="H117" i="5"/>
  <c r="H332" i="5"/>
  <c r="H367" i="5"/>
  <c r="AU185" i="4"/>
  <c r="AU242" i="4"/>
  <c r="AU429" i="4"/>
  <c r="H13" i="5"/>
  <c r="P13" i="5" s="1"/>
  <c r="S13" i="5" s="1"/>
  <c r="V13" i="5" s="1"/>
  <c r="H36" i="5"/>
  <c r="H228" i="5"/>
  <c r="H76" i="5"/>
  <c r="H105" i="5"/>
  <c r="H340" i="5"/>
  <c r="AU17" i="4"/>
  <c r="AU99" i="4"/>
  <c r="AU154" i="4"/>
  <c r="AU222" i="4"/>
  <c r="AU430" i="4"/>
  <c r="H107" i="5"/>
  <c r="H31" i="5"/>
  <c r="H111" i="5"/>
  <c r="H35" i="5"/>
  <c r="H119" i="5"/>
  <c r="AU98" i="4"/>
  <c r="H61" i="5"/>
  <c r="AU181" i="4"/>
  <c r="H156" i="5"/>
  <c r="H124" i="5"/>
  <c r="H131" i="5"/>
  <c r="AU186" i="4"/>
  <c r="H206" i="5"/>
  <c r="H255" i="5"/>
  <c r="H214" i="5"/>
  <c r="H215" i="5"/>
  <c r="H382" i="5"/>
  <c r="H378" i="5"/>
  <c r="H306" i="5"/>
  <c r="H302" i="5"/>
  <c r="P302" i="5" s="1"/>
  <c r="S302" i="5" s="1"/>
  <c r="V302" i="5" s="1"/>
  <c r="H298" i="5"/>
  <c r="P298" i="5" s="1"/>
  <c r="S298" i="5" s="1"/>
  <c r="V298" i="5" s="1"/>
  <c r="H294" i="5"/>
  <c r="P294" i="5" s="1"/>
  <c r="S294" i="5" s="1"/>
  <c r="V294" i="5" s="1"/>
  <c r="H290" i="5"/>
  <c r="H286" i="5"/>
  <c r="H282" i="5"/>
  <c r="AU367" i="4"/>
  <c r="H381" i="5"/>
  <c r="H377" i="5"/>
  <c r="P377" i="5" s="1"/>
  <c r="S377" i="5" s="1"/>
  <c r="V377" i="5" s="1"/>
  <c r="H305" i="5"/>
  <c r="H301" i="5"/>
  <c r="H297" i="5"/>
  <c r="H293" i="5"/>
  <c r="H289" i="5"/>
  <c r="H285" i="5"/>
  <c r="H281" i="5"/>
  <c r="H380" i="5"/>
  <c r="H300" i="5"/>
  <c r="H292" i="5"/>
  <c r="H284" i="5"/>
  <c r="H379" i="5"/>
  <c r="H307" i="5"/>
  <c r="H299" i="5"/>
  <c r="H291" i="5"/>
  <c r="H283" i="5"/>
  <c r="H134" i="5"/>
  <c r="AU425" i="4"/>
  <c r="AU12" i="4"/>
  <c r="AU47" i="4"/>
  <c r="AU301" i="4"/>
  <c r="H20" i="5"/>
  <c r="H44" i="5"/>
  <c r="H60" i="5"/>
  <c r="H108" i="5"/>
  <c r="H183" i="5"/>
  <c r="H199" i="5"/>
  <c r="H219" i="5"/>
  <c r="H251" i="5"/>
  <c r="H267" i="5"/>
  <c r="H295" i="5"/>
  <c r="P295" i="5" s="1"/>
  <c r="S295" i="5" s="1"/>
  <c r="V295" i="5" s="1"/>
  <c r="H319" i="5"/>
  <c r="H335" i="5"/>
  <c r="H103" i="5"/>
  <c r="H95" i="5"/>
  <c r="H83" i="5"/>
  <c r="H79" i="5"/>
  <c r="H75" i="5"/>
  <c r="H71" i="5"/>
  <c r="H59" i="5"/>
  <c r="H55" i="5"/>
  <c r="H51" i="5"/>
  <c r="H23" i="5"/>
  <c r="H15" i="5"/>
  <c r="H11" i="5"/>
  <c r="H3" i="5"/>
  <c r="P3" i="5" s="1"/>
  <c r="H157" i="5"/>
  <c r="H153" i="5"/>
  <c r="H98" i="5"/>
  <c r="H82" i="5"/>
  <c r="H78" i="5"/>
  <c r="H74" i="5"/>
  <c r="O97" i="5" s="1"/>
  <c r="H70" i="5"/>
  <c r="H58" i="5"/>
  <c r="H54" i="5"/>
  <c r="H50" i="5"/>
  <c r="H22" i="5"/>
  <c r="H18" i="5"/>
  <c r="H14" i="5"/>
  <c r="H6" i="5"/>
  <c r="H89" i="5"/>
  <c r="H81" i="5"/>
  <c r="H73" i="5"/>
  <c r="H56" i="5"/>
  <c r="H80" i="5"/>
  <c r="H72" i="5"/>
  <c r="H53" i="5"/>
  <c r="H24" i="5"/>
  <c r="H104" i="5"/>
  <c r="H7" i="5"/>
  <c r="H352" i="5"/>
  <c r="H12" i="5"/>
  <c r="H32" i="5"/>
  <c r="AU53" i="4"/>
  <c r="H47" i="5"/>
  <c r="H43" i="5"/>
  <c r="H46" i="5"/>
  <c r="H42" i="5"/>
  <c r="H48" i="5"/>
  <c r="H40" i="5"/>
  <c r="H45" i="5"/>
  <c r="P45" i="5" s="1"/>
  <c r="S45" i="5" s="1"/>
  <c r="V45" i="5" s="1"/>
  <c r="AU65" i="4"/>
  <c r="H88" i="5"/>
  <c r="AU140" i="4"/>
  <c r="H99" i="5"/>
  <c r="H91" i="5"/>
  <c r="H87" i="5"/>
  <c r="H102" i="5"/>
  <c r="H90" i="5"/>
  <c r="AU147" i="4"/>
  <c r="H96" i="5"/>
  <c r="H125" i="5"/>
  <c r="AU183" i="4"/>
  <c r="H159" i="5"/>
  <c r="AU203" i="4"/>
  <c r="H202" i="5"/>
  <c r="H204" i="5"/>
  <c r="H203" i="5"/>
  <c r="H370" i="5"/>
  <c r="H266" i="5"/>
  <c r="H246" i="5"/>
  <c r="H234" i="5"/>
  <c r="H222" i="5"/>
  <c r="H194" i="5"/>
  <c r="H186" i="5"/>
  <c r="H182" i="5"/>
  <c r="H369" i="5"/>
  <c r="H265" i="5"/>
  <c r="H249" i="5"/>
  <c r="H237" i="5"/>
  <c r="H229" i="5"/>
  <c r="H225" i="5"/>
  <c r="H217" i="5"/>
  <c r="H201" i="5"/>
  <c r="H197" i="5"/>
  <c r="H177" i="5"/>
  <c r="AU298" i="4"/>
  <c r="H368" i="5"/>
  <c r="H264" i="5"/>
  <c r="H260" i="5"/>
  <c r="H240" i="5"/>
  <c r="H216" i="5"/>
  <c r="H188" i="5"/>
  <c r="P188" i="5" s="1"/>
  <c r="S188" i="5" s="1"/>
  <c r="V188" i="5" s="1"/>
  <c r="H233" i="5"/>
  <c r="P233" i="5" s="1"/>
  <c r="S233" i="5" s="1"/>
  <c r="V233" i="5" s="1"/>
  <c r="H221" i="5"/>
  <c r="H181" i="5"/>
  <c r="AU302" i="4"/>
  <c r="H232" i="5"/>
  <c r="H224" i="5"/>
  <c r="H180" i="5"/>
  <c r="AU13" i="4"/>
  <c r="AU48" i="4"/>
  <c r="AU56" i="4"/>
  <c r="AU114" i="4"/>
  <c r="AU130" i="4"/>
  <c r="AU246" i="4"/>
  <c r="AU287" i="4"/>
  <c r="H16" i="5"/>
  <c r="H21" i="5"/>
  <c r="H37" i="5"/>
  <c r="H49" i="5"/>
  <c r="H77" i="5"/>
  <c r="H93" i="5"/>
  <c r="H109" i="5"/>
  <c r="P109" i="5" s="1"/>
  <c r="S109" i="5" s="1"/>
  <c r="V109" i="5" s="1"/>
  <c r="H184" i="5"/>
  <c r="H200" i="5"/>
  <c r="H220" i="5"/>
  <c r="H252" i="5"/>
  <c r="H280" i="5"/>
  <c r="P280" i="5" s="1"/>
  <c r="S280" i="5" s="1"/>
  <c r="V280" i="5" s="1"/>
  <c r="H296" i="5"/>
  <c r="H324" i="5"/>
  <c r="H348" i="5"/>
  <c r="H371" i="5"/>
  <c r="P371" i="5" s="1"/>
  <c r="S371" i="5" s="1"/>
  <c r="V371" i="5" s="1"/>
  <c r="H4" i="5"/>
  <c r="AU10" i="4"/>
  <c r="H9" i="5"/>
  <c r="H26" i="5"/>
  <c r="AU44" i="4"/>
  <c r="H151" i="5"/>
  <c r="H112" i="5"/>
  <c r="H118" i="5"/>
  <c r="P118" i="5" s="1"/>
  <c r="S118" i="5" s="1"/>
  <c r="V118" i="5" s="1"/>
  <c r="H30" i="5"/>
  <c r="AU49" i="4"/>
  <c r="H33" i="5"/>
  <c r="AU54" i="4"/>
  <c r="H115" i="5"/>
  <c r="P115" i="5" s="1"/>
  <c r="S115" i="5" s="1"/>
  <c r="V115" i="5" s="1"/>
  <c r="H25" i="5"/>
  <c r="AU75" i="4"/>
  <c r="H338" i="5"/>
  <c r="H334" i="5"/>
  <c r="H330" i="5"/>
  <c r="H326" i="5"/>
  <c r="H322" i="5"/>
  <c r="H318" i="5"/>
  <c r="H314" i="5"/>
  <c r="H341" i="5"/>
  <c r="H337" i="5"/>
  <c r="H333" i="5"/>
  <c r="H329" i="5"/>
  <c r="H325" i="5"/>
  <c r="H321" i="5"/>
  <c r="H317" i="5"/>
  <c r="H313" i="5"/>
  <c r="H339" i="5"/>
  <c r="H331" i="5"/>
  <c r="H323" i="5"/>
  <c r="H315" i="5"/>
  <c r="AU112" i="4"/>
  <c r="H336" i="5"/>
  <c r="H328" i="5"/>
  <c r="H320" i="5"/>
  <c r="H312" i="5"/>
  <c r="P312" i="5" s="1"/>
  <c r="S312" i="5" s="1"/>
  <c r="V312" i="5" s="1"/>
  <c r="H346" i="5"/>
  <c r="H150" i="5"/>
  <c r="H114" i="5"/>
  <c r="H152" i="5"/>
  <c r="AU193" i="4"/>
  <c r="H165" i="5"/>
  <c r="AU219" i="4"/>
  <c r="H250" i="5"/>
  <c r="H238" i="5"/>
  <c r="H198" i="5"/>
  <c r="H253" i="5"/>
  <c r="H241" i="5"/>
  <c r="H189" i="5"/>
  <c r="P189" i="5" s="1"/>
  <c r="S189" i="5" s="1"/>
  <c r="V189" i="5" s="1"/>
  <c r="AU349" i="4"/>
  <c r="H247" i="5"/>
  <c r="H195" i="5"/>
  <c r="H310" i="5"/>
  <c r="AU427" i="4"/>
  <c r="AU6" i="4"/>
  <c r="AU202" i="4"/>
  <c r="AU221" i="4"/>
  <c r="AU278" i="4"/>
  <c r="H28" i="5"/>
  <c r="H52" i="5"/>
  <c r="H84" i="5"/>
  <c r="H100" i="5"/>
  <c r="H116" i="5"/>
  <c r="P116" i="5" s="1"/>
  <c r="S116" i="5" s="1"/>
  <c r="V116" i="5" s="1"/>
  <c r="H191" i="5"/>
  <c r="P191" i="5" s="1"/>
  <c r="S191" i="5" s="1"/>
  <c r="V191" i="5" s="1"/>
  <c r="H207" i="5"/>
  <c r="H227" i="5"/>
  <c r="H243" i="5"/>
  <c r="H287" i="5"/>
  <c r="H303" i="5"/>
  <c r="H311" i="5"/>
  <c r="H327" i="5"/>
  <c r="H179" i="5"/>
  <c r="H223" i="5"/>
  <c r="H231" i="5"/>
  <c r="H239" i="5"/>
  <c r="H10" i="5"/>
  <c r="P10" i="5" s="1"/>
  <c r="S10" i="5" s="1"/>
  <c r="V10" i="5" s="1"/>
  <c r="H27" i="5"/>
  <c r="H110" i="5"/>
  <c r="P110" i="5" s="1"/>
  <c r="S110" i="5" s="1"/>
  <c r="V110" i="5" s="1"/>
  <c r="H34" i="5"/>
  <c r="H94" i="5"/>
  <c r="H205" i="5"/>
  <c r="H254" i="5"/>
  <c r="H242" i="5"/>
  <c r="H230" i="5"/>
  <c r="H226" i="5"/>
  <c r="H218" i="5"/>
  <c r="H190" i="5"/>
  <c r="H178" i="5"/>
  <c r="H245" i="5"/>
  <c r="H193" i="5"/>
  <c r="H174" i="5"/>
  <c r="AU428" i="4"/>
  <c r="AU137" i="4"/>
  <c r="AU292" i="4"/>
  <c r="AU300" i="4"/>
  <c r="H97" i="5"/>
  <c r="H113" i="5"/>
  <c r="H121" i="5"/>
  <c r="H196" i="5"/>
  <c r="H248" i="5"/>
  <c r="H256" i="5"/>
  <c r="AT193" i="3"/>
  <c r="F87" i="5"/>
  <c r="AT435" i="3"/>
  <c r="AT282" i="3"/>
  <c r="AT294" i="3"/>
  <c r="AT429" i="3"/>
  <c r="F379" i="5"/>
  <c r="F92" i="5"/>
  <c r="AT355" i="3"/>
  <c r="F12" i="5"/>
  <c r="F26" i="5"/>
  <c r="F380" i="5"/>
  <c r="F381" i="5"/>
  <c r="F43" i="5"/>
  <c r="F382" i="5"/>
  <c r="F378" i="5"/>
  <c r="F91" i="5"/>
  <c r="AT448" i="3"/>
  <c r="F214" i="5"/>
  <c r="F377" i="5"/>
  <c r="F264" i="5"/>
  <c r="F7" i="5"/>
  <c r="F35" i="5"/>
  <c r="F158" i="5"/>
  <c r="F368" i="5"/>
  <c r="F8" i="5"/>
  <c r="F38" i="5"/>
  <c r="F369" i="5"/>
  <c r="F10" i="5"/>
  <c r="F300" i="5"/>
  <c r="F62" i="5"/>
  <c r="F111" i="5"/>
  <c r="F210" i="5"/>
  <c r="F370" i="5"/>
  <c r="AT41" i="3"/>
  <c r="F105" i="5"/>
  <c r="F28" i="5"/>
  <c r="AT49" i="3"/>
  <c r="F32" i="5"/>
  <c r="F108" i="5"/>
  <c r="AT219" i="3"/>
  <c r="F141" i="5"/>
  <c r="AT223" i="3"/>
  <c r="F145" i="5"/>
  <c r="AT227" i="3"/>
  <c r="F149" i="5"/>
  <c r="AT256" i="3"/>
  <c r="F164" i="5"/>
  <c r="F160" i="5"/>
  <c r="AT293" i="3"/>
  <c r="F171" i="5"/>
  <c r="AT411" i="3"/>
  <c r="F258" i="5"/>
  <c r="AT415" i="3"/>
  <c r="F262" i="5"/>
  <c r="AT432" i="3"/>
  <c r="F274" i="5"/>
  <c r="AT46" i="3"/>
  <c r="F39" i="5"/>
  <c r="F19" i="5"/>
  <c r="F33" i="5"/>
  <c r="F47" i="5"/>
  <c r="F54" i="5"/>
  <c r="F75" i="5"/>
  <c r="F100" i="5"/>
  <c r="F248" i="5"/>
  <c r="AT6" i="3"/>
  <c r="F157" i="5"/>
  <c r="F153" i="5"/>
  <c r="F98" i="5"/>
  <c r="F89" i="5"/>
  <c r="F85" i="5"/>
  <c r="F81" i="5"/>
  <c r="F77" i="5"/>
  <c r="F73" i="5"/>
  <c r="F117" i="5"/>
  <c r="F93" i="5"/>
  <c r="F84" i="5"/>
  <c r="F80" i="5"/>
  <c r="F76" i="5"/>
  <c r="F72" i="5"/>
  <c r="F56" i="5"/>
  <c r="F52" i="5"/>
  <c r="F24" i="5"/>
  <c r="F20" i="5"/>
  <c r="F16" i="5"/>
  <c r="F104" i="5"/>
  <c r="F79" i="5"/>
  <c r="F71" i="5"/>
  <c r="F55" i="5"/>
  <c r="F50" i="5"/>
  <c r="F23" i="5"/>
  <c r="F18" i="5"/>
  <c r="F103" i="5"/>
  <c r="F95" i="5"/>
  <c r="AT13" i="3"/>
  <c r="F352" i="5"/>
  <c r="AT50" i="3"/>
  <c r="F109" i="5"/>
  <c r="AT162" i="3"/>
  <c r="F101" i="5"/>
  <c r="AT203" i="3"/>
  <c r="F128" i="5"/>
  <c r="AT240" i="3"/>
  <c r="F154" i="5"/>
  <c r="AT289" i="3"/>
  <c r="F166" i="5"/>
  <c r="AT304" i="3"/>
  <c r="F227" i="5"/>
  <c r="F181" i="5"/>
  <c r="F184" i="5"/>
  <c r="F180" i="5"/>
  <c r="F233" i="5"/>
  <c r="F221" i="5"/>
  <c r="F224" i="5"/>
  <c r="F220" i="5"/>
  <c r="AT323" i="3"/>
  <c r="F198" i="5"/>
  <c r="AT351" i="3"/>
  <c r="F208" i="5"/>
  <c r="AT412" i="3"/>
  <c r="F259" i="5"/>
  <c r="AT231" i="3"/>
  <c r="F350" i="5"/>
  <c r="F21" i="5"/>
  <c r="F49" i="5"/>
  <c r="F131" i="5"/>
  <c r="F162" i="5"/>
  <c r="F228" i="5"/>
  <c r="F288" i="5"/>
  <c r="AT118" i="3"/>
  <c r="F339" i="5"/>
  <c r="F335" i="5"/>
  <c r="F331" i="5"/>
  <c r="F327" i="5"/>
  <c r="F323" i="5"/>
  <c r="F319" i="5"/>
  <c r="F315" i="5"/>
  <c r="F311" i="5"/>
  <c r="F338" i="5"/>
  <c r="F334" i="5"/>
  <c r="F330" i="5"/>
  <c r="F326" i="5"/>
  <c r="F322" i="5"/>
  <c r="F318" i="5"/>
  <c r="F314" i="5"/>
  <c r="F341" i="5"/>
  <c r="F337" i="5"/>
  <c r="F333" i="5"/>
  <c r="F329" i="5"/>
  <c r="F325" i="5"/>
  <c r="F321" i="5"/>
  <c r="F317" i="5"/>
  <c r="F313" i="5"/>
  <c r="F340" i="5"/>
  <c r="F324" i="5"/>
  <c r="F336" i="5"/>
  <c r="F320" i="5"/>
  <c r="AT138" i="3"/>
  <c r="F343" i="5"/>
  <c r="AT228" i="3"/>
  <c r="F347" i="5"/>
  <c r="AT232" i="3"/>
  <c r="F351" i="5"/>
  <c r="AT283" i="3"/>
  <c r="F365" i="5"/>
  <c r="F15" i="5"/>
  <c r="F22" i="5"/>
  <c r="F30" i="5"/>
  <c r="F37" i="5"/>
  <c r="F51" i="5"/>
  <c r="F58" i="5"/>
  <c r="F70" i="5"/>
  <c r="F82" i="5"/>
  <c r="F115" i="5"/>
  <c r="F142" i="5"/>
  <c r="F194" i="5"/>
  <c r="F232" i="5"/>
  <c r="F276" i="5"/>
  <c r="F312" i="5"/>
  <c r="F344" i="5"/>
  <c r="AT61" i="3"/>
  <c r="F48" i="5"/>
  <c r="F44" i="5"/>
  <c r="F40" i="5"/>
  <c r="F45" i="5"/>
  <c r="AT103" i="3"/>
  <c r="F61" i="5"/>
  <c r="F119" i="5"/>
  <c r="AT145" i="3"/>
  <c r="F94" i="5"/>
  <c r="F121" i="5"/>
  <c r="F97" i="5"/>
  <c r="F88" i="5"/>
  <c r="AT211" i="3"/>
  <c r="F135" i="5"/>
  <c r="AT215" i="3"/>
  <c r="F138" i="5"/>
  <c r="AT288" i="3"/>
  <c r="F165" i="5"/>
  <c r="AT315" i="3"/>
  <c r="F187" i="5"/>
  <c r="AT350" i="3"/>
  <c r="F207" i="5"/>
  <c r="F41" i="5"/>
  <c r="F127" i="5"/>
  <c r="F178" i="5"/>
  <c r="F216" i="5"/>
  <c r="F284" i="5"/>
  <c r="F328" i="5"/>
  <c r="F360" i="5"/>
  <c r="AT24" i="3"/>
  <c r="F122" i="5"/>
  <c r="AT35" i="3"/>
  <c r="F36" i="5"/>
  <c r="AT42" i="3"/>
  <c r="F106" i="5"/>
  <c r="F29" i="5"/>
  <c r="AT197" i="3"/>
  <c r="F156" i="5"/>
  <c r="F124" i="5"/>
  <c r="AT207" i="3"/>
  <c r="F155" i="5"/>
  <c r="F132" i="5"/>
  <c r="AT212" i="3"/>
  <c r="F136" i="5"/>
  <c r="AT235" i="3"/>
  <c r="F114" i="5"/>
  <c r="F152" i="5"/>
  <c r="F150" i="5"/>
  <c r="AT276" i="3"/>
  <c r="F161" i="5"/>
  <c r="AT300" i="3"/>
  <c r="F243" i="5"/>
  <c r="F201" i="5"/>
  <c r="F197" i="5"/>
  <c r="F177" i="5"/>
  <c r="F266" i="5"/>
  <c r="F246" i="5"/>
  <c r="F234" i="5"/>
  <c r="F222" i="5"/>
  <c r="F200" i="5"/>
  <c r="F188" i="5"/>
  <c r="F176" i="5"/>
  <c r="F265" i="5"/>
  <c r="F249" i="5"/>
  <c r="F237" i="5"/>
  <c r="F229" i="5"/>
  <c r="F225" i="5"/>
  <c r="F217" i="5"/>
  <c r="F191" i="5"/>
  <c r="F240" i="5"/>
  <c r="F186" i="5"/>
  <c r="F182" i="5"/>
  <c r="AT416" i="3"/>
  <c r="F263" i="5"/>
  <c r="F269" i="5"/>
  <c r="AT428" i="3"/>
  <c r="F267" i="5"/>
  <c r="AT433" i="3"/>
  <c r="F275" i="5"/>
  <c r="AT201" i="3"/>
  <c r="F346" i="5"/>
  <c r="F14" i="5"/>
  <c r="F27" i="5"/>
  <c r="F42" i="5"/>
  <c r="F57" i="5"/>
  <c r="F78" i="5"/>
  <c r="F190" i="5"/>
  <c r="F260" i="5"/>
  <c r="F332" i="5"/>
  <c r="AT11" i="3"/>
  <c r="F5" i="5"/>
  <c r="AT39" i="3"/>
  <c r="F113" i="5"/>
  <c r="AT48" i="3"/>
  <c r="F107" i="5"/>
  <c r="AT100" i="3"/>
  <c r="F60" i="5"/>
  <c r="F116" i="5"/>
  <c r="AT144" i="3"/>
  <c r="F102" i="5"/>
  <c r="F96" i="5"/>
  <c r="AT200" i="3"/>
  <c r="F126" i="5"/>
  <c r="AT205" i="3"/>
  <c r="F130" i="5"/>
  <c r="AT209" i="3"/>
  <c r="F134" i="5"/>
  <c r="AT214" i="3"/>
  <c r="F137" i="5"/>
  <c r="AT218" i="3"/>
  <c r="F140" i="5"/>
  <c r="AT222" i="3"/>
  <c r="F144" i="5"/>
  <c r="AT226" i="3"/>
  <c r="F148" i="5"/>
  <c r="AT249" i="3"/>
  <c r="F159" i="5"/>
  <c r="AT291" i="3"/>
  <c r="F168" i="5"/>
  <c r="AT302" i="3"/>
  <c r="F367" i="5"/>
  <c r="F251" i="5"/>
  <c r="F239" i="5"/>
  <c r="F231" i="5"/>
  <c r="F223" i="5"/>
  <c r="F219" i="5"/>
  <c r="F193" i="5"/>
  <c r="F254" i="5"/>
  <c r="F242" i="5"/>
  <c r="F230" i="5"/>
  <c r="F226" i="5"/>
  <c r="F218" i="5"/>
  <c r="F196" i="5"/>
  <c r="F245" i="5"/>
  <c r="F199" i="5"/>
  <c r="F183" i="5"/>
  <c r="F179" i="5"/>
  <c r="F236" i="5"/>
  <c r="AT340" i="3"/>
  <c r="F279" i="5"/>
  <c r="F204" i="5"/>
  <c r="F203" i="5"/>
  <c r="F202" i="5"/>
  <c r="F252" i="5"/>
  <c r="AT347" i="3"/>
  <c r="F255" i="5"/>
  <c r="AT410" i="3"/>
  <c r="F257" i="5"/>
  <c r="AT414" i="3"/>
  <c r="F261" i="5"/>
  <c r="AT431" i="3"/>
  <c r="F271" i="5"/>
  <c r="AT453" i="3"/>
  <c r="F307" i="5"/>
  <c r="F303" i="5"/>
  <c r="F299" i="5"/>
  <c r="F295" i="5"/>
  <c r="F291" i="5"/>
  <c r="F287" i="5"/>
  <c r="F283" i="5"/>
  <c r="F306" i="5"/>
  <c r="F302" i="5"/>
  <c r="F298" i="5"/>
  <c r="F294" i="5"/>
  <c r="F290" i="5"/>
  <c r="F286" i="5"/>
  <c r="F282" i="5"/>
  <c r="F305" i="5"/>
  <c r="F301" i="5"/>
  <c r="F297" i="5"/>
  <c r="F293" i="5"/>
  <c r="F289" i="5"/>
  <c r="F285" i="5"/>
  <c r="F281" i="5"/>
  <c r="F296" i="5"/>
  <c r="F280" i="5"/>
  <c r="F292" i="5"/>
  <c r="AT229" i="3"/>
  <c r="F175" i="5"/>
  <c r="F6" i="5"/>
  <c r="F11" i="5"/>
  <c r="F17" i="5"/>
  <c r="F25" i="5"/>
  <c r="F31" i="5"/>
  <c r="F46" i="5"/>
  <c r="F53" i="5"/>
  <c r="F59" i="5"/>
  <c r="F74" i="5"/>
  <c r="F83" i="5"/>
  <c r="F99" i="5"/>
  <c r="F146" i="5"/>
  <c r="F174" i="5"/>
  <c r="F206" i="5"/>
  <c r="F244" i="5"/>
  <c r="F304" i="5"/>
  <c r="F316" i="5"/>
  <c r="F348" i="5"/>
  <c r="AT38" i="3"/>
  <c r="F151" i="5"/>
  <c r="F112" i="5"/>
  <c r="AT43" i="3"/>
  <c r="F118" i="5"/>
  <c r="AT51" i="3"/>
  <c r="F110" i="5"/>
  <c r="AT111" i="3"/>
  <c r="F68" i="5"/>
  <c r="AT186" i="3"/>
  <c r="F120" i="5"/>
  <c r="AT199" i="3"/>
  <c r="F125" i="5"/>
  <c r="AT204" i="3"/>
  <c r="F129" i="5"/>
  <c r="AT208" i="3"/>
  <c r="F133" i="5"/>
  <c r="AT213" i="3"/>
  <c r="F309" i="5"/>
  <c r="AT217" i="3"/>
  <c r="F139" i="5"/>
  <c r="AT221" i="3"/>
  <c r="F143" i="5"/>
  <c r="AT225" i="3"/>
  <c r="F147" i="5"/>
  <c r="AT290" i="3"/>
  <c r="F167" i="5"/>
  <c r="AT311" i="3"/>
  <c r="F185" i="5"/>
  <c r="AT320" i="3"/>
  <c r="F247" i="5"/>
  <c r="F235" i="5"/>
  <c r="F189" i="5"/>
  <c r="F250" i="5"/>
  <c r="F238" i="5"/>
  <c r="F192" i="5"/>
  <c r="F253" i="5"/>
  <c r="F241" i="5"/>
  <c r="F195" i="5"/>
  <c r="AT346" i="3"/>
  <c r="F205" i="5"/>
  <c r="AT352" i="3"/>
  <c r="F209" i="5"/>
  <c r="AT430" i="3"/>
  <c r="F270" i="5"/>
  <c r="AT434" i="3"/>
  <c r="F278" i="5"/>
  <c r="AT124" i="3"/>
  <c r="F342" i="5"/>
  <c r="AT191" i="3"/>
  <c r="F345" i="5"/>
  <c r="AT230" i="3"/>
  <c r="F349" i="5"/>
  <c r="AT257" i="3"/>
  <c r="F363" i="5"/>
  <c r="F359" i="5"/>
  <c r="F355" i="5"/>
  <c r="F362" i="5"/>
  <c r="F358" i="5"/>
  <c r="F354" i="5"/>
  <c r="F361" i="5"/>
  <c r="F357" i="5"/>
  <c r="F353" i="5"/>
  <c r="F9" i="5"/>
  <c r="F13" i="5"/>
  <c r="F34" i="5"/>
  <c r="F256" i="5"/>
  <c r="F356" i="5"/>
  <c r="D367" i="5"/>
  <c r="D352" i="5"/>
  <c r="D348" i="5"/>
  <c r="D71" i="5"/>
  <c r="D241" i="5"/>
  <c r="D67" i="5"/>
  <c r="D4" i="5"/>
  <c r="D8" i="5"/>
  <c r="D309" i="5"/>
  <c r="D24" i="5"/>
  <c r="D35" i="5"/>
  <c r="E35" i="5" s="1"/>
  <c r="D47" i="5"/>
  <c r="E47" i="5" s="1"/>
  <c r="D129" i="5"/>
  <c r="D144" i="5"/>
  <c r="E144" i="5" s="1"/>
  <c r="D168" i="5"/>
  <c r="D212" i="5"/>
  <c r="G212" i="5" s="1"/>
  <c r="D261" i="5"/>
  <c r="D305" i="5"/>
  <c r="D16" i="5"/>
  <c r="D64" i="5"/>
  <c r="E64" i="5" s="1"/>
  <c r="D160" i="5"/>
  <c r="D289" i="5"/>
  <c r="E289" i="5" s="1"/>
  <c r="D152" i="5"/>
  <c r="E152" i="5" s="1"/>
  <c r="D245" i="5"/>
  <c r="D27" i="5"/>
  <c r="D55" i="5"/>
  <c r="D68" i="5"/>
  <c r="D97" i="5"/>
  <c r="D133" i="5"/>
  <c r="D148" i="5"/>
  <c r="D176" i="5"/>
  <c r="D225" i="5"/>
  <c r="D273" i="5"/>
  <c r="G273" i="5" s="1"/>
  <c r="D32" i="5"/>
  <c r="D79" i="5"/>
  <c r="D140" i="5"/>
  <c r="D208" i="5"/>
  <c r="D257" i="5"/>
  <c r="D31" i="5"/>
  <c r="D63" i="5"/>
  <c r="G63" i="5" s="1"/>
  <c r="D113" i="5"/>
  <c r="D137" i="5"/>
  <c r="E137" i="5" s="1"/>
  <c r="D156" i="5"/>
  <c r="E156" i="5" s="1"/>
  <c r="D192" i="5"/>
  <c r="D277" i="5"/>
  <c r="AT6" i="2"/>
  <c r="D104" i="5"/>
  <c r="D100" i="5"/>
  <c r="D82" i="5"/>
  <c r="D78" i="5"/>
  <c r="D74" i="5"/>
  <c r="D70" i="5"/>
  <c r="D58" i="5"/>
  <c r="D54" i="5"/>
  <c r="D50" i="5"/>
  <c r="D22" i="5"/>
  <c r="D18" i="5"/>
  <c r="D14" i="5"/>
  <c r="D6" i="5"/>
  <c r="D103" i="5"/>
  <c r="D95" i="5"/>
  <c r="D89" i="5"/>
  <c r="D85" i="5"/>
  <c r="D81" i="5"/>
  <c r="D77" i="5"/>
  <c r="D73" i="5"/>
  <c r="D69" i="5"/>
  <c r="D57" i="5"/>
  <c r="D53" i="5"/>
  <c r="D49" i="5"/>
  <c r="D37" i="5"/>
  <c r="D21" i="5"/>
  <c r="D157" i="5"/>
  <c r="D153" i="5"/>
  <c r="D98" i="5"/>
  <c r="D93" i="5"/>
  <c r="AT24" i="2"/>
  <c r="D17" i="5"/>
  <c r="D122" i="5"/>
  <c r="AT42" i="2"/>
  <c r="D29" i="5"/>
  <c r="E29" i="5" s="1"/>
  <c r="D106" i="5"/>
  <c r="AT47" i="2"/>
  <c r="D33" i="5"/>
  <c r="AT98" i="2"/>
  <c r="D119" i="5"/>
  <c r="E119" i="5" s="1"/>
  <c r="D61" i="5"/>
  <c r="E61" i="5" s="1"/>
  <c r="AT108" i="2"/>
  <c r="D65" i="5"/>
  <c r="E65" i="5" s="1"/>
  <c r="AT181" i="2"/>
  <c r="D120" i="5"/>
  <c r="AT193" i="2"/>
  <c r="D126" i="5"/>
  <c r="AT197" i="2"/>
  <c r="D130" i="5"/>
  <c r="AT201" i="2"/>
  <c r="D134" i="5"/>
  <c r="E134" i="5" s="1"/>
  <c r="AT205" i="2"/>
  <c r="D138" i="5"/>
  <c r="E138" i="5" s="1"/>
  <c r="AT209" i="2"/>
  <c r="D141" i="5"/>
  <c r="E141" i="5" s="1"/>
  <c r="AT213" i="2"/>
  <c r="D145" i="5"/>
  <c r="AT217" i="2"/>
  <c r="D149" i="5"/>
  <c r="E149" i="5" s="1"/>
  <c r="AT252" i="2"/>
  <c r="D161" i="5"/>
  <c r="E161" i="5" s="1"/>
  <c r="AT262" i="2"/>
  <c r="D165" i="5"/>
  <c r="AT266" i="2"/>
  <c r="D169" i="5"/>
  <c r="AT271" i="2"/>
  <c r="D173" i="5"/>
  <c r="E173" i="5" s="1"/>
  <c r="AT290" i="2"/>
  <c r="D185" i="5"/>
  <c r="AT298" i="2"/>
  <c r="D244" i="5"/>
  <c r="D195" i="5"/>
  <c r="D247" i="5"/>
  <c r="D235" i="5"/>
  <c r="D198" i="5"/>
  <c r="D250" i="5"/>
  <c r="D238" i="5"/>
  <c r="D189" i="5"/>
  <c r="AT324" i="2"/>
  <c r="D256" i="5"/>
  <c r="D205" i="5"/>
  <c r="AT334" i="2"/>
  <c r="D213" i="5"/>
  <c r="E213" i="5" s="1"/>
  <c r="AT414" i="2"/>
  <c r="D270" i="5"/>
  <c r="E270" i="5" s="1"/>
  <c r="AT423" i="2"/>
  <c r="D278" i="5"/>
  <c r="E278" i="5" s="1"/>
  <c r="D3" i="5"/>
  <c r="D11" i="5"/>
  <c r="D19" i="5"/>
  <c r="D40" i="5"/>
  <c r="D48" i="5"/>
  <c r="D56" i="5"/>
  <c r="D72" i="5"/>
  <c r="D80" i="5"/>
  <c r="E80" i="5" s="1"/>
  <c r="D101" i="5"/>
  <c r="E101" i="5" s="1"/>
  <c r="D117" i="5"/>
  <c r="D164" i="5"/>
  <c r="D180" i="5"/>
  <c r="D196" i="5"/>
  <c r="D229" i="5"/>
  <c r="D293" i="5"/>
  <c r="AT488" i="2"/>
  <c r="D308" i="5"/>
  <c r="G308" i="5" s="1"/>
  <c r="D12" i="5"/>
  <c r="E12" i="5" s="1"/>
  <c r="D20" i="5"/>
  <c r="D28" i="5"/>
  <c r="D43" i="5"/>
  <c r="D51" i="5"/>
  <c r="D59" i="5"/>
  <c r="D75" i="5"/>
  <c r="E75" i="5" s="1"/>
  <c r="D83" i="5"/>
  <c r="D88" i="5"/>
  <c r="E88" i="5" s="1"/>
  <c r="D105" i="5"/>
  <c r="D121" i="5"/>
  <c r="D184" i="5"/>
  <c r="D200" i="5"/>
  <c r="D217" i="5"/>
  <c r="D233" i="5"/>
  <c r="D249" i="5"/>
  <c r="D265" i="5"/>
  <c r="D281" i="5"/>
  <c r="D297" i="5"/>
  <c r="AT330" i="2"/>
  <c r="D209" i="5"/>
  <c r="AT396" i="2"/>
  <c r="D258" i="5"/>
  <c r="E258" i="5" s="1"/>
  <c r="AT400" i="2"/>
  <c r="D262" i="5"/>
  <c r="AT418" i="2"/>
  <c r="D274" i="5"/>
  <c r="E274" i="5" s="1"/>
  <c r="AT10" i="2"/>
  <c r="D9" i="5"/>
  <c r="AT14" i="2"/>
  <c r="D13" i="5"/>
  <c r="E13" i="5" s="1"/>
  <c r="AT38" i="2"/>
  <c r="D151" i="5"/>
  <c r="D112" i="5"/>
  <c r="D26" i="5"/>
  <c r="AT43" i="2"/>
  <c r="D30" i="5"/>
  <c r="E30" i="5" s="1"/>
  <c r="D118" i="5"/>
  <c r="AT48" i="2"/>
  <c r="D34" i="5"/>
  <c r="D110" i="5"/>
  <c r="E110" i="5" s="1"/>
  <c r="AT99" i="2"/>
  <c r="D62" i="5"/>
  <c r="AT109" i="2"/>
  <c r="D66" i="5"/>
  <c r="AT139" i="2"/>
  <c r="D96" i="5"/>
  <c r="D91" i="5"/>
  <c r="D99" i="5"/>
  <c r="D102" i="5"/>
  <c r="E102" i="5" s="1"/>
  <c r="AT194" i="2"/>
  <c r="D127" i="5"/>
  <c r="AT198" i="2"/>
  <c r="D131" i="5"/>
  <c r="AT202" i="2"/>
  <c r="D135" i="5"/>
  <c r="E135" i="5" s="1"/>
  <c r="AT206" i="2"/>
  <c r="AT210" i="2"/>
  <c r="D142" i="5"/>
  <c r="E142" i="5" s="1"/>
  <c r="AT214" i="2"/>
  <c r="D146" i="5"/>
  <c r="E146" i="5" s="1"/>
  <c r="AT220" i="2"/>
  <c r="D114" i="5"/>
  <c r="E114" i="5" s="1"/>
  <c r="AT225" i="2"/>
  <c r="D154" i="5"/>
  <c r="E154" i="5" s="1"/>
  <c r="AT235" i="2"/>
  <c r="D158" i="5"/>
  <c r="AT263" i="2"/>
  <c r="D166" i="5"/>
  <c r="AT267" i="2"/>
  <c r="D170" i="5"/>
  <c r="AT272" i="2"/>
  <c r="D174" i="5"/>
  <c r="E174" i="5" s="1"/>
  <c r="AT281" i="2"/>
  <c r="D248" i="5"/>
  <c r="D236" i="5"/>
  <c r="D199" i="5"/>
  <c r="D183" i="5"/>
  <c r="E183" i="5" s="1"/>
  <c r="D179" i="5"/>
  <c r="E179" i="5" s="1"/>
  <c r="D251" i="5"/>
  <c r="D239" i="5"/>
  <c r="D231" i="5"/>
  <c r="D223" i="5"/>
  <c r="D219" i="5"/>
  <c r="D190" i="5"/>
  <c r="D178" i="5"/>
  <c r="D254" i="5"/>
  <c r="D242" i="5"/>
  <c r="D230" i="5"/>
  <c r="D226" i="5"/>
  <c r="D218" i="5"/>
  <c r="D193" i="5"/>
  <c r="AT318" i="2"/>
  <c r="D252" i="5"/>
  <c r="D203" i="5"/>
  <c r="D279" i="5"/>
  <c r="D202" i="5"/>
  <c r="AT325" i="2"/>
  <c r="D255" i="5"/>
  <c r="D206" i="5"/>
  <c r="AT331" i="2"/>
  <c r="D210" i="5"/>
  <c r="E210" i="5" s="1"/>
  <c r="AT335" i="2"/>
  <c r="D214" i="5"/>
  <c r="AT397" i="2"/>
  <c r="D276" i="5"/>
  <c r="D259" i="5"/>
  <c r="AT401" i="2"/>
  <c r="D263" i="5"/>
  <c r="AT411" i="2"/>
  <c r="D267" i="5"/>
  <c r="AT415" i="2"/>
  <c r="D271" i="5"/>
  <c r="AT419" i="2"/>
  <c r="D275" i="5"/>
  <c r="D7" i="5"/>
  <c r="E7" i="5" s="1"/>
  <c r="D15" i="5"/>
  <c r="D23" i="5"/>
  <c r="D44" i="5"/>
  <c r="D52" i="5"/>
  <c r="D60" i="5"/>
  <c r="D76" i="5"/>
  <c r="D84" i="5"/>
  <c r="D92" i="5"/>
  <c r="D109" i="5"/>
  <c r="D172" i="5"/>
  <c r="G172" i="5" s="1"/>
  <c r="D188" i="5"/>
  <c r="D204" i="5"/>
  <c r="D221" i="5"/>
  <c r="D237" i="5"/>
  <c r="D253" i="5"/>
  <c r="D269" i="5"/>
  <c r="D285" i="5"/>
  <c r="D301" i="5"/>
  <c r="D177" i="5"/>
  <c r="D181" i="5"/>
  <c r="D197" i="5"/>
  <c r="D201" i="5"/>
  <c r="E201" i="5" s="1"/>
  <c r="D222" i="5"/>
  <c r="D234" i="5"/>
  <c r="D246" i="5"/>
  <c r="D266" i="5"/>
  <c r="D282" i="5"/>
  <c r="D286" i="5"/>
  <c r="D290" i="5"/>
  <c r="D294" i="5"/>
  <c r="D298" i="5"/>
  <c r="D302" i="5"/>
  <c r="D306" i="5"/>
  <c r="D310" i="5"/>
  <c r="D5" i="5"/>
  <c r="E5" i="5" s="1"/>
  <c r="D25" i="5"/>
  <c r="E25" i="5" s="1"/>
  <c r="D41" i="5"/>
  <c r="D45" i="5"/>
  <c r="E45" i="5" s="1"/>
  <c r="D107" i="5"/>
  <c r="D111" i="5"/>
  <c r="E111" i="5" s="1"/>
  <c r="D115" i="5"/>
  <c r="D123" i="5"/>
  <c r="D150" i="5"/>
  <c r="E150" i="5" s="1"/>
  <c r="D162" i="5"/>
  <c r="D182" i="5"/>
  <c r="E182" i="5" s="1"/>
  <c r="D186" i="5"/>
  <c r="D194" i="5"/>
  <c r="D227" i="5"/>
  <c r="D243" i="5"/>
  <c r="E243" i="5" s="1"/>
  <c r="D283" i="5"/>
  <c r="D287" i="5"/>
  <c r="D291" i="5"/>
  <c r="D295" i="5"/>
  <c r="D299" i="5"/>
  <c r="D303" i="5"/>
  <c r="D307" i="5"/>
  <c r="D94" i="5"/>
  <c r="D10" i="5"/>
  <c r="D42" i="5"/>
  <c r="D46" i="5"/>
  <c r="D108" i="5"/>
  <c r="D116" i="5"/>
  <c r="D124" i="5"/>
  <c r="D128" i="5"/>
  <c r="D132" i="5"/>
  <c r="D136" i="5"/>
  <c r="D139" i="5"/>
  <c r="E139" i="5" s="1"/>
  <c r="D143" i="5"/>
  <c r="E143" i="5" s="1"/>
  <c r="D147" i="5"/>
  <c r="E147" i="5" s="1"/>
  <c r="D155" i="5"/>
  <c r="D159" i="5"/>
  <c r="E159" i="5" s="1"/>
  <c r="D163" i="5"/>
  <c r="D167" i="5"/>
  <c r="E167" i="5" s="1"/>
  <c r="D171" i="5"/>
  <c r="E171" i="5" s="1"/>
  <c r="D175" i="5"/>
  <c r="E175" i="5" s="1"/>
  <c r="D187" i="5"/>
  <c r="E187" i="5" s="1"/>
  <c r="D191" i="5"/>
  <c r="D207" i="5"/>
  <c r="E207" i="5" s="1"/>
  <c r="D211" i="5"/>
  <c r="D216" i="5"/>
  <c r="D220" i="5"/>
  <c r="D224" i="5"/>
  <c r="E224" i="5" s="1"/>
  <c r="D228" i="5"/>
  <c r="D232" i="5"/>
  <c r="D240" i="5"/>
  <c r="D260" i="5"/>
  <c r="D264" i="5"/>
  <c r="D268" i="5"/>
  <c r="D272" i="5"/>
  <c r="D280" i="5"/>
  <c r="D284" i="5"/>
  <c r="D288" i="5"/>
  <c r="D292" i="5"/>
  <c r="D296" i="5"/>
  <c r="D300" i="5"/>
  <c r="D304" i="5"/>
  <c r="O100" i="5" l="1"/>
  <c r="L67" i="5"/>
  <c r="O69" i="5"/>
  <c r="O86" i="5"/>
  <c r="O92" i="5" s="1"/>
  <c r="O58" i="5"/>
  <c r="H513" i="5"/>
  <c r="L375" i="5"/>
  <c r="L129" i="5"/>
  <c r="L353" i="5"/>
  <c r="E286" i="5"/>
  <c r="E34" i="5"/>
  <c r="E83" i="5"/>
  <c r="E196" i="5"/>
  <c r="E78" i="5"/>
  <c r="E55" i="5"/>
  <c r="E291" i="5"/>
  <c r="E3" i="5"/>
  <c r="E298" i="5"/>
  <c r="E275" i="5"/>
  <c r="E223" i="5"/>
  <c r="E256" i="5"/>
  <c r="E17" i="5"/>
  <c r="E54" i="5"/>
  <c r="E228" i="5"/>
  <c r="E282" i="5"/>
  <c r="E44" i="5"/>
  <c r="E95" i="5"/>
  <c r="E58" i="5"/>
  <c r="E208" i="5"/>
  <c r="E136" i="5"/>
  <c r="E234" i="5"/>
  <c r="E48" i="5"/>
  <c r="E28" i="5"/>
  <c r="E155" i="5"/>
  <c r="E299" i="5"/>
  <c r="E276" i="5"/>
  <c r="E20" i="5"/>
  <c r="E21" i="5"/>
  <c r="E297" i="5"/>
  <c r="E198" i="5"/>
  <c r="E18" i="5"/>
  <c r="E260" i="5"/>
  <c r="E191" i="5"/>
  <c r="E122" i="5"/>
  <c r="G128" i="5"/>
  <c r="L6" i="5"/>
  <c r="P6" i="5"/>
  <c r="S6" i="5" s="1"/>
  <c r="V6" i="5" s="1"/>
  <c r="E292" i="5"/>
  <c r="E295" i="5"/>
  <c r="E221" i="5"/>
  <c r="E271" i="5"/>
  <c r="E230" i="5"/>
  <c r="E239" i="5"/>
  <c r="E151" i="5"/>
  <c r="E169" i="5"/>
  <c r="E50" i="5"/>
  <c r="E4" i="5"/>
  <c r="E240" i="5"/>
  <c r="E202" i="5"/>
  <c r="E145" i="5"/>
  <c r="E130" i="5"/>
  <c r="P130" i="5" s="1"/>
  <c r="E85" i="5"/>
  <c r="E31" i="5"/>
  <c r="E116" i="5"/>
  <c r="E294" i="5"/>
  <c r="E60" i="5"/>
  <c r="E288" i="5"/>
  <c r="E162" i="5"/>
  <c r="E204" i="5"/>
  <c r="E52" i="5"/>
  <c r="E279" i="5"/>
  <c r="E242" i="5"/>
  <c r="E251" i="5"/>
  <c r="E108" i="5"/>
  <c r="E197" i="5"/>
  <c r="E267" i="5"/>
  <c r="E203" i="5"/>
  <c r="E41" i="5"/>
  <c r="E290" i="5"/>
  <c r="E99" i="5"/>
  <c r="E262" i="5"/>
  <c r="E117" i="5"/>
  <c r="E284" i="5"/>
  <c r="E178" i="5"/>
  <c r="E189" i="5"/>
  <c r="E57" i="5"/>
  <c r="E115" i="5"/>
  <c r="E246" i="5"/>
  <c r="E56" i="5"/>
  <c r="E506" i="5"/>
  <c r="E252" i="5"/>
  <c r="E33" i="5"/>
  <c r="E87" i="5"/>
  <c r="G169" i="5"/>
  <c r="E254" i="5"/>
  <c r="E126" i="5"/>
  <c r="E241" i="5"/>
  <c r="E266" i="5"/>
  <c r="E118" i="5"/>
  <c r="E93" i="5"/>
  <c r="E71" i="5"/>
  <c r="E220" i="5"/>
  <c r="E132" i="5"/>
  <c r="E306" i="5"/>
  <c r="E263" i="5"/>
  <c r="E190" i="5"/>
  <c r="E166" i="5"/>
  <c r="E185" i="5"/>
  <c r="E304" i="5"/>
  <c r="E216" i="5"/>
  <c r="E163" i="5"/>
  <c r="E128" i="5"/>
  <c r="E227" i="5"/>
  <c r="E302" i="5"/>
  <c r="E206" i="5"/>
  <c r="E127" i="5"/>
  <c r="E43" i="5"/>
  <c r="E73" i="5"/>
  <c r="E305" i="5"/>
  <c r="E181" i="5"/>
  <c r="E287" i="5"/>
  <c r="E244" i="5"/>
  <c r="E10" i="5"/>
  <c r="E293" i="5"/>
  <c r="E300" i="5"/>
  <c r="E194" i="5"/>
  <c r="E222" i="5"/>
  <c r="E253" i="5"/>
  <c r="E84" i="5"/>
  <c r="E259" i="5"/>
  <c r="E255" i="5"/>
  <c r="E248" i="5"/>
  <c r="E158" i="5"/>
  <c r="E62" i="5"/>
  <c r="E121" i="5"/>
  <c r="E40" i="5"/>
  <c r="E157" i="5"/>
  <c r="E309" i="5"/>
  <c r="E296" i="5"/>
  <c r="E186" i="5"/>
  <c r="E76" i="5"/>
  <c r="E226" i="5"/>
  <c r="E231" i="5"/>
  <c r="E105" i="5"/>
  <c r="E235" i="5"/>
  <c r="E22" i="5"/>
  <c r="E100" i="5"/>
  <c r="E245" i="5"/>
  <c r="E272" i="5"/>
  <c r="G272" i="5"/>
  <c r="E66" i="5"/>
  <c r="G66" i="5"/>
  <c r="P502" i="5"/>
  <c r="K466" i="5"/>
  <c r="G466" i="5"/>
  <c r="K510" i="5"/>
  <c r="G510" i="5"/>
  <c r="L463" i="5"/>
  <c r="K274" i="5"/>
  <c r="G274" i="5"/>
  <c r="N274" i="5" s="1"/>
  <c r="K91" i="5"/>
  <c r="G91" i="5"/>
  <c r="L323" i="5"/>
  <c r="K149" i="5"/>
  <c r="P149" i="5"/>
  <c r="K7" i="5"/>
  <c r="G7" i="5"/>
  <c r="L174" i="5"/>
  <c r="L243" i="5"/>
  <c r="L247" i="5"/>
  <c r="L151" i="5"/>
  <c r="L324" i="5"/>
  <c r="L264" i="5"/>
  <c r="L87" i="5"/>
  <c r="L352" i="5"/>
  <c r="L54" i="5"/>
  <c r="L295" i="5"/>
  <c r="L291" i="5"/>
  <c r="K335" i="5"/>
  <c r="G335" i="5"/>
  <c r="N335" i="5" s="1"/>
  <c r="P335" i="5" s="1"/>
  <c r="K227" i="5"/>
  <c r="G227" i="5"/>
  <c r="K18" i="5"/>
  <c r="G18" i="5"/>
  <c r="K20" i="5"/>
  <c r="F3" i="5"/>
  <c r="K3" i="5" s="1"/>
  <c r="G20" i="5"/>
  <c r="N414" i="5"/>
  <c r="P414" i="5" s="1"/>
  <c r="K355" i="5"/>
  <c r="G355" i="5"/>
  <c r="K342" i="5"/>
  <c r="G342" i="5"/>
  <c r="N342" i="5" s="1"/>
  <c r="K147" i="5"/>
  <c r="G147" i="5"/>
  <c r="N147" i="5" s="1"/>
  <c r="P147" i="5" s="1"/>
  <c r="K133" i="5"/>
  <c r="G133" i="5"/>
  <c r="K99" i="5"/>
  <c r="G99" i="5"/>
  <c r="K281" i="5"/>
  <c r="G281" i="5"/>
  <c r="K291" i="5"/>
  <c r="G291" i="5"/>
  <c r="K203" i="5"/>
  <c r="G203" i="5"/>
  <c r="K219" i="5"/>
  <c r="G219" i="5"/>
  <c r="K240" i="5"/>
  <c r="G240" i="5"/>
  <c r="K197" i="5"/>
  <c r="G197" i="5"/>
  <c r="K114" i="5"/>
  <c r="P114" i="5"/>
  <c r="K156" i="5"/>
  <c r="K207" i="5"/>
  <c r="G207" i="5"/>
  <c r="N207" i="5" s="1"/>
  <c r="P207" i="5" s="1"/>
  <c r="K135" i="5"/>
  <c r="G135" i="5"/>
  <c r="P135" i="5" s="1"/>
  <c r="K61" i="5"/>
  <c r="G61" i="5"/>
  <c r="P61" i="5" s="1"/>
  <c r="K312" i="5"/>
  <c r="G312" i="5"/>
  <c r="N312" i="5" s="1"/>
  <c r="K58" i="5"/>
  <c r="G58" i="5"/>
  <c r="N419" i="5"/>
  <c r="N402" i="5"/>
  <c r="P402" i="5" s="1"/>
  <c r="N416" i="5"/>
  <c r="N399" i="5"/>
  <c r="P399" i="5" s="1"/>
  <c r="K492" i="5"/>
  <c r="G492" i="5"/>
  <c r="K383" i="5"/>
  <c r="G383" i="5"/>
  <c r="L454" i="5"/>
  <c r="N433" i="5"/>
  <c r="P433" i="5" s="1"/>
  <c r="K100" i="5"/>
  <c r="G100" i="5"/>
  <c r="K368" i="5"/>
  <c r="G368" i="5"/>
  <c r="L110" i="5"/>
  <c r="L198" i="5"/>
  <c r="K98" i="5"/>
  <c r="G98" i="5"/>
  <c r="K300" i="5"/>
  <c r="G300" i="5"/>
  <c r="L196" i="5"/>
  <c r="L239" i="5"/>
  <c r="L320" i="5"/>
  <c r="L314" i="5"/>
  <c r="L229" i="5"/>
  <c r="L48" i="5"/>
  <c r="L71" i="5"/>
  <c r="L281" i="5"/>
  <c r="K336" i="5"/>
  <c r="G336" i="5"/>
  <c r="N336" i="5" s="1"/>
  <c r="P336" i="5" s="1"/>
  <c r="K333" i="5"/>
  <c r="G333" i="5"/>
  <c r="N333" i="5" s="1"/>
  <c r="K334" i="5"/>
  <c r="G334" i="5"/>
  <c r="K21" i="5"/>
  <c r="G21" i="5"/>
  <c r="K101" i="5"/>
  <c r="G101" i="5"/>
  <c r="P101" i="5" s="1"/>
  <c r="K93" i="5"/>
  <c r="G93" i="5"/>
  <c r="N405" i="5"/>
  <c r="P405" i="5" s="1"/>
  <c r="N454" i="5"/>
  <c r="P454" i="5" s="1"/>
  <c r="E42" i="5"/>
  <c r="E170" i="5"/>
  <c r="G170" i="5"/>
  <c r="E53" i="5"/>
  <c r="E277" i="5"/>
  <c r="G277" i="5"/>
  <c r="K13" i="5"/>
  <c r="G13" i="5"/>
  <c r="K205" i="5"/>
  <c r="G205" i="5"/>
  <c r="K189" i="5"/>
  <c r="G189" i="5"/>
  <c r="K68" i="5"/>
  <c r="G68" i="5"/>
  <c r="K17" i="5"/>
  <c r="G17" i="5"/>
  <c r="K286" i="5"/>
  <c r="G286" i="5"/>
  <c r="K261" i="5"/>
  <c r="G261" i="5"/>
  <c r="K245" i="5"/>
  <c r="G245" i="5"/>
  <c r="K78" i="5"/>
  <c r="G78" i="5"/>
  <c r="K176" i="5"/>
  <c r="G176" i="5"/>
  <c r="E283" i="5"/>
  <c r="E123" i="5"/>
  <c r="G123" i="5"/>
  <c r="E310" i="5"/>
  <c r="G310" i="5"/>
  <c r="P487" i="5"/>
  <c r="N412" i="5"/>
  <c r="N444" i="5"/>
  <c r="P444" i="5" s="1"/>
  <c r="N421" i="5"/>
  <c r="P421" i="5" s="1"/>
  <c r="N404" i="5"/>
  <c r="P404" i="5" s="1"/>
  <c r="N431" i="5"/>
  <c r="P431" i="5" s="1"/>
  <c r="K387" i="5"/>
  <c r="G387" i="5"/>
  <c r="L510" i="5"/>
  <c r="K160" i="5"/>
  <c r="L100" i="5"/>
  <c r="L333" i="5"/>
  <c r="L30" i="5"/>
  <c r="L4" i="5"/>
  <c r="P4" i="5"/>
  <c r="L200" i="5"/>
  <c r="L16" i="5"/>
  <c r="L180" i="5"/>
  <c r="L216" i="5"/>
  <c r="L201" i="5"/>
  <c r="L182" i="5"/>
  <c r="L203" i="5"/>
  <c r="L72" i="5"/>
  <c r="L18" i="5"/>
  <c r="L82" i="5"/>
  <c r="L51" i="5"/>
  <c r="L103" i="5"/>
  <c r="L183" i="5"/>
  <c r="L292" i="5"/>
  <c r="L301" i="5"/>
  <c r="L294" i="5"/>
  <c r="L255" i="5"/>
  <c r="L13" i="5"/>
  <c r="L85" i="5"/>
  <c r="L92" i="5"/>
  <c r="L279" i="5"/>
  <c r="L386" i="5"/>
  <c r="L390" i="5"/>
  <c r="L391" i="5"/>
  <c r="L414" i="5"/>
  <c r="L426" i="5"/>
  <c r="L411" i="5"/>
  <c r="L444" i="5"/>
  <c r="L416" i="5"/>
  <c r="E211" i="5"/>
  <c r="G211" i="5"/>
  <c r="E107" i="5"/>
  <c r="E218" i="5"/>
  <c r="K343" i="5"/>
  <c r="G343" i="5"/>
  <c r="K321" i="5"/>
  <c r="G321" i="5"/>
  <c r="N321" i="5" s="1"/>
  <c r="K322" i="5"/>
  <c r="G322" i="5"/>
  <c r="N322" i="5" s="1"/>
  <c r="K323" i="5"/>
  <c r="G323" i="5"/>
  <c r="K162" i="5"/>
  <c r="K208" i="5"/>
  <c r="G208" i="5"/>
  <c r="K180" i="5"/>
  <c r="G180" i="5"/>
  <c r="K79" i="5"/>
  <c r="G79" i="5"/>
  <c r="K76" i="5"/>
  <c r="G76" i="5"/>
  <c r="K501" i="5"/>
  <c r="G501" i="5"/>
  <c r="E268" i="5"/>
  <c r="G268" i="5"/>
  <c r="K210" i="5"/>
  <c r="G210" i="5"/>
  <c r="N210" i="5" s="1"/>
  <c r="L150" i="5"/>
  <c r="K356" i="5"/>
  <c r="G356" i="5"/>
  <c r="K354" i="5"/>
  <c r="K192" i="5"/>
  <c r="G192" i="5"/>
  <c r="K206" i="5"/>
  <c r="G206" i="5"/>
  <c r="K46" i="5"/>
  <c r="G46" i="5"/>
  <c r="K292" i="5"/>
  <c r="G292" i="5"/>
  <c r="K301" i="5"/>
  <c r="G301" i="5"/>
  <c r="K306" i="5"/>
  <c r="G306" i="5"/>
  <c r="K179" i="5"/>
  <c r="G179" i="5"/>
  <c r="K242" i="5"/>
  <c r="G242" i="5"/>
  <c r="K367" i="5"/>
  <c r="G367" i="5"/>
  <c r="K144" i="5"/>
  <c r="K130" i="5"/>
  <c r="G130" i="5"/>
  <c r="K60" i="5"/>
  <c r="G60" i="5"/>
  <c r="K332" i="5"/>
  <c r="G332" i="5"/>
  <c r="K346" i="5"/>
  <c r="G346" i="5"/>
  <c r="K237" i="5"/>
  <c r="G237" i="5"/>
  <c r="K246" i="5"/>
  <c r="G246" i="5"/>
  <c r="K155" i="5"/>
  <c r="K36" i="5"/>
  <c r="G36" i="5"/>
  <c r="K178" i="5"/>
  <c r="G178" i="5"/>
  <c r="K94" i="5"/>
  <c r="G94" i="5"/>
  <c r="K48" i="5"/>
  <c r="G48" i="5"/>
  <c r="K115" i="5"/>
  <c r="G115" i="5"/>
  <c r="K15" i="5"/>
  <c r="G15" i="5"/>
  <c r="P490" i="5"/>
  <c r="K493" i="5"/>
  <c r="G493" i="5"/>
  <c r="K458" i="5"/>
  <c r="G458" i="5"/>
  <c r="K467" i="5"/>
  <c r="G467" i="5"/>
  <c r="K474" i="5"/>
  <c r="G474" i="5"/>
  <c r="K384" i="5"/>
  <c r="G384" i="5"/>
  <c r="K469" i="5"/>
  <c r="G469" i="5"/>
  <c r="K477" i="5"/>
  <c r="G477" i="5"/>
  <c r="K456" i="5"/>
  <c r="G456" i="5"/>
  <c r="L452" i="5"/>
  <c r="L481" i="5"/>
  <c r="L483" i="5"/>
  <c r="L457" i="5"/>
  <c r="N442" i="5"/>
  <c r="P442" i="5" s="1"/>
  <c r="P486" i="5"/>
  <c r="K396" i="5"/>
  <c r="G396" i="5"/>
  <c r="L461" i="5"/>
  <c r="L456" i="5"/>
  <c r="K81" i="5"/>
  <c r="G81" i="5"/>
  <c r="L218" i="5"/>
  <c r="L311" i="5"/>
  <c r="L334" i="5"/>
  <c r="K47" i="5"/>
  <c r="G47" i="5"/>
  <c r="K43" i="5"/>
  <c r="G43" i="5"/>
  <c r="L242" i="5"/>
  <c r="L28" i="5"/>
  <c r="L313" i="5"/>
  <c r="L25" i="5"/>
  <c r="L93" i="5"/>
  <c r="L222" i="5"/>
  <c r="L73" i="5"/>
  <c r="L157" i="5"/>
  <c r="L44" i="5"/>
  <c r="L381" i="5"/>
  <c r="L306" i="5"/>
  <c r="L131" i="5"/>
  <c r="L111" i="5"/>
  <c r="L340" i="5"/>
  <c r="L8" i="5"/>
  <c r="L244" i="5"/>
  <c r="L192" i="5"/>
  <c r="L288" i="5"/>
  <c r="L398" i="5"/>
  <c r="L403" i="5"/>
  <c r="L431" i="5"/>
  <c r="L443" i="5"/>
  <c r="L423" i="5"/>
  <c r="L421" i="5"/>
  <c r="L410" i="5"/>
  <c r="G163" i="5"/>
  <c r="E11" i="5"/>
  <c r="E205" i="5"/>
  <c r="E247" i="5"/>
  <c r="K256" i="5"/>
  <c r="G256" i="5"/>
  <c r="K358" i="5"/>
  <c r="G358" i="5"/>
  <c r="K345" i="5"/>
  <c r="G345" i="5"/>
  <c r="P345" i="5" s="1"/>
  <c r="K209" i="5"/>
  <c r="G209" i="5"/>
  <c r="K238" i="5"/>
  <c r="G238" i="5"/>
  <c r="K167" i="5"/>
  <c r="P167" i="5"/>
  <c r="K309" i="5"/>
  <c r="G309" i="5"/>
  <c r="K120" i="5"/>
  <c r="G120" i="5"/>
  <c r="K112" i="5"/>
  <c r="K174" i="5"/>
  <c r="G174" i="5"/>
  <c r="N174" i="5" s="1"/>
  <c r="P174" i="5" s="1"/>
  <c r="K31" i="5"/>
  <c r="G31" i="5"/>
  <c r="K280" i="5"/>
  <c r="G280" i="5"/>
  <c r="K305" i="5"/>
  <c r="G305" i="5"/>
  <c r="K283" i="5"/>
  <c r="G283" i="5"/>
  <c r="K271" i="5"/>
  <c r="G271" i="5"/>
  <c r="K252" i="5"/>
  <c r="G252" i="5"/>
  <c r="K183" i="5"/>
  <c r="G183" i="5"/>
  <c r="K254" i="5"/>
  <c r="G254" i="5"/>
  <c r="K260" i="5"/>
  <c r="G260" i="5"/>
  <c r="K182" i="5"/>
  <c r="G182" i="5"/>
  <c r="N182" i="5" s="1"/>
  <c r="P182" i="5" s="1"/>
  <c r="K249" i="5"/>
  <c r="G249" i="5"/>
  <c r="K266" i="5"/>
  <c r="G266" i="5"/>
  <c r="K150" i="5"/>
  <c r="P150" i="5"/>
  <c r="K127" i="5"/>
  <c r="G127" i="5"/>
  <c r="K138" i="5"/>
  <c r="K82" i="5"/>
  <c r="G82" i="5"/>
  <c r="K325" i="5"/>
  <c r="G325" i="5"/>
  <c r="N325" i="5" s="1"/>
  <c r="P325" i="5" s="1"/>
  <c r="K326" i="5"/>
  <c r="G326" i="5"/>
  <c r="K327" i="5"/>
  <c r="G327" i="5"/>
  <c r="K131" i="5"/>
  <c r="P131" i="5"/>
  <c r="K184" i="5"/>
  <c r="G184" i="5"/>
  <c r="K128" i="5"/>
  <c r="K95" i="5"/>
  <c r="G95" i="5"/>
  <c r="K104" i="5"/>
  <c r="G104" i="5"/>
  <c r="K80" i="5"/>
  <c r="G80" i="5"/>
  <c r="K85" i="5"/>
  <c r="G85" i="5"/>
  <c r="K75" i="5"/>
  <c r="G75" i="5"/>
  <c r="K164" i="5"/>
  <c r="K108" i="5"/>
  <c r="G108" i="5"/>
  <c r="K111" i="5"/>
  <c r="G111" i="5"/>
  <c r="K158" i="5"/>
  <c r="K378" i="5"/>
  <c r="G378" i="5"/>
  <c r="K92" i="5"/>
  <c r="G92" i="5"/>
  <c r="L256" i="5"/>
  <c r="L226" i="5"/>
  <c r="L27" i="5"/>
  <c r="L303" i="5"/>
  <c r="L84" i="5"/>
  <c r="L310" i="5"/>
  <c r="L238" i="5"/>
  <c r="L346" i="5"/>
  <c r="L331" i="5"/>
  <c r="L337" i="5"/>
  <c r="L338" i="5"/>
  <c r="L118" i="5"/>
  <c r="L371" i="5"/>
  <c r="L184" i="5"/>
  <c r="L224" i="5"/>
  <c r="L240" i="5"/>
  <c r="L217" i="5"/>
  <c r="L186" i="5"/>
  <c r="L204" i="5"/>
  <c r="L90" i="5"/>
  <c r="L45" i="5"/>
  <c r="L32" i="5"/>
  <c r="L80" i="5"/>
  <c r="L22" i="5"/>
  <c r="L98" i="5"/>
  <c r="L55" i="5"/>
  <c r="L335" i="5"/>
  <c r="L108" i="5"/>
  <c r="L134" i="5"/>
  <c r="L300" i="5"/>
  <c r="L305" i="5"/>
  <c r="L298" i="5"/>
  <c r="L206" i="5"/>
  <c r="L119" i="5"/>
  <c r="L57" i="5"/>
  <c r="L19" i="5"/>
  <c r="L41" i="5"/>
  <c r="L385" i="5"/>
  <c r="L185" i="5"/>
  <c r="L394" i="5"/>
  <c r="L418" i="5"/>
  <c r="L430" i="5"/>
  <c r="L413" i="5"/>
  <c r="L399" i="5"/>
  <c r="L433" i="5"/>
  <c r="L437" i="5"/>
  <c r="K464" i="5"/>
  <c r="G464" i="5"/>
  <c r="K482" i="5"/>
  <c r="G482" i="5"/>
  <c r="K461" i="5"/>
  <c r="G461" i="5"/>
  <c r="K394" i="5"/>
  <c r="G394" i="5"/>
  <c r="K494" i="5"/>
  <c r="G494" i="5"/>
  <c r="K388" i="5"/>
  <c r="G388" i="5"/>
  <c r="K472" i="5"/>
  <c r="G472" i="5"/>
  <c r="L458" i="5"/>
  <c r="L501" i="5"/>
  <c r="L511" i="5"/>
  <c r="L451" i="5"/>
  <c r="L453" i="5"/>
  <c r="N434" i="5"/>
  <c r="P434" i="5" s="1"/>
  <c r="N413" i="5"/>
  <c r="P413" i="5" s="1"/>
  <c r="N445" i="5"/>
  <c r="P445" i="5" s="1"/>
  <c r="P425" i="5"/>
  <c r="N448" i="5"/>
  <c r="N436" i="5"/>
  <c r="P436" i="5" s="1"/>
  <c r="E91" i="5"/>
  <c r="K34" i="5"/>
  <c r="G34" i="5"/>
  <c r="K362" i="5"/>
  <c r="G362" i="5"/>
  <c r="N362" i="5" s="1"/>
  <c r="K250" i="5"/>
  <c r="G250" i="5"/>
  <c r="K151" i="5"/>
  <c r="P151" i="5"/>
  <c r="K146" i="5"/>
  <c r="G146" i="5"/>
  <c r="K25" i="5"/>
  <c r="G25" i="5"/>
  <c r="K296" i="5"/>
  <c r="G296" i="5"/>
  <c r="K282" i="5"/>
  <c r="G282" i="5"/>
  <c r="K287" i="5"/>
  <c r="G287" i="5"/>
  <c r="K202" i="5"/>
  <c r="G202" i="5"/>
  <c r="K199" i="5"/>
  <c r="G199" i="5"/>
  <c r="K193" i="5"/>
  <c r="G193" i="5"/>
  <c r="K168" i="5"/>
  <c r="G168" i="5"/>
  <c r="K140" i="5"/>
  <c r="K126" i="5"/>
  <c r="G126" i="5"/>
  <c r="K107" i="5"/>
  <c r="G107" i="5"/>
  <c r="K190" i="5"/>
  <c r="G190" i="5"/>
  <c r="K275" i="5"/>
  <c r="G275" i="5"/>
  <c r="K186" i="5"/>
  <c r="G186" i="5"/>
  <c r="K265" i="5"/>
  <c r="G265" i="5"/>
  <c r="K177" i="5"/>
  <c r="G177" i="5"/>
  <c r="K152" i="5"/>
  <c r="G152" i="5"/>
  <c r="N152" i="5" s="1"/>
  <c r="P152" i="5" s="1"/>
  <c r="K124" i="5"/>
  <c r="G124" i="5"/>
  <c r="K122" i="5"/>
  <c r="G122" i="5"/>
  <c r="K41" i="5"/>
  <c r="G41" i="5"/>
  <c r="K119" i="5"/>
  <c r="G119" i="5"/>
  <c r="P119" i="5" s="1"/>
  <c r="K344" i="5"/>
  <c r="G344" i="5"/>
  <c r="K70" i="5"/>
  <c r="G70" i="5"/>
  <c r="K365" i="5"/>
  <c r="G365" i="5"/>
  <c r="N365" i="5" s="1"/>
  <c r="P365" i="5" s="1"/>
  <c r="K320" i="5"/>
  <c r="G320" i="5"/>
  <c r="N320" i="5" s="1"/>
  <c r="P320" i="5" s="1"/>
  <c r="K329" i="5"/>
  <c r="G329" i="5"/>
  <c r="N329" i="5" s="1"/>
  <c r="K330" i="5"/>
  <c r="G330" i="5"/>
  <c r="N330" i="5" s="1"/>
  <c r="P330" i="5" s="1"/>
  <c r="K331" i="5"/>
  <c r="G331" i="5"/>
  <c r="P331" i="5" s="1"/>
  <c r="K49" i="5"/>
  <c r="G49" i="5"/>
  <c r="K198" i="5"/>
  <c r="G198" i="5"/>
  <c r="K181" i="5"/>
  <c r="G181" i="5"/>
  <c r="K103" i="5"/>
  <c r="G103" i="5"/>
  <c r="K16" i="5"/>
  <c r="G16" i="5"/>
  <c r="K84" i="5"/>
  <c r="G84" i="5"/>
  <c r="K89" i="5"/>
  <c r="G89" i="5"/>
  <c r="K54" i="5"/>
  <c r="G54" i="5"/>
  <c r="K262" i="5"/>
  <c r="G262" i="5"/>
  <c r="K32" i="5"/>
  <c r="G32" i="5"/>
  <c r="P32" i="5" s="1"/>
  <c r="K62" i="5"/>
  <c r="G62" i="5"/>
  <c r="K35" i="5"/>
  <c r="G35" i="5"/>
  <c r="N35" i="5" s="1"/>
  <c r="P35" i="5" s="1"/>
  <c r="K382" i="5"/>
  <c r="G382" i="5"/>
  <c r="K379" i="5"/>
  <c r="G379" i="5"/>
  <c r="L248" i="5"/>
  <c r="L230" i="5"/>
  <c r="L10" i="5"/>
  <c r="L287" i="5"/>
  <c r="L52" i="5"/>
  <c r="L195" i="5"/>
  <c r="L250" i="5"/>
  <c r="L312" i="5"/>
  <c r="L339" i="5"/>
  <c r="L341" i="5"/>
  <c r="L112" i="5"/>
  <c r="L348" i="5"/>
  <c r="L109" i="5"/>
  <c r="L232" i="5"/>
  <c r="L260" i="5"/>
  <c r="L225" i="5"/>
  <c r="L194" i="5"/>
  <c r="L202" i="5"/>
  <c r="L102" i="5"/>
  <c r="L40" i="5"/>
  <c r="L12" i="5"/>
  <c r="L56" i="5"/>
  <c r="L50" i="5"/>
  <c r="L153" i="5"/>
  <c r="L59" i="5"/>
  <c r="L319" i="5"/>
  <c r="L60" i="5"/>
  <c r="L283" i="5"/>
  <c r="L380" i="5"/>
  <c r="L377" i="5"/>
  <c r="L302" i="5"/>
  <c r="L35" i="5"/>
  <c r="L29" i="5"/>
  <c r="L316" i="5"/>
  <c r="L383" i="5"/>
  <c r="L395" i="5"/>
  <c r="L427" i="5"/>
  <c r="L436" i="5"/>
  <c r="L415" i="5"/>
  <c r="L406" i="5"/>
  <c r="L429" i="5"/>
  <c r="K460" i="5"/>
  <c r="G460" i="5"/>
  <c r="K471" i="5"/>
  <c r="G471" i="5"/>
  <c r="K511" i="5"/>
  <c r="G511" i="5"/>
  <c r="K390" i="5"/>
  <c r="G390" i="5"/>
  <c r="K473" i="5"/>
  <c r="G473" i="5"/>
  <c r="K483" i="5"/>
  <c r="G483" i="5"/>
  <c r="K389" i="5"/>
  <c r="G389" i="5"/>
  <c r="L455" i="5"/>
  <c r="L494" i="5"/>
  <c r="L493" i="5"/>
  <c r="L365" i="5"/>
  <c r="L474" i="5"/>
  <c r="N427" i="5"/>
  <c r="P427" i="5" s="1"/>
  <c r="N439" i="5"/>
  <c r="P439" i="5" s="1"/>
  <c r="N424" i="5"/>
  <c r="N364" i="5"/>
  <c r="P364" i="5" s="1"/>
  <c r="N447" i="5"/>
  <c r="P447" i="5" s="1"/>
  <c r="N422" i="5"/>
  <c r="P422" i="5" s="1"/>
  <c r="G213" i="5"/>
  <c r="N213" i="5" s="1"/>
  <c r="P213" i="5" s="1"/>
  <c r="G65" i="5"/>
  <c r="N65" i="5" s="1"/>
  <c r="Q65" i="5" s="1"/>
  <c r="R65" i="5" s="1"/>
  <c r="U65" i="5" s="1"/>
  <c r="G173" i="5"/>
  <c r="P173" i="5" s="1"/>
  <c r="E301" i="5"/>
  <c r="E59" i="5"/>
  <c r="E72" i="5"/>
  <c r="E192" i="5"/>
  <c r="K9" i="5"/>
  <c r="G9" i="5"/>
  <c r="K359" i="5"/>
  <c r="G359" i="5"/>
  <c r="N359" i="5" s="1"/>
  <c r="P359" i="5" s="1"/>
  <c r="K235" i="5"/>
  <c r="G235" i="5"/>
  <c r="K348" i="5"/>
  <c r="G348" i="5"/>
  <c r="K83" i="5"/>
  <c r="G83" i="5"/>
  <c r="K11" i="5"/>
  <c r="G11" i="5"/>
  <c r="K285" i="5"/>
  <c r="G285" i="5"/>
  <c r="K290" i="5"/>
  <c r="G290" i="5"/>
  <c r="K295" i="5"/>
  <c r="G295" i="5"/>
  <c r="K204" i="5"/>
  <c r="G204" i="5"/>
  <c r="K196" i="5"/>
  <c r="G196" i="5"/>
  <c r="K223" i="5"/>
  <c r="G223" i="5"/>
  <c r="K159" i="5"/>
  <c r="K137" i="5"/>
  <c r="P137" i="5"/>
  <c r="K96" i="5"/>
  <c r="G96" i="5"/>
  <c r="K113" i="5"/>
  <c r="K57" i="5"/>
  <c r="G57" i="5"/>
  <c r="K267" i="5"/>
  <c r="G267" i="5"/>
  <c r="K191" i="5"/>
  <c r="G191" i="5"/>
  <c r="K188" i="5"/>
  <c r="G188" i="5"/>
  <c r="K201" i="5"/>
  <c r="G201" i="5"/>
  <c r="N201" i="5" s="1"/>
  <c r="P201" i="5" s="1"/>
  <c r="K360" i="5"/>
  <c r="G360" i="5"/>
  <c r="K276" i="5"/>
  <c r="G276" i="5"/>
  <c r="K51" i="5"/>
  <c r="G51" i="5"/>
  <c r="K351" i="5"/>
  <c r="G351" i="5"/>
  <c r="K324" i="5"/>
  <c r="G324" i="5"/>
  <c r="N324" i="5" s="1"/>
  <c r="P324" i="5" s="1"/>
  <c r="K337" i="5"/>
  <c r="G337" i="5"/>
  <c r="K338" i="5"/>
  <c r="G338" i="5"/>
  <c r="K339" i="5"/>
  <c r="G339" i="5"/>
  <c r="K350" i="5"/>
  <c r="G350" i="5"/>
  <c r="N350" i="5" s="1"/>
  <c r="K220" i="5"/>
  <c r="G220" i="5"/>
  <c r="K23" i="5"/>
  <c r="G23" i="5"/>
  <c r="K24" i="5"/>
  <c r="G24" i="5"/>
  <c r="K117" i="5"/>
  <c r="G117" i="5"/>
  <c r="K153" i="5"/>
  <c r="G153" i="5"/>
  <c r="K33" i="5"/>
  <c r="G33" i="5"/>
  <c r="K258" i="5"/>
  <c r="G258" i="5"/>
  <c r="P258" i="5" s="1"/>
  <c r="K28" i="5"/>
  <c r="G28" i="5"/>
  <c r="K10" i="5"/>
  <c r="G10" i="5"/>
  <c r="K264" i="5"/>
  <c r="G264" i="5"/>
  <c r="K381" i="5"/>
  <c r="G381" i="5"/>
  <c r="L121" i="5"/>
  <c r="L193" i="5"/>
  <c r="L254" i="5"/>
  <c r="L231" i="5"/>
  <c r="L227" i="5"/>
  <c r="L165" i="5"/>
  <c r="L328" i="5"/>
  <c r="L317" i="5"/>
  <c r="L318" i="5"/>
  <c r="L115" i="5"/>
  <c r="L296" i="5"/>
  <c r="L77" i="5"/>
  <c r="L181" i="5"/>
  <c r="L368" i="5"/>
  <c r="L237" i="5"/>
  <c r="L234" i="5"/>
  <c r="L159" i="5"/>
  <c r="L91" i="5"/>
  <c r="L42" i="5"/>
  <c r="L7" i="5"/>
  <c r="L81" i="5"/>
  <c r="L58" i="5"/>
  <c r="S3" i="5"/>
  <c r="L75" i="5"/>
  <c r="L267" i="5"/>
  <c r="L20" i="5"/>
  <c r="L299" i="5"/>
  <c r="L285" i="5"/>
  <c r="L378" i="5"/>
  <c r="L124" i="5"/>
  <c r="L31" i="5"/>
  <c r="L105" i="5"/>
  <c r="L367" i="5"/>
  <c r="L171" i="5"/>
  <c r="L106" i="5"/>
  <c r="L393" i="5"/>
  <c r="L401" i="5"/>
  <c r="L439" i="5"/>
  <c r="L405" i="5"/>
  <c r="L424" i="5"/>
  <c r="L445" i="5"/>
  <c r="L442" i="5"/>
  <c r="K491" i="5"/>
  <c r="G491" i="5"/>
  <c r="K385" i="5"/>
  <c r="G385" i="5"/>
  <c r="K463" i="5"/>
  <c r="G463" i="5"/>
  <c r="K462" i="5"/>
  <c r="G462" i="5"/>
  <c r="K86" i="5"/>
  <c r="G86" i="5"/>
  <c r="P86" i="5" s="1"/>
  <c r="K465" i="5"/>
  <c r="G465" i="5"/>
  <c r="K398" i="5"/>
  <c r="G398" i="5"/>
  <c r="K481" i="5"/>
  <c r="G481" i="5"/>
  <c r="L492" i="5"/>
  <c r="L473" i="5"/>
  <c r="L472" i="5"/>
  <c r="L509" i="5"/>
  <c r="L470" i="5"/>
  <c r="P479" i="5"/>
  <c r="N432" i="5"/>
  <c r="P432" i="5" s="1"/>
  <c r="N435" i="5"/>
  <c r="P435" i="5" s="1"/>
  <c r="N430" i="5"/>
  <c r="P430" i="5" s="1"/>
  <c r="N407" i="5"/>
  <c r="P407" i="5" s="1"/>
  <c r="K353" i="5"/>
  <c r="G353" i="5"/>
  <c r="K363" i="5"/>
  <c r="G363" i="5"/>
  <c r="K278" i="5"/>
  <c r="G278" i="5"/>
  <c r="N278" i="5" s="1"/>
  <c r="P278" i="5" s="1"/>
  <c r="K195" i="5"/>
  <c r="G195" i="5"/>
  <c r="K247" i="5"/>
  <c r="G247" i="5"/>
  <c r="K143" i="5"/>
  <c r="G143" i="5"/>
  <c r="K129" i="5"/>
  <c r="G129" i="5"/>
  <c r="K110" i="5"/>
  <c r="G110" i="5"/>
  <c r="K316" i="5"/>
  <c r="G316" i="5"/>
  <c r="P316" i="5" s="1"/>
  <c r="K74" i="5"/>
  <c r="G74" i="5"/>
  <c r="K6" i="5"/>
  <c r="G6" i="5"/>
  <c r="K289" i="5"/>
  <c r="G289" i="5"/>
  <c r="K294" i="5"/>
  <c r="G294" i="5"/>
  <c r="K299" i="5"/>
  <c r="G299" i="5"/>
  <c r="K257" i="5"/>
  <c r="G257" i="5"/>
  <c r="K279" i="5"/>
  <c r="G279" i="5"/>
  <c r="K218" i="5"/>
  <c r="G218" i="5"/>
  <c r="K231" i="5"/>
  <c r="G231" i="5"/>
  <c r="K102" i="5"/>
  <c r="G102" i="5"/>
  <c r="N102" i="5" s="1"/>
  <c r="P102" i="5" s="1"/>
  <c r="K42" i="5"/>
  <c r="G42" i="5"/>
  <c r="K217" i="5"/>
  <c r="G217" i="5"/>
  <c r="K200" i="5"/>
  <c r="G200" i="5"/>
  <c r="K243" i="5"/>
  <c r="G243" i="5"/>
  <c r="N243" i="5" s="1"/>
  <c r="P243" i="5" s="1"/>
  <c r="K136" i="5"/>
  <c r="K29" i="5"/>
  <c r="G29" i="5"/>
  <c r="P29" i="5" s="1"/>
  <c r="K328" i="5"/>
  <c r="G328" i="5"/>
  <c r="P328" i="5" s="1"/>
  <c r="K187" i="5"/>
  <c r="G187" i="5"/>
  <c r="K88" i="5"/>
  <c r="G88" i="5"/>
  <c r="N88" i="5" s="1"/>
  <c r="P88" i="5" s="1"/>
  <c r="K45" i="5"/>
  <c r="G45" i="5"/>
  <c r="K232" i="5"/>
  <c r="G232" i="5"/>
  <c r="K37" i="5"/>
  <c r="G37" i="5"/>
  <c r="K340" i="5"/>
  <c r="G340" i="5"/>
  <c r="K341" i="5"/>
  <c r="G341" i="5"/>
  <c r="P341" i="5" s="1"/>
  <c r="K311" i="5"/>
  <c r="G311" i="5"/>
  <c r="N311" i="5" s="1"/>
  <c r="P311" i="5" s="1"/>
  <c r="K224" i="5"/>
  <c r="G224" i="5"/>
  <c r="K166" i="5"/>
  <c r="G166" i="5"/>
  <c r="K109" i="5"/>
  <c r="K50" i="5"/>
  <c r="G50" i="5"/>
  <c r="K52" i="5"/>
  <c r="G52" i="5"/>
  <c r="K157" i="5"/>
  <c r="K19" i="5"/>
  <c r="G19" i="5"/>
  <c r="K145" i="5"/>
  <c r="G145" i="5"/>
  <c r="K105" i="5"/>
  <c r="G105" i="5"/>
  <c r="K369" i="5"/>
  <c r="G369" i="5"/>
  <c r="K377" i="5"/>
  <c r="G377" i="5"/>
  <c r="K380" i="5"/>
  <c r="G380" i="5"/>
  <c r="L113" i="5"/>
  <c r="L245" i="5"/>
  <c r="L205" i="5"/>
  <c r="L223" i="5"/>
  <c r="L207" i="5"/>
  <c r="L189" i="5"/>
  <c r="L336" i="5"/>
  <c r="L321" i="5"/>
  <c r="L322" i="5"/>
  <c r="L26" i="5"/>
  <c r="L280" i="5"/>
  <c r="L49" i="5"/>
  <c r="L221" i="5"/>
  <c r="L249" i="5"/>
  <c r="L246" i="5"/>
  <c r="L99" i="5"/>
  <c r="L46" i="5"/>
  <c r="L104" i="5"/>
  <c r="L89" i="5"/>
  <c r="L70" i="5"/>
  <c r="L11" i="5"/>
  <c r="L79" i="5"/>
  <c r="L251" i="5"/>
  <c r="L307" i="5"/>
  <c r="L289" i="5"/>
  <c r="L282" i="5"/>
  <c r="L382" i="5"/>
  <c r="L156" i="5"/>
  <c r="L107" i="5"/>
  <c r="L76" i="5"/>
  <c r="L332" i="5"/>
  <c r="L17" i="5"/>
  <c r="L122" i="5"/>
  <c r="L387" i="5"/>
  <c r="L392" i="5"/>
  <c r="L407" i="5"/>
  <c r="L419" i="5"/>
  <c r="L435" i="5"/>
  <c r="L441" i="5"/>
  <c r="L417" i="5"/>
  <c r="L425" i="5"/>
  <c r="K488" i="5"/>
  <c r="G488" i="5"/>
  <c r="K376" i="5"/>
  <c r="G376" i="5"/>
  <c r="K452" i="5"/>
  <c r="G452" i="5"/>
  <c r="K459" i="5"/>
  <c r="G459" i="5"/>
  <c r="K375" i="5"/>
  <c r="G375" i="5"/>
  <c r="K457" i="5"/>
  <c r="G457" i="5"/>
  <c r="K392" i="5"/>
  <c r="G392" i="5"/>
  <c r="L491" i="5"/>
  <c r="L471" i="5"/>
  <c r="L469" i="5"/>
  <c r="L468" i="5"/>
  <c r="L496" i="5"/>
  <c r="N418" i="5"/>
  <c r="P418" i="5" s="1"/>
  <c r="N401" i="5"/>
  <c r="P401" i="5" s="1"/>
  <c r="N429" i="5"/>
  <c r="N406" i="5"/>
  <c r="P406" i="5" s="1"/>
  <c r="N409" i="5"/>
  <c r="N441" i="5"/>
  <c r="P441" i="5" s="1"/>
  <c r="N420" i="5"/>
  <c r="N403" i="5"/>
  <c r="P403" i="5" s="1"/>
  <c r="E250" i="5"/>
  <c r="E153" i="5"/>
  <c r="K357" i="5"/>
  <c r="G357" i="5"/>
  <c r="K241" i="5"/>
  <c r="G241" i="5"/>
  <c r="K304" i="5"/>
  <c r="G304" i="5"/>
  <c r="K59" i="5"/>
  <c r="G59" i="5"/>
  <c r="K175" i="5"/>
  <c r="G175" i="5"/>
  <c r="K293" i="5"/>
  <c r="G293" i="5"/>
  <c r="K298" i="5"/>
  <c r="G298" i="5"/>
  <c r="K303" i="5"/>
  <c r="G303" i="5"/>
  <c r="K226" i="5"/>
  <c r="G226" i="5"/>
  <c r="K239" i="5"/>
  <c r="G239" i="5"/>
  <c r="K148" i="5"/>
  <c r="G148" i="5"/>
  <c r="K134" i="5"/>
  <c r="G134" i="5"/>
  <c r="N134" i="5" s="1"/>
  <c r="P134" i="5" s="1"/>
  <c r="K5" i="5"/>
  <c r="G5" i="5"/>
  <c r="K27" i="5"/>
  <c r="G27" i="5"/>
  <c r="K269" i="5"/>
  <c r="G269" i="5"/>
  <c r="K225" i="5"/>
  <c r="G225" i="5"/>
  <c r="K222" i="5"/>
  <c r="G222" i="5"/>
  <c r="K106" i="5"/>
  <c r="G106" i="5"/>
  <c r="K284" i="5"/>
  <c r="G284" i="5"/>
  <c r="K97" i="5"/>
  <c r="G97" i="5"/>
  <c r="K40" i="5"/>
  <c r="G40" i="5"/>
  <c r="K194" i="5"/>
  <c r="G194" i="5"/>
  <c r="K30" i="5"/>
  <c r="G30" i="5"/>
  <c r="K347" i="5"/>
  <c r="G347" i="5"/>
  <c r="K313" i="5"/>
  <c r="G313" i="5"/>
  <c r="K314" i="5"/>
  <c r="G314" i="5"/>
  <c r="N314" i="5" s="1"/>
  <c r="K315" i="5"/>
  <c r="G315" i="5"/>
  <c r="N315" i="5" s="1"/>
  <c r="P315" i="5" s="1"/>
  <c r="K288" i="5"/>
  <c r="G288" i="5"/>
  <c r="K259" i="5"/>
  <c r="G259" i="5"/>
  <c r="K221" i="5"/>
  <c r="G221" i="5"/>
  <c r="K55" i="5"/>
  <c r="G55" i="5"/>
  <c r="K56" i="5"/>
  <c r="G56" i="5"/>
  <c r="K73" i="5"/>
  <c r="G73" i="5"/>
  <c r="K39" i="5"/>
  <c r="G39" i="5"/>
  <c r="K171" i="5"/>
  <c r="G171" i="5"/>
  <c r="P171" i="5" s="1"/>
  <c r="K38" i="5"/>
  <c r="G38" i="5"/>
  <c r="N38" i="5" s="1"/>
  <c r="P38" i="5" s="1"/>
  <c r="K214" i="5"/>
  <c r="G214" i="5"/>
  <c r="K26" i="5"/>
  <c r="G26" i="5"/>
  <c r="L97" i="5"/>
  <c r="L178" i="5"/>
  <c r="L94" i="5"/>
  <c r="L179" i="5"/>
  <c r="L191" i="5"/>
  <c r="L241" i="5"/>
  <c r="L152" i="5"/>
  <c r="L325" i="5"/>
  <c r="L326" i="5"/>
  <c r="L33" i="5"/>
  <c r="L9" i="5"/>
  <c r="L252" i="5"/>
  <c r="L37" i="5"/>
  <c r="L233" i="5"/>
  <c r="L177" i="5"/>
  <c r="L265" i="5"/>
  <c r="L266" i="5"/>
  <c r="L125" i="5"/>
  <c r="L43" i="5"/>
  <c r="L24" i="5"/>
  <c r="L74" i="5"/>
  <c r="L15" i="5"/>
  <c r="L83" i="5"/>
  <c r="L219" i="5"/>
  <c r="L379" i="5"/>
  <c r="L293" i="5"/>
  <c r="L286" i="5"/>
  <c r="L215" i="5"/>
  <c r="L228" i="5"/>
  <c r="L117" i="5"/>
  <c r="L236" i="5"/>
  <c r="L384" i="5"/>
  <c r="L396" i="5"/>
  <c r="L400" i="5"/>
  <c r="L422" i="5"/>
  <c r="L420" i="5"/>
  <c r="L438" i="5"/>
  <c r="L210" i="5"/>
  <c r="L408" i="5"/>
  <c r="P497" i="5"/>
  <c r="K470" i="5"/>
  <c r="G470" i="5"/>
  <c r="K512" i="5"/>
  <c r="G512" i="5"/>
  <c r="K397" i="5"/>
  <c r="G397" i="5"/>
  <c r="K450" i="5"/>
  <c r="G450" i="5"/>
  <c r="K90" i="5"/>
  <c r="G90" i="5"/>
  <c r="K386" i="5"/>
  <c r="G386" i="5"/>
  <c r="K391" i="5"/>
  <c r="G391" i="5"/>
  <c r="L478" i="5"/>
  <c r="L459" i="5"/>
  <c r="L465" i="5"/>
  <c r="L464" i="5"/>
  <c r="L467" i="5"/>
  <c r="N411" i="5"/>
  <c r="P411" i="5" s="1"/>
  <c r="N408" i="5"/>
  <c r="P408" i="5" s="1"/>
  <c r="N440" i="5"/>
  <c r="N443" i="5"/>
  <c r="N423" i="5"/>
  <c r="P423" i="5" s="1"/>
  <c r="N446" i="5"/>
  <c r="P446" i="5" s="1"/>
  <c r="N438" i="5"/>
  <c r="N415" i="5"/>
  <c r="P415" i="5" s="1"/>
  <c r="G64" i="5"/>
  <c r="E77" i="5"/>
  <c r="E82" i="5"/>
  <c r="K361" i="5"/>
  <c r="G361" i="5"/>
  <c r="K349" i="5"/>
  <c r="G349" i="5"/>
  <c r="K270" i="5"/>
  <c r="G270" i="5"/>
  <c r="N270" i="5" s="1"/>
  <c r="P270" i="5" s="1"/>
  <c r="K253" i="5"/>
  <c r="G253" i="5"/>
  <c r="K185" i="5"/>
  <c r="G185" i="5"/>
  <c r="K139" i="5"/>
  <c r="K125" i="5"/>
  <c r="G125" i="5"/>
  <c r="K118" i="5"/>
  <c r="G118" i="5"/>
  <c r="K244" i="5"/>
  <c r="G244" i="5"/>
  <c r="K53" i="5"/>
  <c r="G53" i="5"/>
  <c r="K297" i="5"/>
  <c r="G297" i="5"/>
  <c r="K302" i="5"/>
  <c r="G302" i="5"/>
  <c r="K307" i="5"/>
  <c r="G307" i="5"/>
  <c r="K255" i="5"/>
  <c r="G255" i="5"/>
  <c r="K236" i="5"/>
  <c r="G236" i="5"/>
  <c r="K230" i="5"/>
  <c r="G230" i="5"/>
  <c r="K251" i="5"/>
  <c r="G251" i="5"/>
  <c r="K116" i="5"/>
  <c r="G116" i="5"/>
  <c r="K14" i="5"/>
  <c r="G14" i="5"/>
  <c r="K263" i="5"/>
  <c r="G263" i="5"/>
  <c r="K229" i="5"/>
  <c r="G229" i="5"/>
  <c r="K234" i="5"/>
  <c r="G234" i="5"/>
  <c r="K161" i="5"/>
  <c r="P161" i="5"/>
  <c r="K132" i="5"/>
  <c r="G132" i="5"/>
  <c r="K216" i="5"/>
  <c r="G216" i="5"/>
  <c r="K165" i="5"/>
  <c r="G165" i="5"/>
  <c r="K121" i="5"/>
  <c r="G121" i="5"/>
  <c r="K44" i="5"/>
  <c r="G44" i="5"/>
  <c r="K142" i="5"/>
  <c r="K22" i="5"/>
  <c r="F4" i="5"/>
  <c r="G22" i="5"/>
  <c r="K317" i="5"/>
  <c r="G317" i="5"/>
  <c r="K318" i="5"/>
  <c r="G318" i="5"/>
  <c r="N318" i="5" s="1"/>
  <c r="P318" i="5" s="1"/>
  <c r="K319" i="5"/>
  <c r="G319" i="5"/>
  <c r="N319" i="5" s="1"/>
  <c r="P319" i="5" s="1"/>
  <c r="K228" i="5"/>
  <c r="G228" i="5"/>
  <c r="K233" i="5"/>
  <c r="G233" i="5"/>
  <c r="K154" i="5"/>
  <c r="K352" i="5"/>
  <c r="G352" i="5"/>
  <c r="K71" i="5"/>
  <c r="G71" i="5"/>
  <c r="K72" i="5"/>
  <c r="G72" i="5"/>
  <c r="K77" i="5"/>
  <c r="G77" i="5"/>
  <c r="K248" i="5"/>
  <c r="G248" i="5"/>
  <c r="K141" i="5"/>
  <c r="G141" i="5"/>
  <c r="K370" i="5"/>
  <c r="G370" i="5"/>
  <c r="K8" i="5"/>
  <c r="G8" i="5"/>
  <c r="K12" i="5"/>
  <c r="G12" i="5"/>
  <c r="K87" i="5"/>
  <c r="G87" i="5"/>
  <c r="L190" i="5"/>
  <c r="L34" i="5"/>
  <c r="L327" i="5"/>
  <c r="L116" i="5"/>
  <c r="L253" i="5"/>
  <c r="L114" i="5"/>
  <c r="L315" i="5"/>
  <c r="L329" i="5"/>
  <c r="L330" i="5"/>
  <c r="L220" i="5"/>
  <c r="L21" i="5"/>
  <c r="L188" i="5"/>
  <c r="L197" i="5"/>
  <c r="L369" i="5"/>
  <c r="L370" i="5"/>
  <c r="L96" i="5"/>
  <c r="L88" i="5"/>
  <c r="L47" i="5"/>
  <c r="L53" i="5"/>
  <c r="L14" i="5"/>
  <c r="L78" i="5"/>
  <c r="L23" i="5"/>
  <c r="L95" i="5"/>
  <c r="L199" i="5"/>
  <c r="L284" i="5"/>
  <c r="L297" i="5"/>
  <c r="L290" i="5"/>
  <c r="L214" i="5"/>
  <c r="L61" i="5"/>
  <c r="L36" i="5"/>
  <c r="L208" i="5"/>
  <c r="L304" i="5"/>
  <c r="L176" i="5"/>
  <c r="L5" i="5"/>
  <c r="L388" i="5"/>
  <c r="L397" i="5"/>
  <c r="L402" i="5"/>
  <c r="L409" i="5"/>
  <c r="L432" i="5"/>
  <c r="L440" i="5"/>
  <c r="L428" i="5"/>
  <c r="L404" i="5"/>
  <c r="K468" i="5"/>
  <c r="G468" i="5"/>
  <c r="K496" i="5"/>
  <c r="G496" i="5"/>
  <c r="K393" i="5"/>
  <c r="G393" i="5"/>
  <c r="K449" i="5"/>
  <c r="G449" i="5"/>
  <c r="K509" i="5"/>
  <c r="G509" i="5"/>
  <c r="K480" i="5"/>
  <c r="G480" i="5"/>
  <c r="K495" i="5"/>
  <c r="G495" i="5"/>
  <c r="L466" i="5"/>
  <c r="L512" i="5"/>
  <c r="L462" i="5"/>
  <c r="L460" i="5"/>
  <c r="L482" i="5"/>
  <c r="N426" i="5"/>
  <c r="N437" i="5"/>
  <c r="P437" i="5" s="1"/>
  <c r="E505" i="5"/>
  <c r="N417" i="5"/>
  <c r="N400" i="5"/>
  <c r="N428" i="5"/>
  <c r="P428" i="5" s="1"/>
  <c r="N366" i="5"/>
  <c r="P366" i="5" s="1"/>
  <c r="J471" i="5"/>
  <c r="E471" i="5"/>
  <c r="J466" i="5"/>
  <c r="E466" i="5"/>
  <c r="J388" i="5"/>
  <c r="E388" i="5"/>
  <c r="J347" i="5"/>
  <c r="E347" i="5"/>
  <c r="AW265" i="2"/>
  <c r="AY265" i="2" s="1"/>
  <c r="E168" i="5"/>
  <c r="J378" i="5"/>
  <c r="E378" i="5"/>
  <c r="J482" i="5"/>
  <c r="E482" i="5"/>
  <c r="J509" i="5"/>
  <c r="E509" i="5"/>
  <c r="E49" i="5"/>
  <c r="J480" i="5"/>
  <c r="E480" i="5"/>
  <c r="E177" i="5"/>
  <c r="E96" i="5"/>
  <c r="AW359" i="2"/>
  <c r="AY359" i="2" s="1"/>
  <c r="E233" i="5"/>
  <c r="E165" i="5"/>
  <c r="AW200" i="2"/>
  <c r="AY200" i="2" s="1"/>
  <c r="E133" i="5"/>
  <c r="E160" i="5"/>
  <c r="AW196" i="2"/>
  <c r="AY196" i="2" s="1"/>
  <c r="E129" i="5"/>
  <c r="J373" i="5"/>
  <c r="E373" i="5"/>
  <c r="J382" i="5"/>
  <c r="E382" i="5"/>
  <c r="J370" i="5"/>
  <c r="E370" i="5"/>
  <c r="J463" i="5"/>
  <c r="E463" i="5"/>
  <c r="J461" i="5"/>
  <c r="E461" i="5"/>
  <c r="J475" i="5"/>
  <c r="E475" i="5"/>
  <c r="J458" i="5"/>
  <c r="E458" i="5"/>
  <c r="J511" i="5"/>
  <c r="E511" i="5"/>
  <c r="J493" i="5"/>
  <c r="E493" i="5"/>
  <c r="J476" i="5"/>
  <c r="E476" i="5"/>
  <c r="J481" i="5"/>
  <c r="E481" i="5"/>
  <c r="J215" i="5"/>
  <c r="E215" i="5"/>
  <c r="E508" i="5"/>
  <c r="E507" i="5"/>
  <c r="AW406" i="2"/>
  <c r="AY406" i="2" s="1"/>
  <c r="E265" i="5"/>
  <c r="J37" i="5"/>
  <c r="E37" i="5"/>
  <c r="J90" i="5"/>
  <c r="E90" i="5"/>
  <c r="J499" i="5"/>
  <c r="E499" i="5"/>
  <c r="AW384" i="2"/>
  <c r="AY384" i="2" s="1"/>
  <c r="E249" i="5"/>
  <c r="E195" i="5"/>
  <c r="AW110" i="2"/>
  <c r="AY110" i="2" s="1"/>
  <c r="E67" i="5"/>
  <c r="J369" i="5"/>
  <c r="E369" i="5"/>
  <c r="J464" i="5"/>
  <c r="E464" i="5"/>
  <c r="J494" i="5"/>
  <c r="E494" i="5"/>
  <c r="AW297" i="2"/>
  <c r="AY297" i="2" s="1"/>
  <c r="E188" i="5"/>
  <c r="E23" i="5"/>
  <c r="AW340" i="2"/>
  <c r="AY340" i="2" s="1"/>
  <c r="E217" i="5"/>
  <c r="E103" i="5"/>
  <c r="E70" i="5"/>
  <c r="AW208" i="2"/>
  <c r="AY208" i="2" s="1"/>
  <c r="E140" i="5"/>
  <c r="AW152" i="2"/>
  <c r="AY152" i="2" s="1"/>
  <c r="E97" i="5"/>
  <c r="J377" i="5"/>
  <c r="E377" i="5"/>
  <c r="J390" i="5"/>
  <c r="E390" i="5"/>
  <c r="J386" i="5"/>
  <c r="E386" i="5"/>
  <c r="J462" i="5"/>
  <c r="E462" i="5"/>
  <c r="J460" i="5"/>
  <c r="E460" i="5"/>
  <c r="J469" i="5"/>
  <c r="E469" i="5"/>
  <c r="J452" i="5"/>
  <c r="E452" i="5"/>
  <c r="J500" i="5"/>
  <c r="E500" i="5"/>
  <c r="J485" i="5"/>
  <c r="E485" i="5"/>
  <c r="J389" i="5"/>
  <c r="E389" i="5"/>
  <c r="J484" i="5"/>
  <c r="E484" i="5"/>
  <c r="J468" i="5"/>
  <c r="E468" i="5"/>
  <c r="E308" i="5"/>
  <c r="J89" i="5"/>
  <c r="E89" i="5"/>
  <c r="J380" i="5"/>
  <c r="E380" i="5"/>
  <c r="J501" i="5"/>
  <c r="E501" i="5"/>
  <c r="E280" i="5"/>
  <c r="AW149" i="2"/>
  <c r="AY149" i="2" s="1"/>
  <c r="E94" i="5"/>
  <c r="E285" i="5"/>
  <c r="J15" i="5"/>
  <c r="E15" i="5"/>
  <c r="E199" i="5"/>
  <c r="AW16" i="2"/>
  <c r="AY16" i="2" s="1"/>
  <c r="E9" i="5"/>
  <c r="E209" i="5"/>
  <c r="AW312" i="2"/>
  <c r="AY312" i="2" s="1"/>
  <c r="E200" i="5"/>
  <c r="E51" i="5"/>
  <c r="AW355" i="2"/>
  <c r="AY355" i="2" s="1"/>
  <c r="E229" i="5"/>
  <c r="E238" i="5"/>
  <c r="E120" i="5"/>
  <c r="E98" i="5"/>
  <c r="E69" i="5"/>
  <c r="E74" i="5"/>
  <c r="AW127" i="2"/>
  <c r="AY127" i="2" s="1"/>
  <c r="E79" i="5"/>
  <c r="E68" i="5"/>
  <c r="J16" i="5"/>
  <c r="E16" i="5"/>
  <c r="J348" i="5"/>
  <c r="E348" i="5"/>
  <c r="J384" i="5"/>
  <c r="E384" i="5"/>
  <c r="J379" i="5"/>
  <c r="E379" i="5"/>
  <c r="J381" i="5"/>
  <c r="E381" i="5"/>
  <c r="J450" i="5"/>
  <c r="E450" i="5"/>
  <c r="J456" i="5"/>
  <c r="E456" i="5"/>
  <c r="J465" i="5"/>
  <c r="E465" i="5"/>
  <c r="J496" i="5"/>
  <c r="E496" i="5"/>
  <c r="J512" i="5"/>
  <c r="E512" i="5"/>
  <c r="J483" i="5"/>
  <c r="E483" i="5"/>
  <c r="E344" i="5"/>
  <c r="E504" i="5"/>
  <c r="E232" i="5"/>
  <c r="E214" i="5"/>
  <c r="AW395" i="2"/>
  <c r="AY395" i="2" s="1"/>
  <c r="E257" i="5"/>
  <c r="J368" i="5"/>
  <c r="E368" i="5"/>
  <c r="J467" i="5"/>
  <c r="E467" i="5"/>
  <c r="AW270" i="2"/>
  <c r="AY270" i="2" s="1"/>
  <c r="E172" i="5"/>
  <c r="E307" i="5"/>
  <c r="E269" i="5"/>
  <c r="E92" i="5"/>
  <c r="E193" i="5"/>
  <c r="E219" i="5"/>
  <c r="E236" i="5"/>
  <c r="AW289" i="2"/>
  <c r="AY289" i="2" s="1"/>
  <c r="E184" i="5"/>
  <c r="E106" i="5"/>
  <c r="E14" i="5"/>
  <c r="E24" i="5"/>
  <c r="J352" i="5"/>
  <c r="E352" i="5"/>
  <c r="J398" i="5"/>
  <c r="E398" i="5"/>
  <c r="J397" i="5"/>
  <c r="E397" i="5"/>
  <c r="J474" i="5"/>
  <c r="E474" i="5"/>
  <c r="J455" i="5"/>
  <c r="E455" i="5"/>
  <c r="J459" i="5"/>
  <c r="E459" i="5"/>
  <c r="J492" i="5"/>
  <c r="E492" i="5"/>
  <c r="J510" i="5"/>
  <c r="E510" i="5"/>
  <c r="J453" i="5"/>
  <c r="E453" i="5"/>
  <c r="J104" i="5"/>
  <c r="E104" i="5"/>
  <c r="J387" i="5"/>
  <c r="E387" i="5"/>
  <c r="E264" i="5"/>
  <c r="E124" i="5"/>
  <c r="E303" i="5"/>
  <c r="E26" i="5"/>
  <c r="AW283" i="2"/>
  <c r="AY283" i="2" s="1"/>
  <c r="E180" i="5"/>
  <c r="AW174" i="2"/>
  <c r="AY174" i="2" s="1"/>
  <c r="E273" i="5"/>
  <c r="AW39" i="2"/>
  <c r="AY39" i="2" s="1"/>
  <c r="E27" i="5"/>
  <c r="AW399" i="2"/>
  <c r="AY399" i="2" s="1"/>
  <c r="E261" i="5"/>
  <c r="J367" i="5"/>
  <c r="E367" i="5"/>
  <c r="J392" i="5"/>
  <c r="E392" i="5"/>
  <c r="J391" i="5"/>
  <c r="E391" i="5"/>
  <c r="J473" i="5"/>
  <c r="E473" i="5"/>
  <c r="J451" i="5"/>
  <c r="E451" i="5"/>
  <c r="J457" i="5"/>
  <c r="E457" i="5"/>
  <c r="J478" i="5"/>
  <c r="E478" i="5"/>
  <c r="J495" i="5"/>
  <c r="E495" i="5"/>
  <c r="J449" i="5"/>
  <c r="E449" i="5"/>
  <c r="E125" i="5"/>
  <c r="E395" i="5"/>
  <c r="AW279" i="2"/>
  <c r="AY279" i="2" s="1"/>
  <c r="E176" i="5"/>
  <c r="J393" i="5"/>
  <c r="E393" i="5"/>
  <c r="J470" i="5"/>
  <c r="E470" i="5"/>
  <c r="E46" i="5"/>
  <c r="AW216" i="2"/>
  <c r="AY216" i="2" s="1"/>
  <c r="E148" i="5"/>
  <c r="AW367" i="2"/>
  <c r="AY367" i="2" s="1"/>
  <c r="E237" i="5"/>
  <c r="E281" i="5"/>
  <c r="AW258" i="2"/>
  <c r="AY258" i="2" s="1"/>
  <c r="E164" i="5"/>
  <c r="AW26" i="2"/>
  <c r="AY26" i="2" s="1"/>
  <c r="E19" i="5"/>
  <c r="E81" i="5"/>
  <c r="AW106" i="2"/>
  <c r="AY106" i="2" s="1"/>
  <c r="E63" i="5"/>
  <c r="AW350" i="2"/>
  <c r="AY350" i="2" s="1"/>
  <c r="E225" i="5"/>
  <c r="AW333" i="2"/>
  <c r="AY333" i="2" s="1"/>
  <c r="E212" i="5"/>
  <c r="J385" i="5"/>
  <c r="E385" i="5"/>
  <c r="J477" i="5"/>
  <c r="E477" i="5"/>
  <c r="J472" i="5"/>
  <c r="E472" i="5"/>
  <c r="J396" i="5"/>
  <c r="E396" i="5"/>
  <c r="J394" i="5"/>
  <c r="E394" i="5"/>
  <c r="AX113" i="1"/>
  <c r="J491" i="5"/>
  <c r="E491" i="5"/>
  <c r="J498" i="5"/>
  <c r="E498" i="5"/>
  <c r="J383" i="5"/>
  <c r="E383" i="5"/>
  <c r="AW441" i="2"/>
  <c r="AY441" i="2" s="1"/>
  <c r="AX242" i="1"/>
  <c r="AW170" i="2"/>
  <c r="AY170" i="2" s="1"/>
  <c r="AW71" i="2"/>
  <c r="AY71" i="2" s="1"/>
  <c r="AX407" i="1"/>
  <c r="AX377" i="1"/>
  <c r="AW344" i="2"/>
  <c r="AY344" i="2" s="1"/>
  <c r="AW140" i="2"/>
  <c r="AY140" i="2" s="1"/>
  <c r="AX273" i="1"/>
  <c r="AX276" i="1"/>
  <c r="AW145" i="2"/>
  <c r="AY145" i="2" s="1"/>
  <c r="AW65" i="2"/>
  <c r="AY65" i="2" s="1"/>
  <c r="AW223" i="2"/>
  <c r="AY223" i="2" s="1"/>
  <c r="AW227" i="2"/>
  <c r="AY227" i="2" s="1"/>
  <c r="AW49" i="2"/>
  <c r="AY49" i="2" s="1"/>
  <c r="AW35" i="2"/>
  <c r="AY35" i="2" s="1"/>
  <c r="AW413" i="2"/>
  <c r="AY413" i="2" s="1"/>
  <c r="AW320" i="2"/>
  <c r="AY320" i="2" s="1"/>
  <c r="AW131" i="2"/>
  <c r="AY131" i="2" s="1"/>
  <c r="AW61" i="2"/>
  <c r="AY61" i="2" s="1"/>
  <c r="AW306" i="2"/>
  <c r="AY306" i="2" s="1"/>
  <c r="AW6" i="2"/>
  <c r="AW204" i="2"/>
  <c r="AY204" i="2" s="1"/>
  <c r="AW76" i="2"/>
  <c r="AY76" i="2" s="1"/>
  <c r="AW445" i="2"/>
  <c r="AY445" i="2" s="1"/>
  <c r="AW464" i="2"/>
  <c r="AY464" i="2" s="1"/>
  <c r="AW212" i="2"/>
  <c r="AY212" i="2" s="1"/>
  <c r="AX438" i="1"/>
  <c r="AX289" i="1"/>
  <c r="AW45" i="2"/>
  <c r="AY45" i="2" s="1"/>
  <c r="AW11" i="2"/>
  <c r="AY11" i="2" s="1"/>
  <c r="AW391" i="2"/>
  <c r="AY391" i="2" s="1"/>
  <c r="AW20" i="2"/>
  <c r="AY20" i="2" s="1"/>
  <c r="AW453" i="2"/>
  <c r="AY453" i="2" s="1"/>
  <c r="AW123" i="2"/>
  <c r="AY123" i="2" s="1"/>
  <c r="AW329" i="2"/>
  <c r="AY329" i="2" s="1"/>
  <c r="AW417" i="2"/>
  <c r="AY417" i="2" s="1"/>
  <c r="AW243" i="2"/>
  <c r="AY243" i="2" s="1"/>
  <c r="AW372" i="2"/>
  <c r="AY372" i="2" s="1"/>
  <c r="AX169" i="1"/>
  <c r="AX437" i="1"/>
  <c r="AX380" i="1"/>
  <c r="AX300" i="1"/>
  <c r="AX162" i="1"/>
  <c r="AW458" i="2"/>
  <c r="AY458" i="2" s="1"/>
  <c r="AW33" i="2"/>
  <c r="AY33" i="2" s="1"/>
  <c r="AW437" i="2"/>
  <c r="AY437" i="2" s="1"/>
  <c r="AW92" i="2"/>
  <c r="AY92" i="2" s="1"/>
  <c r="AW449" i="2"/>
  <c r="AY449" i="2" s="1"/>
  <c r="AW301" i="2"/>
  <c r="AY301" i="2" s="1"/>
  <c r="AW378" i="2"/>
  <c r="AY378" i="2" s="1"/>
  <c r="AW119" i="2"/>
  <c r="AY119" i="2" s="1"/>
  <c r="AW139" i="2"/>
  <c r="AY139" i="2" s="1"/>
  <c r="AX275" i="1"/>
  <c r="AW141" i="2"/>
  <c r="AY141" i="2" s="1"/>
  <c r="AW150" i="2"/>
  <c r="AY150" i="2" s="1"/>
  <c r="J232" i="5"/>
  <c r="AW358" i="2"/>
  <c r="AY358" i="2" s="1"/>
  <c r="J143" i="5"/>
  <c r="AW211" i="2"/>
  <c r="AY211" i="2" s="1"/>
  <c r="J307" i="5"/>
  <c r="AW473" i="2"/>
  <c r="AY473" i="2" s="1"/>
  <c r="J302" i="5"/>
  <c r="AW459" i="2"/>
  <c r="AY459" i="2" s="1"/>
  <c r="J193" i="5"/>
  <c r="AW302" i="2"/>
  <c r="AY302" i="2" s="1"/>
  <c r="J251" i="5"/>
  <c r="AW386" i="2"/>
  <c r="AY386" i="2" s="1"/>
  <c r="J106" i="5"/>
  <c r="AW167" i="2"/>
  <c r="AY167" i="2" s="1"/>
  <c r="J153" i="5"/>
  <c r="AW224" i="2"/>
  <c r="AY224" i="2" s="1"/>
  <c r="J14" i="5"/>
  <c r="AW21" i="2"/>
  <c r="AY21" i="2" s="1"/>
  <c r="J78" i="5"/>
  <c r="AW126" i="2"/>
  <c r="AY126" i="2" s="1"/>
  <c r="J300" i="5"/>
  <c r="AW457" i="2"/>
  <c r="AY457" i="2" s="1"/>
  <c r="J228" i="5"/>
  <c r="AW354" i="2"/>
  <c r="AY354" i="2" s="1"/>
  <c r="J159" i="5"/>
  <c r="AW236" i="2"/>
  <c r="AY236" i="2" s="1"/>
  <c r="J42" i="5"/>
  <c r="AW60" i="2"/>
  <c r="AY60" i="2" s="1"/>
  <c r="J282" i="5"/>
  <c r="AW438" i="2"/>
  <c r="AY438" i="2" s="1"/>
  <c r="J222" i="5"/>
  <c r="AW346" i="2"/>
  <c r="AY346" i="2" s="1"/>
  <c r="J177" i="5"/>
  <c r="AW280" i="2"/>
  <c r="AY280" i="2" s="1"/>
  <c r="J84" i="5"/>
  <c r="AW132" i="2"/>
  <c r="AY132" i="2" s="1"/>
  <c r="J267" i="5"/>
  <c r="AW411" i="2"/>
  <c r="AY411" i="2" s="1"/>
  <c r="J218" i="5"/>
  <c r="AW341" i="2"/>
  <c r="AY341" i="2" s="1"/>
  <c r="J223" i="5"/>
  <c r="AW347" i="2"/>
  <c r="AY347" i="2" s="1"/>
  <c r="AW267" i="2"/>
  <c r="AY267" i="2" s="1"/>
  <c r="AW421" i="2"/>
  <c r="AY421" i="2" s="1"/>
  <c r="J96" i="5"/>
  <c r="AW151" i="2"/>
  <c r="AY151" i="2" s="1"/>
  <c r="J62" i="5"/>
  <c r="AW99" i="2"/>
  <c r="AY99" i="2" s="1"/>
  <c r="J26" i="5"/>
  <c r="AW38" i="2"/>
  <c r="AY38" i="2" s="1"/>
  <c r="J274" i="5"/>
  <c r="AW418" i="2"/>
  <c r="AY418" i="2" s="1"/>
  <c r="J258" i="5"/>
  <c r="AW396" i="2"/>
  <c r="AY396" i="2" s="1"/>
  <c r="J80" i="5"/>
  <c r="AW128" i="2"/>
  <c r="AY128" i="2" s="1"/>
  <c r="J198" i="5"/>
  <c r="AW308" i="2"/>
  <c r="AY308" i="2" s="1"/>
  <c r="J173" i="5"/>
  <c r="AW271" i="2"/>
  <c r="AY271" i="2" s="1"/>
  <c r="J149" i="5"/>
  <c r="AW217" i="2"/>
  <c r="AY217" i="2" s="1"/>
  <c r="J134" i="5"/>
  <c r="AW201" i="2"/>
  <c r="AY201" i="2" s="1"/>
  <c r="J29" i="5"/>
  <c r="AW42" i="2"/>
  <c r="AY42" i="2" s="1"/>
  <c r="J53" i="5"/>
  <c r="AW74" i="2"/>
  <c r="AY74" i="2" s="1"/>
  <c r="J18" i="5"/>
  <c r="AW25" i="2"/>
  <c r="AY25" i="2" s="1"/>
  <c r="J216" i="5"/>
  <c r="AW339" i="2"/>
  <c r="AY339" i="2" s="1"/>
  <c r="J128" i="5"/>
  <c r="AW195" i="2"/>
  <c r="AY195" i="2" s="1"/>
  <c r="J214" i="5"/>
  <c r="AW335" i="2"/>
  <c r="AY335" i="2" s="1"/>
  <c r="J279" i="5"/>
  <c r="AW425" i="2"/>
  <c r="AY425" i="2" s="1"/>
  <c r="J236" i="5"/>
  <c r="AW366" i="2"/>
  <c r="AY366" i="2" s="1"/>
  <c r="J127" i="5"/>
  <c r="AW194" i="2"/>
  <c r="AY194" i="2" s="1"/>
  <c r="J91" i="5"/>
  <c r="AW143" i="2"/>
  <c r="AY143" i="2" s="1"/>
  <c r="J34" i="5"/>
  <c r="AW48" i="2"/>
  <c r="AY48" i="2" s="1"/>
  <c r="J308" i="5"/>
  <c r="AW488" i="2"/>
  <c r="AY488" i="2" s="1"/>
  <c r="J195" i="5"/>
  <c r="AW305" i="2"/>
  <c r="AY305" i="2" s="1"/>
  <c r="J49" i="5"/>
  <c r="AW69" i="2"/>
  <c r="AY69" i="2" s="1"/>
  <c r="J24" i="5"/>
  <c r="AW34" i="2"/>
  <c r="AY34" i="2" s="1"/>
  <c r="J264" i="5"/>
  <c r="AW405" i="2"/>
  <c r="AY405" i="2" s="1"/>
  <c r="J175" i="5"/>
  <c r="AW273" i="2"/>
  <c r="AY273" i="2" s="1"/>
  <c r="J303" i="5"/>
  <c r="AW460" i="2"/>
  <c r="AY460" i="2" s="1"/>
  <c r="J287" i="5"/>
  <c r="AW443" i="2"/>
  <c r="AY443" i="2" s="1"/>
  <c r="J150" i="5"/>
  <c r="AW220" i="2"/>
  <c r="AY220" i="2" s="1"/>
  <c r="J298" i="5"/>
  <c r="AW454" i="2"/>
  <c r="AY454" i="2" s="1"/>
  <c r="J44" i="5"/>
  <c r="AW62" i="2"/>
  <c r="AY62" i="2" s="1"/>
  <c r="J259" i="5"/>
  <c r="AW397" i="2"/>
  <c r="AY397" i="2" s="1"/>
  <c r="J203" i="5"/>
  <c r="AW319" i="2"/>
  <c r="AY319" i="2" s="1"/>
  <c r="J248" i="5"/>
  <c r="AW382" i="2"/>
  <c r="AY382" i="2" s="1"/>
  <c r="J114" i="5"/>
  <c r="AW175" i="2"/>
  <c r="AY175" i="2" s="1"/>
  <c r="J244" i="5"/>
  <c r="AW377" i="2"/>
  <c r="AY377" i="2" s="1"/>
  <c r="J165" i="5"/>
  <c r="AW262" i="2"/>
  <c r="AY262" i="2" s="1"/>
  <c r="J141" i="5"/>
  <c r="AW209" i="2"/>
  <c r="AY209" i="2" s="1"/>
  <c r="J126" i="5"/>
  <c r="AW193" i="2"/>
  <c r="AY193" i="2" s="1"/>
  <c r="J65" i="5"/>
  <c r="AW108" i="2"/>
  <c r="AY108" i="2" s="1"/>
  <c r="J157" i="5"/>
  <c r="AW228" i="2"/>
  <c r="AY228" i="2" s="1"/>
  <c r="J77" i="5"/>
  <c r="AW125" i="2"/>
  <c r="AY125" i="2" s="1"/>
  <c r="J58" i="5"/>
  <c r="AW89" i="2"/>
  <c r="AY89" i="2" s="1"/>
  <c r="J82" i="5"/>
  <c r="AW130" i="2"/>
  <c r="AY130" i="2" s="1"/>
  <c r="J277" i="5"/>
  <c r="AW422" i="2"/>
  <c r="AY422" i="2" s="1"/>
  <c r="AW489" i="2"/>
  <c r="AY489" i="2" s="1"/>
  <c r="AW206" i="2"/>
  <c r="AY206" i="2" s="1"/>
  <c r="AW433" i="2"/>
  <c r="AY433" i="2" s="1"/>
  <c r="AW435" i="2"/>
  <c r="AY435" i="2" s="1"/>
  <c r="AW434" i="2"/>
  <c r="AY434" i="2" s="1"/>
  <c r="AW432" i="2"/>
  <c r="AY432" i="2" s="1"/>
  <c r="J224" i="5"/>
  <c r="AW348" i="2"/>
  <c r="AY348" i="2" s="1"/>
  <c r="J171" i="5"/>
  <c r="AW269" i="2"/>
  <c r="AY269" i="2" s="1"/>
  <c r="J136" i="5"/>
  <c r="AW203" i="2"/>
  <c r="AY203" i="2" s="1"/>
  <c r="J10" i="5"/>
  <c r="AW17" i="2"/>
  <c r="AY17" i="2" s="1"/>
  <c r="J283" i="5"/>
  <c r="AW439" i="2"/>
  <c r="AY439" i="2" s="1"/>
  <c r="J45" i="5"/>
  <c r="AW63" i="2"/>
  <c r="AY63" i="2" s="1"/>
  <c r="J294" i="5"/>
  <c r="AW450" i="2"/>
  <c r="AY450" i="2" s="1"/>
  <c r="J266" i="5"/>
  <c r="AW407" i="2"/>
  <c r="AY407" i="2" s="1"/>
  <c r="J201" i="5"/>
  <c r="AW314" i="2"/>
  <c r="AY314" i="2" s="1"/>
  <c r="J76" i="5"/>
  <c r="AW124" i="2"/>
  <c r="AY124" i="2" s="1"/>
  <c r="J276" i="5"/>
  <c r="AW420" i="2"/>
  <c r="AY420" i="2" s="1"/>
  <c r="J210" i="5"/>
  <c r="AW331" i="2"/>
  <c r="AY331" i="2" s="1"/>
  <c r="J252" i="5"/>
  <c r="AW390" i="2"/>
  <c r="AY390" i="2" s="1"/>
  <c r="J226" i="5"/>
  <c r="AW351" i="2"/>
  <c r="AY351" i="2" s="1"/>
  <c r="J178" i="5"/>
  <c r="AW281" i="2"/>
  <c r="AY281" i="2" s="1"/>
  <c r="J231" i="5"/>
  <c r="AW357" i="2"/>
  <c r="AY357" i="2" s="1"/>
  <c r="J183" i="5"/>
  <c r="AW288" i="2"/>
  <c r="AY288" i="2" s="1"/>
  <c r="J131" i="5"/>
  <c r="AW198" i="2"/>
  <c r="AY198" i="2" s="1"/>
  <c r="J102" i="5"/>
  <c r="AW158" i="2"/>
  <c r="AY158" i="2" s="1"/>
  <c r="J118" i="5"/>
  <c r="AW179" i="2"/>
  <c r="AY179" i="2" s="1"/>
  <c r="J112" i="5"/>
  <c r="AW173" i="2"/>
  <c r="AY173" i="2" s="1"/>
  <c r="J105" i="5"/>
  <c r="AW166" i="2"/>
  <c r="AY166" i="2" s="1"/>
  <c r="J20" i="5"/>
  <c r="AW27" i="2"/>
  <c r="AY27" i="2" s="1"/>
  <c r="J72" i="5"/>
  <c r="AW120" i="2"/>
  <c r="AY120" i="2" s="1"/>
  <c r="J189" i="5"/>
  <c r="AW298" i="2"/>
  <c r="AY298" i="2" s="1"/>
  <c r="J235" i="5"/>
  <c r="AW365" i="2"/>
  <c r="AY365" i="2" s="1"/>
  <c r="J33" i="5"/>
  <c r="AW47" i="2"/>
  <c r="AY47" i="2" s="1"/>
  <c r="J21" i="5"/>
  <c r="AW29" i="2"/>
  <c r="AY29" i="2" s="1"/>
  <c r="J57" i="5"/>
  <c r="AW85" i="2"/>
  <c r="AY85" i="2" s="1"/>
  <c r="J81" i="5"/>
  <c r="AW129" i="2"/>
  <c r="AY129" i="2" s="1"/>
  <c r="J103" i="5"/>
  <c r="AW162" i="2"/>
  <c r="AY162" i="2" s="1"/>
  <c r="J22" i="5"/>
  <c r="AW30" i="2"/>
  <c r="AY30" i="2" s="1"/>
  <c r="J70" i="5"/>
  <c r="AW118" i="2"/>
  <c r="AY118" i="2" s="1"/>
  <c r="J100" i="5"/>
  <c r="AW156" i="2"/>
  <c r="AY156" i="2" s="1"/>
  <c r="J64" i="5"/>
  <c r="AW107" i="2"/>
  <c r="AY107" i="2" s="1"/>
  <c r="J8" i="5"/>
  <c r="AW14" i="2"/>
  <c r="AY14" i="2" s="1"/>
  <c r="AW487" i="2"/>
  <c r="AY487" i="2" s="1"/>
  <c r="AW479" i="2"/>
  <c r="AY479" i="2" s="1"/>
  <c r="AW192" i="2"/>
  <c r="AY192" i="2" s="1"/>
  <c r="J304" i="5"/>
  <c r="AW461" i="2"/>
  <c r="AY461" i="2" s="1"/>
  <c r="J268" i="5"/>
  <c r="AW412" i="2"/>
  <c r="AY412" i="2" s="1"/>
  <c r="J163" i="5"/>
  <c r="AW256" i="2"/>
  <c r="AY256" i="2" s="1"/>
  <c r="J291" i="5"/>
  <c r="AW447" i="2"/>
  <c r="AY447" i="2" s="1"/>
  <c r="J162" i="5"/>
  <c r="AW253" i="2"/>
  <c r="AY253" i="2" s="1"/>
  <c r="J286" i="5"/>
  <c r="AW442" i="2"/>
  <c r="AY442" i="2" s="1"/>
  <c r="J181" i="5"/>
  <c r="AW284" i="2"/>
  <c r="AY284" i="2" s="1"/>
  <c r="J92" i="5"/>
  <c r="AW144" i="2"/>
  <c r="AY144" i="2" s="1"/>
  <c r="J7" i="5"/>
  <c r="AW13" i="2"/>
  <c r="AY13" i="2" s="1"/>
  <c r="J206" i="5"/>
  <c r="AW325" i="2"/>
  <c r="AY325" i="2" s="1"/>
  <c r="J219" i="5"/>
  <c r="AW342" i="2"/>
  <c r="AY342" i="2" s="1"/>
  <c r="J101" i="5"/>
  <c r="AW157" i="2"/>
  <c r="AY157" i="2" s="1"/>
  <c r="J250" i="5"/>
  <c r="AW385" i="2"/>
  <c r="AY385" i="2" s="1"/>
  <c r="J32" i="5"/>
  <c r="AW46" i="2"/>
  <c r="AY46" i="2" s="1"/>
  <c r="J284" i="5"/>
  <c r="AW440" i="2"/>
  <c r="AY440" i="2" s="1"/>
  <c r="J211" i="5"/>
  <c r="AW332" i="2"/>
  <c r="AY332" i="2" s="1"/>
  <c r="J139" i="5"/>
  <c r="AW207" i="2"/>
  <c r="AY207" i="2" s="1"/>
  <c r="AW485" i="2"/>
  <c r="AY485" i="2" s="1"/>
  <c r="AW190" i="2"/>
  <c r="AY190" i="2" s="1"/>
  <c r="J194" i="5"/>
  <c r="AW304" i="2"/>
  <c r="AY304" i="2" s="1"/>
  <c r="J107" i="5"/>
  <c r="AW168" i="2"/>
  <c r="AY168" i="2" s="1"/>
  <c r="J275" i="5"/>
  <c r="AW419" i="2"/>
  <c r="AY419" i="2" s="1"/>
  <c r="J255" i="5"/>
  <c r="AW393" i="2"/>
  <c r="AY393" i="2" s="1"/>
  <c r="J254" i="5"/>
  <c r="AW392" i="2"/>
  <c r="AY392" i="2" s="1"/>
  <c r="J179" i="5"/>
  <c r="AW282" i="2"/>
  <c r="AY282" i="2" s="1"/>
  <c r="J158" i="5"/>
  <c r="AW235" i="2"/>
  <c r="AY235" i="2" s="1"/>
  <c r="J142" i="5"/>
  <c r="AW210" i="2"/>
  <c r="AY210" i="2" s="1"/>
  <c r="J121" i="5"/>
  <c r="AW182" i="2"/>
  <c r="AY182" i="2" s="1"/>
  <c r="J28" i="5"/>
  <c r="AW41" i="2"/>
  <c r="AY41" i="2" s="1"/>
  <c r="J40" i="5"/>
  <c r="AW58" i="2"/>
  <c r="AY58" i="2" s="1"/>
  <c r="J278" i="5"/>
  <c r="AW423" i="2"/>
  <c r="AY423" i="2" s="1"/>
  <c r="J213" i="5"/>
  <c r="AW334" i="2"/>
  <c r="AY334" i="2" s="1"/>
  <c r="J296" i="5"/>
  <c r="AW452" i="2"/>
  <c r="AY452" i="2" s="1"/>
  <c r="J260" i="5"/>
  <c r="AW398" i="2"/>
  <c r="AY398" i="2" s="1"/>
  <c r="J207" i="5"/>
  <c r="AW328" i="2"/>
  <c r="AY328" i="2" s="1"/>
  <c r="J155" i="5"/>
  <c r="AW226" i="2"/>
  <c r="AY226" i="2" s="1"/>
  <c r="J116" i="5"/>
  <c r="AW177" i="2"/>
  <c r="AY177" i="2" s="1"/>
  <c r="J299" i="5"/>
  <c r="AW456" i="2"/>
  <c r="AY456" i="2" s="1"/>
  <c r="J186" i="5"/>
  <c r="AW293" i="2"/>
  <c r="AY293" i="2" s="1"/>
  <c r="J123" i="5"/>
  <c r="AW186" i="2"/>
  <c r="AY186" i="2" s="1"/>
  <c r="J310" i="5"/>
  <c r="AW490" i="2"/>
  <c r="AY490" i="2" s="1"/>
  <c r="J292" i="5"/>
  <c r="AW448" i="2"/>
  <c r="AY448" i="2" s="1"/>
  <c r="J272" i="5"/>
  <c r="AW416" i="2"/>
  <c r="AY416" i="2" s="1"/>
  <c r="J240" i="5"/>
  <c r="AW371" i="2"/>
  <c r="AY371" i="2" s="1"/>
  <c r="J220" i="5"/>
  <c r="AW343" i="2"/>
  <c r="AY343" i="2" s="1"/>
  <c r="J191" i="5"/>
  <c r="AW300" i="2"/>
  <c r="AY300" i="2" s="1"/>
  <c r="J167" i="5"/>
  <c r="AW264" i="2"/>
  <c r="AY264" i="2" s="1"/>
  <c r="J147" i="5"/>
  <c r="AW215" i="2"/>
  <c r="AY215" i="2" s="1"/>
  <c r="J132" i="5"/>
  <c r="AW199" i="2"/>
  <c r="AY199" i="2" s="1"/>
  <c r="J108" i="5"/>
  <c r="AW169" i="2"/>
  <c r="AY169" i="2" s="1"/>
  <c r="J295" i="5"/>
  <c r="AW451" i="2"/>
  <c r="AY451" i="2" s="1"/>
  <c r="J243" i="5"/>
  <c r="AW376" i="2"/>
  <c r="AY376" i="2" s="1"/>
  <c r="J182" i="5"/>
  <c r="AW287" i="2"/>
  <c r="AY287" i="2" s="1"/>
  <c r="J115" i="5"/>
  <c r="AW176" i="2"/>
  <c r="AY176" i="2" s="1"/>
  <c r="J41" i="5"/>
  <c r="AW59" i="2"/>
  <c r="AY59" i="2" s="1"/>
  <c r="J306" i="5"/>
  <c r="AW465" i="2"/>
  <c r="AY465" i="2" s="1"/>
  <c r="J290" i="5"/>
  <c r="AW446" i="2"/>
  <c r="AY446" i="2" s="1"/>
  <c r="J246" i="5"/>
  <c r="AW380" i="2"/>
  <c r="AY380" i="2" s="1"/>
  <c r="J197" i="5"/>
  <c r="AW307" i="2"/>
  <c r="AY307" i="2" s="1"/>
  <c r="J60" i="5"/>
  <c r="AW95" i="2"/>
  <c r="AY95" i="2" s="1"/>
  <c r="J271" i="5"/>
  <c r="AW415" i="2"/>
  <c r="AY415" i="2" s="1"/>
  <c r="J263" i="5"/>
  <c r="AW401" i="2"/>
  <c r="AY401" i="2" s="1"/>
  <c r="J202" i="5"/>
  <c r="AW318" i="2"/>
  <c r="AY318" i="2" s="1"/>
  <c r="J230" i="5"/>
  <c r="AW356" i="2"/>
  <c r="AY356" i="2" s="1"/>
  <c r="J190" i="5"/>
  <c r="AW299" i="2"/>
  <c r="AY299" i="2" s="1"/>
  <c r="J239" i="5"/>
  <c r="AW369" i="2"/>
  <c r="AY369" i="2" s="1"/>
  <c r="J199" i="5"/>
  <c r="AW309" i="2"/>
  <c r="AY309" i="2" s="1"/>
  <c r="J174" i="5"/>
  <c r="AW272" i="2"/>
  <c r="AY272" i="2" s="1"/>
  <c r="J166" i="5"/>
  <c r="AW263" i="2"/>
  <c r="AY263" i="2" s="1"/>
  <c r="J154" i="5"/>
  <c r="AW225" i="2"/>
  <c r="AY225" i="2" s="1"/>
  <c r="J146" i="5"/>
  <c r="AW214" i="2"/>
  <c r="AY214" i="2" s="1"/>
  <c r="J99" i="5"/>
  <c r="AW154" i="2"/>
  <c r="AY154" i="2" s="1"/>
  <c r="J66" i="5"/>
  <c r="AW109" i="2"/>
  <c r="AY109" i="2" s="1"/>
  <c r="J110" i="5"/>
  <c r="AW171" i="2"/>
  <c r="AY171" i="2" s="1"/>
  <c r="J30" i="5"/>
  <c r="AW43" i="2"/>
  <c r="AY43" i="2" s="1"/>
  <c r="J151" i="5"/>
  <c r="AW222" i="2"/>
  <c r="AY222" i="2" s="1"/>
  <c r="J262" i="5"/>
  <c r="AW400" i="2"/>
  <c r="AY400" i="2" s="1"/>
  <c r="J209" i="5"/>
  <c r="AW330" i="2"/>
  <c r="AY330" i="2" s="1"/>
  <c r="J12" i="5"/>
  <c r="AW19" i="2"/>
  <c r="AY19" i="2" s="1"/>
  <c r="J117" i="5"/>
  <c r="AW178" i="2"/>
  <c r="AY178" i="2" s="1"/>
  <c r="J56" i="5"/>
  <c r="AW82" i="2"/>
  <c r="AY82" i="2" s="1"/>
  <c r="J11" i="5"/>
  <c r="AW18" i="2"/>
  <c r="AY18" i="2" s="1"/>
  <c r="J270" i="5"/>
  <c r="AW414" i="2"/>
  <c r="AY414" i="2" s="1"/>
  <c r="J205" i="5"/>
  <c r="AW324" i="2"/>
  <c r="AY324" i="2" s="1"/>
  <c r="J238" i="5"/>
  <c r="AW368" i="2"/>
  <c r="AY368" i="2" s="1"/>
  <c r="J247" i="5"/>
  <c r="AW381" i="2"/>
  <c r="AY381" i="2" s="1"/>
  <c r="J185" i="5"/>
  <c r="AW290" i="2"/>
  <c r="AY290" i="2" s="1"/>
  <c r="J169" i="5"/>
  <c r="AW266" i="2"/>
  <c r="AY266" i="2" s="1"/>
  <c r="J161" i="5"/>
  <c r="AW252" i="2"/>
  <c r="AY252" i="2" s="1"/>
  <c r="J145" i="5"/>
  <c r="AW213" i="2"/>
  <c r="AY213" i="2" s="1"/>
  <c r="J138" i="5"/>
  <c r="AW205" i="2"/>
  <c r="AY205" i="2" s="1"/>
  <c r="J130" i="5"/>
  <c r="AW197" i="2"/>
  <c r="AY197" i="2" s="1"/>
  <c r="J120" i="5"/>
  <c r="AW181" i="2"/>
  <c r="AY181" i="2" s="1"/>
  <c r="J61" i="5"/>
  <c r="AW98" i="2"/>
  <c r="AY98" i="2" s="1"/>
  <c r="J122" i="5"/>
  <c r="AW183" i="2"/>
  <c r="AY183" i="2" s="1"/>
  <c r="J98" i="5"/>
  <c r="AW153" i="2"/>
  <c r="AY153" i="2" s="1"/>
  <c r="J69" i="5"/>
  <c r="AW117" i="2"/>
  <c r="AY117" i="2" s="1"/>
  <c r="J85" i="5"/>
  <c r="AW133" i="2"/>
  <c r="AY133" i="2" s="1"/>
  <c r="J6" i="5"/>
  <c r="AW12" i="2"/>
  <c r="AY12" i="2" s="1"/>
  <c r="J50" i="5"/>
  <c r="AW70" i="2"/>
  <c r="AY70" i="2" s="1"/>
  <c r="J74" i="5"/>
  <c r="AW122" i="2"/>
  <c r="AY122" i="2" s="1"/>
  <c r="J68" i="5"/>
  <c r="AW111" i="2"/>
  <c r="AY111" i="2" s="1"/>
  <c r="J4" i="5"/>
  <c r="AW10" i="2"/>
  <c r="AY10" i="2" s="1"/>
  <c r="AY6" i="2"/>
  <c r="J288" i="5"/>
  <c r="AW444" i="2"/>
  <c r="AY444" i="2" s="1"/>
  <c r="J187" i="5"/>
  <c r="AW294" i="2"/>
  <c r="AY294" i="2" s="1"/>
  <c r="J46" i="5"/>
  <c r="AW64" i="2"/>
  <c r="AY64" i="2" s="1"/>
  <c r="J227" i="5"/>
  <c r="AW352" i="2"/>
  <c r="AY352" i="2" s="1"/>
  <c r="J111" i="5"/>
  <c r="AW172" i="2"/>
  <c r="AY172" i="2" s="1"/>
  <c r="J234" i="5"/>
  <c r="AW364" i="2"/>
  <c r="AY364" i="2" s="1"/>
  <c r="J52" i="5"/>
  <c r="AW72" i="2"/>
  <c r="AY72" i="2" s="1"/>
  <c r="J242" i="5"/>
  <c r="AW373" i="2"/>
  <c r="AY373" i="2" s="1"/>
  <c r="J135" i="5"/>
  <c r="AW202" i="2"/>
  <c r="AY202" i="2" s="1"/>
  <c r="J48" i="5"/>
  <c r="AW66" i="2"/>
  <c r="AY66" i="2" s="1"/>
  <c r="J256" i="5"/>
  <c r="AW394" i="2"/>
  <c r="AY394" i="2" s="1"/>
  <c r="J119" i="5"/>
  <c r="AW180" i="2"/>
  <c r="AY180" i="2" s="1"/>
  <c r="J17" i="5"/>
  <c r="AW24" i="2"/>
  <c r="AY24" i="2" s="1"/>
  <c r="J73" i="5"/>
  <c r="AW121" i="2"/>
  <c r="AY121" i="2" s="1"/>
  <c r="J54" i="5"/>
  <c r="AW75" i="2"/>
  <c r="AY75" i="2" s="1"/>
  <c r="AX16" i="1"/>
  <c r="J285" i="5"/>
  <c r="J109" i="5"/>
  <c r="J265" i="5"/>
  <c r="J88" i="5"/>
  <c r="J31" i="5"/>
  <c r="J79" i="5"/>
  <c r="J152" i="5"/>
  <c r="J168" i="5"/>
  <c r="J25" i="5"/>
  <c r="J269" i="5"/>
  <c r="J204" i="5"/>
  <c r="J249" i="5"/>
  <c r="J184" i="5"/>
  <c r="J83" i="5"/>
  <c r="J43" i="5"/>
  <c r="J196" i="5"/>
  <c r="J137" i="5"/>
  <c r="J257" i="5"/>
  <c r="J148" i="5"/>
  <c r="J55" i="5"/>
  <c r="J289" i="5"/>
  <c r="J305" i="5"/>
  <c r="J144" i="5"/>
  <c r="J67" i="5"/>
  <c r="J94" i="5"/>
  <c r="J221" i="5"/>
  <c r="J9" i="5"/>
  <c r="J200" i="5"/>
  <c r="J51" i="5"/>
  <c r="J229" i="5"/>
  <c r="J156" i="5"/>
  <c r="J176" i="5"/>
  <c r="J35" i="5"/>
  <c r="J5" i="5"/>
  <c r="J253" i="5"/>
  <c r="J188" i="5"/>
  <c r="J13" i="5"/>
  <c r="J297" i="5"/>
  <c r="J233" i="5"/>
  <c r="J75" i="5"/>
  <c r="J180" i="5"/>
  <c r="J95" i="5"/>
  <c r="J113" i="5"/>
  <c r="J208" i="5"/>
  <c r="J273" i="5"/>
  <c r="J133" i="5"/>
  <c r="J27" i="5"/>
  <c r="J160" i="5"/>
  <c r="J261" i="5"/>
  <c r="J129" i="5"/>
  <c r="J241" i="5"/>
  <c r="J125" i="5"/>
  <c r="J301" i="5"/>
  <c r="J237" i="5"/>
  <c r="J172" i="5"/>
  <c r="J23" i="5"/>
  <c r="J281" i="5"/>
  <c r="J217" i="5"/>
  <c r="J59" i="5"/>
  <c r="J293" i="5"/>
  <c r="J164" i="5"/>
  <c r="J19" i="5"/>
  <c r="J93" i="5"/>
  <c r="J192" i="5"/>
  <c r="J63" i="5"/>
  <c r="J140" i="5"/>
  <c r="J225" i="5"/>
  <c r="J97" i="5"/>
  <c r="J245" i="5"/>
  <c r="J212" i="5"/>
  <c r="J47" i="5"/>
  <c r="J71" i="5"/>
  <c r="J87" i="5"/>
  <c r="AX185" i="1"/>
  <c r="J124" i="5"/>
  <c r="J170" i="5"/>
  <c r="J309" i="5"/>
  <c r="J280" i="5"/>
  <c r="D513" i="5"/>
  <c r="C513" i="5"/>
  <c r="C515" i="5" s="1"/>
  <c r="AX238" i="1"/>
  <c r="I511" i="5"/>
  <c r="AX6" i="1"/>
  <c r="AX222" i="1"/>
  <c r="I504" i="5"/>
  <c r="AX11" i="1"/>
  <c r="AX184" i="1"/>
  <c r="L3" i="5"/>
  <c r="J3" i="5"/>
  <c r="I502" i="5"/>
  <c r="AX478" i="1"/>
  <c r="I14" i="5"/>
  <c r="AX202" i="1"/>
  <c r="AX19" i="1"/>
  <c r="I460" i="5"/>
  <c r="AX77" i="1"/>
  <c r="I222" i="5"/>
  <c r="AX419" i="1"/>
  <c r="I290" i="5"/>
  <c r="AX511" i="1"/>
  <c r="I186" i="5"/>
  <c r="AX365" i="1"/>
  <c r="I231" i="5"/>
  <c r="AX430" i="1"/>
  <c r="I303" i="5"/>
  <c r="AX525" i="1"/>
  <c r="I232" i="5"/>
  <c r="AX431" i="1"/>
  <c r="I304" i="5"/>
  <c r="AX526" i="1"/>
  <c r="I160" i="5"/>
  <c r="AX308" i="1"/>
  <c r="I221" i="5"/>
  <c r="AX417" i="1"/>
  <c r="I356" i="5"/>
  <c r="AX312" i="1"/>
  <c r="I353" i="5"/>
  <c r="AX309" i="1"/>
  <c r="I176" i="5"/>
  <c r="AX351" i="1"/>
  <c r="I289" i="5"/>
  <c r="AX510" i="1"/>
  <c r="I217" i="5"/>
  <c r="AX412" i="1"/>
  <c r="I202" i="5"/>
  <c r="AX390" i="1"/>
  <c r="I68" i="5"/>
  <c r="AX124" i="1"/>
  <c r="I180" i="5"/>
  <c r="AX355" i="1"/>
  <c r="I163" i="5"/>
  <c r="AX332" i="1"/>
  <c r="I308" i="5"/>
  <c r="AX263" i="1"/>
  <c r="I185" i="5"/>
  <c r="AX362" i="1"/>
  <c r="I209" i="5"/>
  <c r="AX402" i="1"/>
  <c r="I371" i="5"/>
  <c r="AX481" i="1"/>
  <c r="I273" i="5"/>
  <c r="AX485" i="1"/>
  <c r="I126" i="5"/>
  <c r="AX547" i="1"/>
  <c r="I205" i="5"/>
  <c r="AX396" i="1"/>
  <c r="AX453" i="1"/>
  <c r="I489" i="5"/>
  <c r="AX125" i="1"/>
  <c r="I449" i="5"/>
  <c r="AX245" i="1"/>
  <c r="AX283" i="1"/>
  <c r="I450" i="5"/>
  <c r="AX246" i="1"/>
  <c r="AX284" i="1"/>
  <c r="I41" i="5"/>
  <c r="AX59" i="1"/>
  <c r="I50" i="5"/>
  <c r="AX219" i="1"/>
  <c r="AX74" i="1"/>
  <c r="I74" i="5"/>
  <c r="AX139" i="1"/>
  <c r="AX220" i="1"/>
  <c r="AX75" i="1"/>
  <c r="I75" i="5"/>
  <c r="AX140" i="1"/>
  <c r="I52" i="5"/>
  <c r="AX221" i="1"/>
  <c r="AX76" i="1"/>
  <c r="I80" i="5"/>
  <c r="AX147" i="1"/>
  <c r="I81" i="5"/>
  <c r="AX148" i="1"/>
  <c r="I69" i="5"/>
  <c r="AX132" i="1"/>
  <c r="I456" i="5"/>
  <c r="AX244" i="1"/>
  <c r="I459" i="5"/>
  <c r="AX131" i="1"/>
  <c r="AX237" i="1"/>
  <c r="AX108" i="1"/>
  <c r="I463" i="5"/>
  <c r="AX133" i="1"/>
  <c r="I464" i="5"/>
  <c r="AX137" i="1"/>
  <c r="I472" i="5"/>
  <c r="AX179" i="1"/>
  <c r="I226" i="5"/>
  <c r="AX424" i="1"/>
  <c r="I266" i="5"/>
  <c r="AX472" i="1"/>
  <c r="I294" i="5"/>
  <c r="AX515" i="1"/>
  <c r="I292" i="5"/>
  <c r="AX513" i="1"/>
  <c r="I359" i="5"/>
  <c r="AX315" i="1"/>
  <c r="I162" i="5"/>
  <c r="AX329" i="1"/>
  <c r="I219" i="5"/>
  <c r="AX415" i="1"/>
  <c r="I291" i="5"/>
  <c r="AX512" i="1"/>
  <c r="I307" i="5"/>
  <c r="AX538" i="1"/>
  <c r="I179" i="5"/>
  <c r="AX354" i="1"/>
  <c r="I220" i="5"/>
  <c r="AX416" i="1"/>
  <c r="AX500" i="1"/>
  <c r="AX499" i="1"/>
  <c r="AX498" i="1"/>
  <c r="AX497" i="1"/>
  <c r="I165" i="5"/>
  <c r="AX338" i="1"/>
  <c r="I293" i="5"/>
  <c r="AX514" i="1"/>
  <c r="I200" i="5"/>
  <c r="AX384" i="1"/>
  <c r="I281" i="5"/>
  <c r="AX502" i="1"/>
  <c r="AX166" i="1"/>
  <c r="AX240" i="1"/>
  <c r="I265" i="5"/>
  <c r="AX471" i="1"/>
  <c r="I204" i="5"/>
  <c r="AX392" i="1"/>
  <c r="I206" i="5"/>
  <c r="AX455" i="1"/>
  <c r="AX397" i="1"/>
  <c r="I285" i="5"/>
  <c r="AX506" i="1"/>
  <c r="I164" i="5"/>
  <c r="AX334" i="1"/>
  <c r="I130" i="5"/>
  <c r="AX264" i="1"/>
  <c r="I480" i="5"/>
  <c r="AX490" i="1"/>
  <c r="I271" i="5"/>
  <c r="AX483" i="1"/>
  <c r="I62" i="5"/>
  <c r="AX109" i="1"/>
  <c r="I158" i="5"/>
  <c r="AX299" i="1"/>
  <c r="I485" i="5"/>
  <c r="AX286" i="1"/>
  <c r="I496" i="5"/>
  <c r="AX439" i="1"/>
  <c r="I501" i="5"/>
  <c r="AX405" i="1"/>
  <c r="I48" i="5"/>
  <c r="AX66" i="1"/>
  <c r="I42" i="5"/>
  <c r="AX60" i="1"/>
  <c r="I457" i="5"/>
  <c r="AX271" i="1"/>
  <c r="AX227" i="1"/>
  <c r="AX99" i="1"/>
  <c r="I82" i="5"/>
  <c r="AX150" i="1"/>
  <c r="AX28" i="1"/>
  <c r="AX192" i="1"/>
  <c r="I59" i="5"/>
  <c r="AX102" i="1"/>
  <c r="AX228" i="1"/>
  <c r="I83" i="5"/>
  <c r="AX151" i="1"/>
  <c r="AX243" i="1"/>
  <c r="AX288" i="1"/>
  <c r="AX249" i="1"/>
  <c r="AX29" i="1"/>
  <c r="AX193" i="1"/>
  <c r="I72" i="5"/>
  <c r="AX136" i="1"/>
  <c r="AX239" i="1"/>
  <c r="AX165" i="1"/>
  <c r="I53" i="5"/>
  <c r="AX83" i="1"/>
  <c r="I455" i="5"/>
  <c r="AX287" i="1"/>
  <c r="AX248" i="1"/>
  <c r="I77" i="5"/>
  <c r="AX143" i="1"/>
  <c r="AX196" i="1"/>
  <c r="AX31" i="1"/>
  <c r="I467" i="5"/>
  <c r="AX149" i="1"/>
  <c r="I468" i="5"/>
  <c r="AX152" i="1"/>
  <c r="AX156" i="1"/>
  <c r="AX241" i="1"/>
  <c r="I218" i="5"/>
  <c r="AX413" i="1"/>
  <c r="I286" i="5"/>
  <c r="AX507" i="1"/>
  <c r="I302" i="5"/>
  <c r="AX524" i="1"/>
  <c r="I355" i="5"/>
  <c r="AX311" i="1"/>
  <c r="I363" i="5"/>
  <c r="AX319" i="1"/>
  <c r="I182" i="5"/>
  <c r="AX359" i="1"/>
  <c r="I227" i="5"/>
  <c r="AX425" i="1"/>
  <c r="I283" i="5"/>
  <c r="AX504" i="1"/>
  <c r="I299" i="5"/>
  <c r="AX521" i="1"/>
  <c r="I300" i="5"/>
  <c r="AX522" i="1"/>
  <c r="I129" i="5"/>
  <c r="AX563" i="1"/>
  <c r="I228" i="5"/>
  <c r="AX427" i="1"/>
  <c r="I296" i="5"/>
  <c r="AX517" i="1"/>
  <c r="I225" i="5"/>
  <c r="AX423" i="1"/>
  <c r="I297" i="5"/>
  <c r="AX518" i="1"/>
  <c r="I362" i="5"/>
  <c r="AX318" i="1"/>
  <c r="I229" i="5"/>
  <c r="AX428" i="1"/>
  <c r="I181" i="5"/>
  <c r="AX356" i="1"/>
  <c r="AX291" i="1"/>
  <c r="AX252" i="1"/>
  <c r="I138" i="5"/>
  <c r="AX277" i="1"/>
  <c r="I301" i="5"/>
  <c r="AX523" i="1"/>
  <c r="I360" i="5"/>
  <c r="AX316" i="1"/>
  <c r="I154" i="5"/>
  <c r="AX250" i="1"/>
  <c r="I272" i="5"/>
  <c r="AX484" i="1"/>
  <c r="AX290" i="1"/>
  <c r="AX251" i="1"/>
  <c r="I167" i="5"/>
  <c r="AX561" i="1"/>
  <c r="I136" i="5"/>
  <c r="AX272" i="1"/>
  <c r="I490" i="5"/>
  <c r="AX548" i="1"/>
  <c r="I500" i="5"/>
  <c r="AX459" i="1"/>
  <c r="I503" i="5"/>
  <c r="AX562" i="1"/>
  <c r="AX45" i="1"/>
  <c r="AX210" i="1"/>
  <c r="AX205" i="1"/>
  <c r="AX39" i="1"/>
  <c r="I46" i="5"/>
  <c r="AX64" i="1"/>
  <c r="AX32" i="1"/>
  <c r="AX197" i="1"/>
  <c r="I70" i="5"/>
  <c r="AX134" i="1"/>
  <c r="I23" i="5"/>
  <c r="AX35" i="1"/>
  <c r="AX200" i="1"/>
  <c r="I71" i="5"/>
  <c r="AX135" i="1"/>
  <c r="AX36" i="1"/>
  <c r="AX201" i="1"/>
  <c r="I76" i="5"/>
  <c r="AX142" i="1"/>
  <c r="I103" i="5"/>
  <c r="AX253" i="1"/>
  <c r="AX172" i="1"/>
  <c r="I73" i="5"/>
  <c r="AX138" i="1"/>
  <c r="I49" i="5"/>
  <c r="AX218" i="1"/>
  <c r="AX73" i="1"/>
  <c r="I465" i="5"/>
  <c r="AX141" i="1"/>
  <c r="I466" i="5"/>
  <c r="AX145" i="1"/>
  <c r="AX411" i="1"/>
  <c r="AX352" i="1"/>
  <c r="I306" i="5"/>
  <c r="AX530" i="1"/>
  <c r="I357" i="5"/>
  <c r="AX313" i="1"/>
  <c r="AX544" i="1"/>
  <c r="AX257" i="1"/>
  <c r="AX555" i="1"/>
  <c r="I287" i="5"/>
  <c r="AX508" i="1"/>
  <c r="I264" i="5"/>
  <c r="AX470" i="1"/>
  <c r="I451" i="5"/>
  <c r="AX207" i="1"/>
  <c r="AX41" i="1"/>
  <c r="I151" i="5"/>
  <c r="AX247" i="1"/>
  <c r="AX285" i="1"/>
  <c r="I454" i="5"/>
  <c r="AX344" i="1"/>
  <c r="I44" i="5"/>
  <c r="AX62" i="1"/>
  <c r="I45" i="5"/>
  <c r="AX63" i="1"/>
  <c r="I47" i="5"/>
  <c r="AX65" i="1"/>
  <c r="I15" i="5"/>
  <c r="AX188" i="1"/>
  <c r="AX25" i="1"/>
  <c r="I54" i="5"/>
  <c r="AX84" i="1"/>
  <c r="AX223" i="1"/>
  <c r="I78" i="5"/>
  <c r="AX144" i="1"/>
  <c r="AX189" i="1"/>
  <c r="AX26" i="1"/>
  <c r="I55" i="5"/>
  <c r="AX86" i="1"/>
  <c r="AX225" i="1"/>
  <c r="I79" i="5"/>
  <c r="AX146" i="1"/>
  <c r="I56" i="5"/>
  <c r="AX92" i="1"/>
  <c r="I84" i="5"/>
  <c r="AX154" i="1"/>
  <c r="I43" i="5"/>
  <c r="AX61" i="1"/>
  <c r="I85" i="5"/>
  <c r="AX155" i="1"/>
  <c r="I40" i="5"/>
  <c r="AX58" i="1"/>
  <c r="I57" i="5"/>
  <c r="AX229" i="1"/>
  <c r="AX95" i="1"/>
  <c r="I458" i="5"/>
  <c r="AX69" i="1"/>
  <c r="I469" i="5"/>
  <c r="AX153" i="1"/>
  <c r="I461" i="5"/>
  <c r="AX85" i="1"/>
  <c r="AX224" i="1"/>
  <c r="I201" i="5"/>
  <c r="AX386" i="1"/>
  <c r="I230" i="5"/>
  <c r="AX429" i="1"/>
  <c r="I282" i="5"/>
  <c r="AX503" i="1"/>
  <c r="I298" i="5"/>
  <c r="AX519" i="1"/>
  <c r="I361" i="5"/>
  <c r="AX317" i="1"/>
  <c r="I178" i="5"/>
  <c r="AX353" i="1"/>
  <c r="I223" i="5"/>
  <c r="AX420" i="1"/>
  <c r="I295" i="5"/>
  <c r="AX516" i="1"/>
  <c r="I284" i="5"/>
  <c r="AX505" i="1"/>
  <c r="AX259" i="1"/>
  <c r="AX557" i="1"/>
  <c r="AX546" i="1"/>
  <c r="I183" i="5"/>
  <c r="AX360" i="1"/>
  <c r="I203" i="5"/>
  <c r="AX391" i="1"/>
  <c r="I224" i="5"/>
  <c r="AX421" i="1"/>
  <c r="I288" i="5"/>
  <c r="AX509" i="1"/>
  <c r="I358" i="5"/>
  <c r="AX314" i="1"/>
  <c r="I184" i="5"/>
  <c r="AX361" i="1"/>
  <c r="I354" i="5"/>
  <c r="AX310" i="1"/>
  <c r="I208" i="5"/>
  <c r="AX401" i="1"/>
  <c r="AX339" i="1"/>
  <c r="AX560" i="1"/>
  <c r="AX559" i="1"/>
  <c r="AX477" i="1"/>
  <c r="AX261" i="1"/>
  <c r="I128" i="5"/>
  <c r="AX262" i="1"/>
  <c r="I233" i="5"/>
  <c r="AX432" i="1"/>
  <c r="I305" i="5"/>
  <c r="AX529" i="1"/>
  <c r="I60" i="5"/>
  <c r="AX232" i="1"/>
  <c r="AX105" i="1"/>
  <c r="I275" i="5"/>
  <c r="AX487" i="1"/>
  <c r="I132" i="5"/>
  <c r="AX266" i="1"/>
  <c r="I267" i="5"/>
  <c r="AX549" i="1"/>
  <c r="AX558" i="1"/>
  <c r="AX476" i="1"/>
  <c r="I488" i="5"/>
  <c r="AX281" i="1"/>
  <c r="I497" i="5"/>
  <c r="AX270" i="1"/>
  <c r="I505" i="5"/>
  <c r="I507" i="5"/>
  <c r="I508" i="5"/>
  <c r="I3" i="5"/>
  <c r="I506" i="5"/>
  <c r="I498" i="5"/>
  <c r="I499" i="5"/>
  <c r="I491" i="5"/>
  <c r="I493" i="5"/>
  <c r="I492" i="5"/>
  <c r="I495" i="5"/>
  <c r="I494" i="5"/>
  <c r="I486" i="5"/>
  <c r="I487" i="5"/>
  <c r="I483" i="5"/>
  <c r="I478" i="5"/>
  <c r="I476" i="5"/>
  <c r="I481" i="5"/>
  <c r="I482" i="5"/>
  <c r="I199" i="5"/>
  <c r="I477" i="5"/>
  <c r="I475" i="5"/>
  <c r="I474" i="5"/>
  <c r="I280" i="5"/>
  <c r="I87" i="5"/>
  <c r="I166" i="5"/>
  <c r="I127" i="5"/>
  <c r="I177" i="5"/>
  <c r="I473" i="5"/>
  <c r="I125" i="5"/>
  <c r="I156" i="5"/>
  <c r="I124" i="5"/>
  <c r="I58" i="5"/>
  <c r="I153" i="5"/>
  <c r="I24" i="5"/>
  <c r="I462" i="5"/>
  <c r="I20" i="5"/>
  <c r="I95" i="5"/>
  <c r="I22" i="5"/>
  <c r="I51" i="5"/>
  <c r="I452" i="5"/>
  <c r="I453" i="5"/>
  <c r="I471" i="5"/>
  <c r="I16" i="5"/>
  <c r="I18" i="5"/>
  <c r="I21" i="5"/>
  <c r="I470" i="5"/>
  <c r="I513" i="5" l="1"/>
  <c r="J513" i="5"/>
  <c r="N83" i="5"/>
  <c r="P83" i="5" s="1"/>
  <c r="N78" i="5"/>
  <c r="P78" i="5" s="1"/>
  <c r="N291" i="5"/>
  <c r="P291" i="5" s="1"/>
  <c r="AU10" i="2"/>
  <c r="AU163" i="2"/>
  <c r="P28" i="5"/>
  <c r="S28" i="5" s="1"/>
  <c r="P18" i="5"/>
  <c r="S18" i="5" s="1"/>
  <c r="P196" i="5"/>
  <c r="S196" i="5" s="1"/>
  <c r="N275" i="5"/>
  <c r="N95" i="5"/>
  <c r="N299" i="5"/>
  <c r="P299" i="5" s="1"/>
  <c r="N74" i="5"/>
  <c r="N71" i="5"/>
  <c r="P169" i="5"/>
  <c r="S169" i="5" s="1"/>
  <c r="N44" i="5"/>
  <c r="P44" i="5" s="1"/>
  <c r="N294" i="5"/>
  <c r="N295" i="5"/>
  <c r="N223" i="5"/>
  <c r="P223" i="5" s="1"/>
  <c r="S223" i="5" s="1"/>
  <c r="N17" i="5"/>
  <c r="P17" i="5" s="1"/>
  <c r="N290" i="5"/>
  <c r="P290" i="5" s="1"/>
  <c r="S290" i="5" s="1"/>
  <c r="N181" i="5"/>
  <c r="P181" i="5" s="1"/>
  <c r="S181" i="5" s="1"/>
  <c r="N198" i="5"/>
  <c r="P198" i="5" s="1"/>
  <c r="N50" i="5"/>
  <c r="P50" i="5" s="1"/>
  <c r="P292" i="5"/>
  <c r="P121" i="5"/>
  <c r="S121" i="5" s="1"/>
  <c r="N163" i="5"/>
  <c r="P163" i="5" s="1"/>
  <c r="S163" i="5" s="1"/>
  <c r="P57" i="5"/>
  <c r="S57" i="5" s="1"/>
  <c r="P58" i="5"/>
  <c r="S58" i="5" s="1"/>
  <c r="P31" i="5"/>
  <c r="N20" i="5"/>
  <c r="P20" i="5" s="1"/>
  <c r="S20" i="5" s="1"/>
  <c r="P155" i="5"/>
  <c r="S155" i="5" s="1"/>
  <c r="N260" i="5"/>
  <c r="P260" i="5" s="1"/>
  <c r="S260" i="5" s="1"/>
  <c r="P122" i="5"/>
  <c r="N166" i="5"/>
  <c r="P166" i="5" s="1"/>
  <c r="S166" i="5" s="1"/>
  <c r="N203" i="5"/>
  <c r="P203" i="5" s="1"/>
  <c r="N288" i="5"/>
  <c r="P288" i="5" s="1"/>
  <c r="S288" i="5" s="1"/>
  <c r="N271" i="5"/>
  <c r="P271" i="5" s="1"/>
  <c r="S271" i="5" s="1"/>
  <c r="N197" i="5"/>
  <c r="P197" i="5" s="1"/>
  <c r="P304" i="5"/>
  <c r="S304" i="5" s="1"/>
  <c r="N178" i="5"/>
  <c r="P178" i="5" s="1"/>
  <c r="N145" i="5"/>
  <c r="P145" i="5" s="1"/>
  <c r="S145" i="5" s="1"/>
  <c r="N33" i="5"/>
  <c r="P33" i="5" s="1"/>
  <c r="S33" i="5" s="1"/>
  <c r="N194" i="5"/>
  <c r="P194" i="5" s="1"/>
  <c r="S194" i="5" s="1"/>
  <c r="Q127" i="5"/>
  <c r="N87" i="5"/>
  <c r="P87" i="5" s="1"/>
  <c r="S87" i="5" s="1"/>
  <c r="N239" i="5"/>
  <c r="P239" i="5" s="1"/>
  <c r="S239" i="5" s="1"/>
  <c r="N227" i="5"/>
  <c r="P227" i="5" s="1"/>
  <c r="N300" i="5"/>
  <c r="P300" i="5" s="1"/>
  <c r="P100" i="5"/>
  <c r="N126" i="5"/>
  <c r="P126" i="5" s="1"/>
  <c r="S126" i="5" s="1"/>
  <c r="N246" i="5"/>
  <c r="P246" i="5" s="1"/>
  <c r="N204" i="5"/>
  <c r="P204" i="5" s="1"/>
  <c r="S204" i="5" s="1"/>
  <c r="N60" i="5"/>
  <c r="P60" i="5" s="1"/>
  <c r="P158" i="5"/>
  <c r="S158" i="5" s="1"/>
  <c r="P93" i="5"/>
  <c r="S93" i="5" s="1"/>
  <c r="N309" i="5"/>
  <c r="P309" i="5" s="1"/>
  <c r="P190" i="5"/>
  <c r="S190" i="5" s="1"/>
  <c r="N266" i="5"/>
  <c r="P266" i="5" s="1"/>
  <c r="N302" i="5"/>
  <c r="N253" i="5"/>
  <c r="P253" i="5" s="1"/>
  <c r="N244" i="5"/>
  <c r="P244" i="5" s="1"/>
  <c r="S244" i="5" s="1"/>
  <c r="S119" i="5"/>
  <c r="S29" i="5"/>
  <c r="S171" i="5"/>
  <c r="S421" i="5"/>
  <c r="N385" i="5"/>
  <c r="S152" i="5"/>
  <c r="P489" i="5"/>
  <c r="S311" i="5"/>
  <c r="N383" i="5"/>
  <c r="P383" i="5" s="1"/>
  <c r="N19" i="5"/>
  <c r="P19" i="5" s="1"/>
  <c r="N395" i="5"/>
  <c r="P395" i="5" s="1"/>
  <c r="N457" i="5"/>
  <c r="P457" i="5" s="1"/>
  <c r="N392" i="5"/>
  <c r="P392" i="5" s="1"/>
  <c r="N273" i="5"/>
  <c r="P273" i="5" s="1"/>
  <c r="N264" i="5"/>
  <c r="N14" i="5"/>
  <c r="P14" i="5" s="1"/>
  <c r="N269" i="5"/>
  <c r="P269" i="5" s="1"/>
  <c r="N257" i="5"/>
  <c r="P257" i="5" s="1"/>
  <c r="N512" i="5"/>
  <c r="P512" i="5" s="1"/>
  <c r="N450" i="5"/>
  <c r="P450" i="5" s="1"/>
  <c r="N348" i="5"/>
  <c r="P348" i="5" s="1"/>
  <c r="P485" i="5"/>
  <c r="P460" i="5"/>
  <c r="N377" i="5"/>
  <c r="N217" i="5"/>
  <c r="P217" i="5" s="1"/>
  <c r="P499" i="5"/>
  <c r="N507" i="5"/>
  <c r="P507" i="5" s="1"/>
  <c r="P493" i="5"/>
  <c r="N373" i="5"/>
  <c r="N233" i="5"/>
  <c r="S161" i="5"/>
  <c r="P192" i="5"/>
  <c r="P210" i="5"/>
  <c r="S330" i="5"/>
  <c r="S436" i="5"/>
  <c r="S174" i="5"/>
  <c r="N11" i="5"/>
  <c r="N43" i="5"/>
  <c r="P43" i="5" s="1"/>
  <c r="S182" i="5"/>
  <c r="P410" i="5"/>
  <c r="N76" i="5"/>
  <c r="P76" i="5" s="1"/>
  <c r="P162" i="5"/>
  <c r="N343" i="5"/>
  <c r="P283" i="5"/>
  <c r="N245" i="5"/>
  <c r="S408" i="5"/>
  <c r="N396" i="5"/>
  <c r="P396" i="5" s="1"/>
  <c r="N212" i="5"/>
  <c r="P212" i="5" s="1"/>
  <c r="P125" i="5"/>
  <c r="P387" i="5"/>
  <c r="P492" i="5"/>
  <c r="N397" i="5"/>
  <c r="P397" i="5" s="1"/>
  <c r="P106" i="5"/>
  <c r="N307" i="5"/>
  <c r="P307" i="5" s="1"/>
  <c r="N98" i="5"/>
  <c r="N209" i="5"/>
  <c r="P209" i="5" s="1"/>
  <c r="N308" i="5"/>
  <c r="N369" i="5"/>
  <c r="P369" i="5" s="1"/>
  <c r="N508" i="5"/>
  <c r="P508" i="5" s="1"/>
  <c r="P482" i="5"/>
  <c r="P388" i="5"/>
  <c r="P329" i="5"/>
  <c r="P82" i="5"/>
  <c r="S415" i="5"/>
  <c r="P409" i="5"/>
  <c r="S324" i="5"/>
  <c r="N360" i="5"/>
  <c r="P360" i="5" s="1"/>
  <c r="N267" i="5"/>
  <c r="P267" i="5" s="1"/>
  <c r="S359" i="5"/>
  <c r="N59" i="5"/>
  <c r="P59" i="5" s="1"/>
  <c r="P117" i="5"/>
  <c r="S131" i="5"/>
  <c r="N36" i="5"/>
  <c r="P36" i="5" s="1"/>
  <c r="P346" i="5"/>
  <c r="P144" i="5"/>
  <c r="P306" i="5"/>
  <c r="N206" i="5"/>
  <c r="P206" i="5" s="1"/>
  <c r="P8" i="5"/>
  <c r="S328" i="5"/>
  <c r="S114" i="5"/>
  <c r="N148" i="5"/>
  <c r="P148" i="5" s="1"/>
  <c r="P65" i="5"/>
  <c r="N355" i="5"/>
  <c r="P355" i="5" s="1"/>
  <c r="S270" i="5"/>
  <c r="N5" i="5"/>
  <c r="P5" i="5" s="1"/>
  <c r="N357" i="5"/>
  <c r="P357" i="5" s="1"/>
  <c r="N73" i="5"/>
  <c r="P73" i="5" s="1"/>
  <c r="P376" i="5"/>
  <c r="P354" i="5"/>
  <c r="P448" i="5"/>
  <c r="N327" i="5"/>
  <c r="P327" i="5" s="1"/>
  <c r="P305" i="5"/>
  <c r="N313" i="5"/>
  <c r="P313" i="5" s="1"/>
  <c r="N225" i="5"/>
  <c r="P225" i="5" s="1"/>
  <c r="N180" i="5"/>
  <c r="P180" i="5" s="1"/>
  <c r="N104" i="5"/>
  <c r="P104" i="5" s="1"/>
  <c r="N459" i="5"/>
  <c r="P459" i="5" s="1"/>
  <c r="N398" i="5"/>
  <c r="P398" i="5" s="1"/>
  <c r="N232" i="5"/>
  <c r="P232" i="5" s="1"/>
  <c r="P238" i="5"/>
  <c r="N188" i="5"/>
  <c r="N177" i="5"/>
  <c r="P378" i="5"/>
  <c r="P466" i="5"/>
  <c r="N141" i="5"/>
  <c r="P141" i="5" s="1"/>
  <c r="N228" i="5"/>
  <c r="P228" i="5" s="1"/>
  <c r="P22" i="5"/>
  <c r="S83" i="5"/>
  <c r="N337" i="5"/>
  <c r="P337" i="5" s="1"/>
  <c r="S86" i="5"/>
  <c r="S331" i="5"/>
  <c r="P41" i="5"/>
  <c r="N287" i="5"/>
  <c r="P287" i="5" s="1"/>
  <c r="N146" i="5"/>
  <c r="P146" i="5" s="1"/>
  <c r="N107" i="5"/>
  <c r="P107" i="5" s="1"/>
  <c r="P506" i="5"/>
  <c r="S243" i="5"/>
  <c r="S291" i="5"/>
  <c r="S147" i="5"/>
  <c r="N394" i="5"/>
  <c r="P394" i="5" s="1"/>
  <c r="P505" i="5"/>
  <c r="N276" i="5"/>
  <c r="P276" i="5" s="1"/>
  <c r="P362" i="5"/>
  <c r="N99" i="5"/>
  <c r="P99" i="5" s="1"/>
  <c r="N259" i="5"/>
  <c r="N222" i="5"/>
  <c r="P222" i="5" s="1"/>
  <c r="P424" i="5"/>
  <c r="S341" i="5"/>
  <c r="N75" i="5"/>
  <c r="S150" i="5"/>
  <c r="P440" i="5"/>
  <c r="F69" i="5"/>
  <c r="G4" i="5"/>
  <c r="K4" i="5"/>
  <c r="AU38" i="3" s="1"/>
  <c r="P255" i="5"/>
  <c r="P139" i="5"/>
  <c r="N349" i="5"/>
  <c r="P333" i="5"/>
  <c r="S435" i="5"/>
  <c r="P157" i="5"/>
  <c r="P136" i="5"/>
  <c r="N289" i="5"/>
  <c r="P289" i="5" s="1"/>
  <c r="N110" i="5"/>
  <c r="S35" i="5"/>
  <c r="N183" i="5"/>
  <c r="P374" i="5"/>
  <c r="P429" i="5"/>
  <c r="S413" i="5"/>
  <c r="N235" i="5"/>
  <c r="P235" i="5" s="1"/>
  <c r="S403" i="5"/>
  <c r="S149" i="5"/>
  <c r="N40" i="5"/>
  <c r="P40" i="5" s="1"/>
  <c r="N226" i="5"/>
  <c r="P226" i="5" s="1"/>
  <c r="S401" i="5"/>
  <c r="S365" i="5"/>
  <c r="S319" i="5"/>
  <c r="P417" i="5"/>
  <c r="P426" i="5"/>
  <c r="P503" i="5"/>
  <c r="P342" i="5"/>
  <c r="S318" i="5"/>
  <c r="P21" i="5"/>
  <c r="N279" i="5"/>
  <c r="P279" i="5" s="1"/>
  <c r="P314" i="5"/>
  <c r="N175" i="5"/>
  <c r="P175" i="5" s="1"/>
  <c r="N7" i="5"/>
  <c r="P7" i="5" s="1"/>
  <c r="N81" i="5"/>
  <c r="P81" i="5" s="1"/>
  <c r="N220" i="5"/>
  <c r="P220" i="5" s="1"/>
  <c r="P412" i="5"/>
  <c r="S201" i="5"/>
  <c r="P478" i="5"/>
  <c r="P391" i="5"/>
  <c r="P27" i="5"/>
  <c r="P303" i="5"/>
  <c r="N368" i="5"/>
  <c r="P368" i="5" s="1"/>
  <c r="P483" i="5"/>
  <c r="N456" i="5"/>
  <c r="P456" i="5" s="1"/>
  <c r="N384" i="5"/>
  <c r="P384" i="5" s="1"/>
  <c r="N251" i="5"/>
  <c r="P251" i="5" s="1"/>
  <c r="N185" i="5"/>
  <c r="P185" i="5" s="1"/>
  <c r="N361" i="5"/>
  <c r="P361" i="5" s="1"/>
  <c r="P274" i="5"/>
  <c r="P339" i="5"/>
  <c r="P420" i="5"/>
  <c r="P156" i="5"/>
  <c r="P322" i="5"/>
  <c r="P321" i="5"/>
  <c r="N54" i="5"/>
  <c r="P54" i="5" s="1"/>
  <c r="N216" i="5"/>
  <c r="P216" i="5" s="1"/>
  <c r="N211" i="5"/>
  <c r="P211" i="5" s="1"/>
  <c r="N234" i="5"/>
  <c r="S258" i="5"/>
  <c r="P416" i="5"/>
  <c r="P498" i="5"/>
  <c r="P164" i="5"/>
  <c r="P470" i="5"/>
  <c r="N449" i="5"/>
  <c r="N451" i="5"/>
  <c r="P451" i="5" s="1"/>
  <c r="N367" i="5"/>
  <c r="P367" i="5" s="1"/>
  <c r="N184" i="5"/>
  <c r="P184" i="5" s="1"/>
  <c r="P172" i="5"/>
  <c r="N214" i="5"/>
  <c r="P214" i="5" s="1"/>
  <c r="P496" i="5"/>
  <c r="P381" i="5"/>
  <c r="N16" i="5"/>
  <c r="P120" i="5"/>
  <c r="N9" i="5"/>
  <c r="P9" i="5" s="1"/>
  <c r="N280" i="5"/>
  <c r="P468" i="5"/>
  <c r="P462" i="5"/>
  <c r="P97" i="5"/>
  <c r="N23" i="5"/>
  <c r="N90" i="5"/>
  <c r="P90" i="5" s="1"/>
  <c r="N215" i="5"/>
  <c r="P215" i="5" s="1"/>
  <c r="N511" i="5"/>
  <c r="P511" i="5" s="1"/>
  <c r="P463" i="5"/>
  <c r="P96" i="5"/>
  <c r="S213" i="5"/>
  <c r="S497" i="5"/>
  <c r="P400" i="5"/>
  <c r="S425" i="5"/>
  <c r="P419" i="5"/>
  <c r="N56" i="5"/>
  <c r="N268" i="5"/>
  <c r="N218" i="5"/>
  <c r="P218" i="5" s="1"/>
  <c r="N263" i="5"/>
  <c r="N356" i="5"/>
  <c r="N224" i="5"/>
  <c r="N277" i="5"/>
  <c r="N80" i="5"/>
  <c r="N286" i="5"/>
  <c r="N230" i="5"/>
  <c r="N186" i="5"/>
  <c r="N363" i="5"/>
  <c r="N326" i="5"/>
  <c r="P326" i="5" s="1"/>
  <c r="N241" i="5"/>
  <c r="N179" i="5"/>
  <c r="N143" i="5"/>
  <c r="N240" i="5"/>
  <c r="P128" i="5"/>
  <c r="S418" i="5"/>
  <c r="S423" i="5"/>
  <c r="S487" i="5"/>
  <c r="N42" i="5"/>
  <c r="P42" i="5" s="1"/>
  <c r="S502" i="5"/>
  <c r="S167" i="5"/>
  <c r="P281" i="5"/>
  <c r="P393" i="5"/>
  <c r="P495" i="5"/>
  <c r="P473" i="5"/>
  <c r="N261" i="5"/>
  <c r="N236" i="5"/>
  <c r="P236" i="5" s="1"/>
  <c r="P467" i="5"/>
  <c r="P465" i="5"/>
  <c r="P379" i="5"/>
  <c r="N68" i="5"/>
  <c r="P68" i="5" s="1"/>
  <c r="N229" i="5"/>
  <c r="P229" i="5" s="1"/>
  <c r="N199" i="5"/>
  <c r="P484" i="5"/>
  <c r="N452" i="5"/>
  <c r="P452" i="5" s="1"/>
  <c r="N386" i="5"/>
  <c r="P140" i="5"/>
  <c r="N37" i="5"/>
  <c r="P37" i="5" s="1"/>
  <c r="P481" i="5"/>
  <c r="N458" i="5"/>
  <c r="P458" i="5" s="1"/>
  <c r="N370" i="5"/>
  <c r="P160" i="5"/>
  <c r="P480" i="5"/>
  <c r="N77" i="5"/>
  <c r="P77" i="5" s="1"/>
  <c r="S173" i="5"/>
  <c r="N334" i="5"/>
  <c r="P438" i="5"/>
  <c r="N153" i="5"/>
  <c r="P153" i="5" s="1"/>
  <c r="S407" i="5"/>
  <c r="N301" i="5"/>
  <c r="P301" i="5" s="1"/>
  <c r="N351" i="5"/>
  <c r="P351" i="5" s="1"/>
  <c r="P85" i="5"/>
  <c r="P12" i="5"/>
  <c r="S490" i="5"/>
  <c r="N231" i="5"/>
  <c r="P231" i="5" s="1"/>
  <c r="N248" i="5"/>
  <c r="P159" i="5"/>
  <c r="N170" i="5"/>
  <c r="P170" i="5" s="1"/>
  <c r="N52" i="5"/>
  <c r="P52" i="5" s="1"/>
  <c r="N284" i="5"/>
  <c r="P284" i="5" s="1"/>
  <c r="P237" i="5"/>
  <c r="N453" i="5"/>
  <c r="P453" i="5" s="1"/>
  <c r="N455" i="5"/>
  <c r="P455" i="5" s="1"/>
  <c r="N352" i="5"/>
  <c r="P352" i="5" s="1"/>
  <c r="N219" i="5"/>
  <c r="P219" i="5" s="1"/>
  <c r="N344" i="5"/>
  <c r="N79" i="5"/>
  <c r="P79" i="5" s="1"/>
  <c r="P15" i="5"/>
  <c r="P494" i="5"/>
  <c r="N195" i="5"/>
  <c r="P195" i="5" s="1"/>
  <c r="N133" i="5"/>
  <c r="P133" i="5" s="1"/>
  <c r="P168" i="5"/>
  <c r="N55" i="5"/>
  <c r="P55" i="5" s="1"/>
  <c r="N39" i="5"/>
  <c r="P39" i="5" s="1"/>
  <c r="P64" i="5"/>
  <c r="N72" i="5"/>
  <c r="P72" i="5" s="1"/>
  <c r="S364" i="5"/>
  <c r="P488" i="5"/>
  <c r="S101" i="5"/>
  <c r="P443" i="5"/>
  <c r="P154" i="5"/>
  <c r="N310" i="5"/>
  <c r="P310" i="5" s="1"/>
  <c r="N254" i="5"/>
  <c r="P25" i="5"/>
  <c r="P111" i="5"/>
  <c r="P30" i="5"/>
  <c r="N208" i="5"/>
  <c r="P208" i="5" s="1"/>
  <c r="N187" i="5"/>
  <c r="N262" i="5"/>
  <c r="N51" i="5"/>
  <c r="P51" i="5" s="1"/>
  <c r="N389" i="5"/>
  <c r="P469" i="5"/>
  <c r="N390" i="5"/>
  <c r="P390" i="5" s="1"/>
  <c r="N249" i="5"/>
  <c r="P249" i="5" s="1"/>
  <c r="N265" i="5"/>
  <c r="P265" i="5" s="1"/>
  <c r="P476" i="5"/>
  <c r="P475" i="5"/>
  <c r="N49" i="5"/>
  <c r="P49" i="5" s="1"/>
  <c r="S402" i="5"/>
  <c r="N297" i="5"/>
  <c r="N48" i="5"/>
  <c r="S336" i="5"/>
  <c r="N332" i="5"/>
  <c r="N293" i="5"/>
  <c r="N252" i="5"/>
  <c r="N323" i="5"/>
  <c r="N91" i="5"/>
  <c r="N247" i="5"/>
  <c r="P247" i="5" s="1"/>
  <c r="N338" i="5"/>
  <c r="N221" i="5"/>
  <c r="N105" i="5"/>
  <c r="S4" i="5"/>
  <c r="N358" i="5"/>
  <c r="N53" i="5"/>
  <c r="P53" i="5" s="1"/>
  <c r="N108" i="5"/>
  <c r="G3" i="5"/>
  <c r="F67" i="5"/>
  <c r="N242" i="5"/>
  <c r="N202" i="5"/>
  <c r="N124" i="5"/>
  <c r="P124" i="5" s="1"/>
  <c r="N510" i="5"/>
  <c r="P510" i="5" s="1"/>
  <c r="P474" i="5"/>
  <c r="N24" i="5"/>
  <c r="P24" i="5" s="1"/>
  <c r="N200" i="5"/>
  <c r="P200" i="5" s="1"/>
  <c r="N89" i="5"/>
  <c r="P89" i="5" s="1"/>
  <c r="P103" i="5"/>
  <c r="P464" i="5"/>
  <c r="N165" i="5"/>
  <c r="P165" i="5" s="1"/>
  <c r="N509" i="5"/>
  <c r="N347" i="5"/>
  <c r="P347" i="5" s="1"/>
  <c r="V3" i="5"/>
  <c r="N205" i="5"/>
  <c r="P205" i="5" s="1"/>
  <c r="N66" i="5"/>
  <c r="P66" i="5" s="1"/>
  <c r="N272" i="5"/>
  <c r="P272" i="5" s="1"/>
  <c r="D515" i="5"/>
  <c r="E513" i="5"/>
  <c r="AV286" i="4"/>
  <c r="AV6" i="1"/>
  <c r="AU419" i="2"/>
  <c r="AU309" i="2"/>
  <c r="AU82" i="2"/>
  <c r="AU126" i="2"/>
  <c r="AU186" i="2"/>
  <c r="AY491" i="2"/>
  <c r="AU11" i="2"/>
  <c r="AW491" i="2"/>
  <c r="AU121" i="2"/>
  <c r="AU72" i="2"/>
  <c r="AU111" i="2"/>
  <c r="AU145" i="2"/>
  <c r="AU129" i="2"/>
  <c r="AU213" i="2"/>
  <c r="AU117" i="2"/>
  <c r="AU405" i="2"/>
  <c r="AU205" i="2"/>
  <c r="AU64" i="2"/>
  <c r="AU49" i="2"/>
  <c r="AU13" i="2"/>
  <c r="AU206" i="2"/>
  <c r="AU183" i="2"/>
  <c r="AU215" i="2"/>
  <c r="AU406" i="2"/>
  <c r="AU453" i="2"/>
  <c r="AU108" i="2"/>
  <c r="AU398" i="2"/>
  <c r="AU222" i="2"/>
  <c r="AU204" i="2"/>
  <c r="AU235" i="2"/>
  <c r="AU132" i="2"/>
  <c r="AU202" i="2"/>
  <c r="AU227" i="2"/>
  <c r="AU198" i="2"/>
  <c r="AU171" i="2"/>
  <c r="AU38" i="2"/>
  <c r="AU156" i="2"/>
  <c r="AU98" i="2"/>
  <c r="AU41" i="2"/>
  <c r="AU452" i="2"/>
  <c r="AU179" i="2"/>
  <c r="AU207" i="2"/>
  <c r="AU139" i="2"/>
  <c r="AU263" i="2"/>
  <c r="AU421" i="2"/>
  <c r="AU172" i="2"/>
  <c r="AU413" i="2"/>
  <c r="AU170" i="2"/>
  <c r="AU212" i="2"/>
  <c r="AU225" i="2"/>
  <c r="AU125" i="2"/>
  <c r="AU373" i="2"/>
  <c r="AU422" i="2"/>
  <c r="AU144" i="2"/>
  <c r="AU70" i="2"/>
  <c r="AU293" i="2"/>
  <c r="AU407" i="2"/>
  <c r="AU71" i="2"/>
  <c r="AU325" i="2"/>
  <c r="AU216" i="2"/>
  <c r="AU449" i="2"/>
  <c r="AU180" i="2"/>
  <c r="AU69" i="2"/>
  <c r="AU217" i="2"/>
  <c r="AU18" i="2"/>
  <c r="AU27" i="2"/>
  <c r="AU25" i="2"/>
  <c r="AU253" i="2"/>
  <c r="AU124" i="2"/>
  <c r="AU166" i="2"/>
  <c r="AU214" i="2"/>
  <c r="AU20" i="2"/>
  <c r="AU63" i="2"/>
  <c r="AU42" i="2"/>
  <c r="AU451" i="2"/>
  <c r="AU364" i="2"/>
  <c r="AU307" i="2"/>
  <c r="AU120" i="2"/>
  <c r="AU39" i="2"/>
  <c r="AU266" i="2"/>
  <c r="AU152" i="2"/>
  <c r="AU157" i="2"/>
  <c r="AU209" i="2"/>
  <c r="AU201" i="2"/>
  <c r="AU220" i="2"/>
  <c r="AU162" i="2"/>
  <c r="AU43" i="2"/>
  <c r="AU133" i="2"/>
  <c r="AU176" i="2"/>
  <c r="AU26" i="2"/>
  <c r="AU154" i="2"/>
  <c r="AU123" i="2"/>
  <c r="AU151" i="2"/>
  <c r="AU61" i="2"/>
  <c r="AU169" i="2"/>
  <c r="AU127" i="2"/>
  <c r="AU24" i="2"/>
  <c r="AU223" i="2"/>
  <c r="AU193" i="2"/>
  <c r="AU368" i="2"/>
  <c r="AU400" i="2"/>
  <c r="AU447" i="2"/>
  <c r="AU397" i="2"/>
  <c r="AU420" i="2"/>
  <c r="AU354" i="2"/>
  <c r="AU306" i="2"/>
  <c r="AU459" i="2"/>
  <c r="AU359" i="2"/>
  <c r="AU416" i="2"/>
  <c r="AU386" i="2"/>
  <c r="AU437" i="2"/>
  <c r="AU372" i="2"/>
  <c r="AU414" i="2"/>
  <c r="AU425" i="2"/>
  <c r="AU282" i="2"/>
  <c r="AU334" i="2"/>
  <c r="AU308" i="2"/>
  <c r="AU377" i="2"/>
  <c r="AU448" i="2"/>
  <c r="AU270" i="2"/>
  <c r="AU365" i="2"/>
  <c r="AU331" i="2"/>
  <c r="AU294" i="2"/>
  <c r="AU412" i="2"/>
  <c r="AU378" i="2"/>
  <c r="AU488" i="2"/>
  <c r="AU305" i="2"/>
  <c r="AU332" i="2"/>
  <c r="AU348" i="2"/>
  <c r="AU328" i="2"/>
  <c r="AU267" i="2"/>
  <c r="AU344" i="2"/>
  <c r="AU283" i="2"/>
  <c r="AU299" i="2"/>
  <c r="AU415" i="2"/>
  <c r="AU464" i="2"/>
  <c r="AU333" i="2"/>
  <c r="AU418" i="2"/>
  <c r="AU490" i="2"/>
  <c r="AU304" i="2"/>
  <c r="AU272" i="2"/>
  <c r="AU385" i="2"/>
  <c r="AU301" i="2"/>
  <c r="AU442" i="2"/>
  <c r="AU417" i="2"/>
  <c r="AU394" i="2"/>
  <c r="AU457" i="2"/>
  <c r="AU273" i="2"/>
  <c r="AU423" i="2"/>
  <c r="AV372" i="4"/>
  <c r="AV14" i="4"/>
  <c r="AV395" i="4"/>
  <c r="AV168" i="4"/>
  <c r="AV123" i="4"/>
  <c r="AV119" i="4"/>
  <c r="AV287" i="4"/>
  <c r="AV172" i="4"/>
  <c r="AV50" i="4"/>
  <c r="AV81" i="4"/>
  <c r="AV378" i="4"/>
  <c r="AV298" i="4"/>
  <c r="AV75" i="4"/>
  <c r="AV420" i="4"/>
  <c r="AV99" i="4"/>
  <c r="AV120" i="4"/>
  <c r="AV210" i="4"/>
  <c r="AV383" i="4"/>
  <c r="AV159" i="4"/>
  <c r="AV19" i="4"/>
  <c r="AV173" i="4"/>
  <c r="AV245" i="4"/>
  <c r="AV373" i="4"/>
  <c r="AV65" i="4"/>
  <c r="AV20" i="4"/>
  <c r="AV300" i="4"/>
  <c r="AV215" i="4"/>
  <c r="AV6" i="4"/>
  <c r="AV12" i="4"/>
  <c r="AV220" i="4"/>
  <c r="AV66" i="4"/>
  <c r="AV142" i="4"/>
  <c r="AV246" i="4"/>
  <c r="AV181" i="4"/>
  <c r="AV139" i="4"/>
  <c r="AV381" i="4"/>
  <c r="AV87" i="4"/>
  <c r="AV195" i="4"/>
  <c r="AV131" i="4"/>
  <c r="AV419" i="4"/>
  <c r="AV115" i="4"/>
  <c r="AV348" i="4"/>
  <c r="AV293" i="4"/>
  <c r="AV79" i="4"/>
  <c r="AV53" i="4"/>
  <c r="AV174" i="4"/>
  <c r="AV290" i="4"/>
  <c r="AV67" i="4"/>
  <c r="AV132" i="4"/>
  <c r="AV117" i="4"/>
  <c r="AV374" i="4"/>
  <c r="AV141" i="4"/>
  <c r="AV425" i="4"/>
  <c r="AV55" i="4"/>
  <c r="AV17" i="4"/>
  <c r="AV31" i="4"/>
  <c r="AV307" i="4"/>
  <c r="AV177" i="4"/>
  <c r="AV69" i="4"/>
  <c r="AV357" i="4"/>
  <c r="AV113" i="4"/>
  <c r="AV403" i="4"/>
  <c r="AV71" i="4"/>
  <c r="AV312" i="4"/>
  <c r="AV125" i="4"/>
  <c r="AV384" i="4"/>
  <c r="AV299" i="4"/>
  <c r="AV350" i="4"/>
  <c r="AV95" i="4"/>
  <c r="AV124" i="4"/>
  <c r="AV28" i="4"/>
  <c r="AV219" i="4"/>
  <c r="AV185" i="4"/>
  <c r="AV84" i="4"/>
  <c r="AV388" i="4"/>
  <c r="AV39" i="4"/>
  <c r="AV351" i="4"/>
  <c r="AV126" i="4"/>
  <c r="AV47" i="4"/>
  <c r="AV202" i="4"/>
  <c r="AV358" i="4"/>
  <c r="AV114" i="4"/>
  <c r="AV44" i="4"/>
  <c r="AV394" i="4"/>
  <c r="AV279" i="4"/>
  <c r="AV78" i="4"/>
  <c r="AV32" i="4"/>
  <c r="AV26" i="4"/>
  <c r="AV129" i="4"/>
  <c r="AV18" i="4"/>
  <c r="AV72" i="4"/>
  <c r="AV409" i="4"/>
  <c r="AV349" i="4"/>
  <c r="AV40" i="4"/>
  <c r="AV301" i="4"/>
  <c r="AV112" i="4"/>
  <c r="AV421" i="4"/>
  <c r="AV163" i="4"/>
  <c r="AV85" i="4"/>
  <c r="AV153" i="4"/>
  <c r="AV151" i="4"/>
  <c r="AV184" i="4"/>
  <c r="AV166" i="4"/>
  <c r="AV68" i="4"/>
  <c r="AV162" i="4"/>
  <c r="AV308" i="4"/>
  <c r="AV282" i="4"/>
  <c r="AV164" i="4"/>
  <c r="AV165" i="4"/>
  <c r="AV80" i="4"/>
  <c r="AV417" i="4"/>
  <c r="AV203" i="4"/>
  <c r="AV121" i="4"/>
  <c r="AV411" i="4"/>
  <c r="AV118" i="4"/>
  <c r="AV167" i="4"/>
  <c r="AV138" i="4"/>
  <c r="AV73" i="4"/>
  <c r="AV21" i="4"/>
  <c r="AV25" i="4"/>
  <c r="AV423" i="4"/>
  <c r="AV186" i="4"/>
  <c r="AV393" i="4"/>
  <c r="AV387" i="4"/>
  <c r="AV36" i="4"/>
  <c r="AV130" i="4"/>
  <c r="AV13" i="4"/>
  <c r="AV379" i="4"/>
  <c r="AV313" i="4"/>
  <c r="AV56" i="4"/>
  <c r="AV11" i="4"/>
  <c r="AV424" i="4"/>
  <c r="AV183" i="4"/>
  <c r="AV70" i="4"/>
  <c r="AV291" i="4"/>
  <c r="AV128" i="4"/>
  <c r="AV221" i="4"/>
  <c r="AV116" i="4"/>
  <c r="AV389" i="4"/>
  <c r="AV147" i="4"/>
  <c r="AV355" i="4"/>
  <c r="AV214" i="4"/>
  <c r="AV380" i="4"/>
  <c r="AV155" i="4"/>
  <c r="AV356" i="4"/>
  <c r="AV127" i="4"/>
  <c r="AV278" i="4"/>
  <c r="AV33" i="4"/>
  <c r="AV385" i="4"/>
  <c r="AV367" i="4"/>
  <c r="AV35" i="4"/>
  <c r="AV386" i="4"/>
  <c r="AV292" i="4"/>
  <c r="AV382" i="4"/>
  <c r="AV92" i="4"/>
  <c r="AV52" i="4"/>
  <c r="AV422" i="4"/>
  <c r="AV169" i="4"/>
  <c r="AV193" i="4"/>
  <c r="AV27" i="4"/>
  <c r="AV122" i="4"/>
  <c r="AV146" i="4"/>
  <c r="AV83" i="4"/>
  <c r="AV54" i="4"/>
  <c r="AV16" i="4"/>
  <c r="AV171" i="4"/>
  <c r="AV98" i="4"/>
  <c r="AV150" i="4"/>
  <c r="AV90" i="4"/>
  <c r="AV10" i="4"/>
  <c r="AV106" i="4"/>
  <c r="AV30" i="4"/>
  <c r="AU298" i="2"/>
  <c r="AU290" i="2"/>
  <c r="AU279" i="2"/>
  <c r="AU76" i="2"/>
  <c r="AU380" i="2"/>
  <c r="AU287" i="2"/>
  <c r="AU190" i="2"/>
  <c r="AU89" i="2"/>
  <c r="AU369" i="2"/>
  <c r="AU182" i="2"/>
  <c r="AU473" i="2"/>
  <c r="AU280" i="2"/>
  <c r="AU168" i="2"/>
  <c r="AU395" i="2"/>
  <c r="AU226" i="2"/>
  <c r="AU47" i="2"/>
  <c r="AU358" i="2"/>
  <c r="AU384" i="2"/>
  <c r="AU411" i="2"/>
  <c r="AU118" i="2"/>
  <c r="AU318" i="2"/>
  <c r="AU341" i="2"/>
  <c r="AU59" i="2"/>
  <c r="AU439" i="2"/>
  <c r="AU122" i="2"/>
  <c r="AU460" i="2"/>
  <c r="AU376" i="2"/>
  <c r="AU281" i="2"/>
  <c r="AU181" i="2"/>
  <c r="AU75" i="2"/>
  <c r="AU366" i="2"/>
  <c r="AU175" i="2"/>
  <c r="AU392" i="2"/>
  <c r="AU243" i="2"/>
  <c r="AU131" i="2"/>
  <c r="AU312" i="2"/>
  <c r="AU196" i="2"/>
  <c r="AU314" i="2"/>
  <c r="AU173" i="2"/>
  <c r="AU479" i="2"/>
  <c r="AU130" i="2"/>
  <c r="AU393" i="2"/>
  <c r="AU324" i="2"/>
  <c r="AU343" i="2"/>
  <c r="AU454" i="2"/>
  <c r="AU29" i="2"/>
  <c r="AU92" i="2"/>
  <c r="AU264" i="2"/>
  <c r="AU85" i="2"/>
  <c r="AU465" i="2"/>
  <c r="AU228" i="2"/>
  <c r="AU440" i="2"/>
  <c r="AU347" i="2"/>
  <c r="AU208" i="2"/>
  <c r="AU262" i="2"/>
  <c r="AU284" i="2"/>
  <c r="AU30" i="2"/>
  <c r="AU330" i="2"/>
  <c r="AU119" i="2"/>
  <c r="AU269" i="2"/>
  <c r="AU45" i="2"/>
  <c r="AU441" i="2"/>
  <c r="AU445" i="2"/>
  <c r="AU371" i="2"/>
  <c r="AU48" i="2"/>
  <c r="AU33" i="2"/>
  <c r="AU329" i="2"/>
  <c r="AU34" i="2"/>
  <c r="AU194" i="2"/>
  <c r="AU74" i="2"/>
  <c r="AU396" i="2"/>
  <c r="AU450" i="2"/>
  <c r="AU195" i="2"/>
  <c r="AU401" i="2"/>
  <c r="AU289" i="2"/>
  <c r="AU149" i="2"/>
  <c r="AU66" i="2"/>
  <c r="AU109" i="2"/>
  <c r="AU236" i="2"/>
  <c r="AU485" i="2"/>
  <c r="AU340" i="2"/>
  <c r="AU446" i="2"/>
  <c r="AU356" i="2"/>
  <c r="AU265" i="2"/>
  <c r="AU167" i="2"/>
  <c r="AU58" i="2"/>
  <c r="AU342" i="2"/>
  <c r="AU107" i="2"/>
  <c r="AU399" i="2"/>
  <c r="AU256" i="2"/>
  <c r="AU140" i="2"/>
  <c r="AU335" i="2"/>
  <c r="AU203" i="2"/>
  <c r="AU224" i="2"/>
  <c r="AU177" i="2"/>
  <c r="AU357" i="2"/>
  <c r="AU319" i="2"/>
  <c r="AU143" i="2"/>
  <c r="AU271" i="2"/>
  <c r="AU178" i="2"/>
  <c r="AU252" i="2"/>
  <c r="AU153" i="2"/>
  <c r="AU443" i="2"/>
  <c r="AU352" i="2"/>
  <c r="AU258" i="2"/>
  <c r="AU158" i="2"/>
  <c r="AU46" i="2"/>
  <c r="AU339" i="2"/>
  <c r="AU95" i="2"/>
  <c r="AU351" i="2"/>
  <c r="AU200" i="2"/>
  <c r="AU444" i="2"/>
  <c r="AU288" i="2"/>
  <c r="AU106" i="2"/>
  <c r="AU438" i="2"/>
  <c r="AU458" i="2"/>
  <c r="AU390" i="2"/>
  <c r="AU99" i="2"/>
  <c r="AU62" i="2"/>
  <c r="AU350" i="2"/>
  <c r="AU346" i="2"/>
  <c r="AU128" i="2"/>
  <c r="AU19" i="2"/>
  <c r="AU381" i="2"/>
  <c r="AU302" i="2"/>
  <c r="AU199" i="2"/>
  <c r="AU17" i="2"/>
  <c r="AU300" i="2"/>
  <c r="AU355" i="2"/>
  <c r="AU320" i="2"/>
  <c r="AU110" i="2"/>
  <c r="AU60" i="2"/>
  <c r="AU174" i="2"/>
  <c r="AU211" i="2"/>
  <c r="AU367" i="2"/>
  <c r="AU461" i="2"/>
  <c r="AU197" i="2"/>
  <c r="AU65" i="2"/>
  <c r="AU382" i="2"/>
  <c r="AU210" i="2"/>
  <c r="AU12" i="2"/>
  <c r="AU16" i="2"/>
  <c r="AU391" i="2"/>
  <c r="AU456" i="2"/>
  <c r="AU21" i="2"/>
  <c r="AU35" i="2"/>
  <c r="AU297" i="2"/>
  <c r="AU14" i="2"/>
  <c r="AU6" i="2"/>
  <c r="AV10" i="1"/>
  <c r="AV11" i="1"/>
  <c r="AV15" i="1"/>
  <c r="AV12" i="1"/>
  <c r="AV17" i="1"/>
  <c r="AV13" i="1"/>
  <c r="AV18" i="1"/>
  <c r="AV188" i="1"/>
  <c r="AV16" i="1"/>
  <c r="AV9" i="1"/>
  <c r="AV14" i="1"/>
  <c r="AV19" i="1"/>
  <c r="AV124" i="1"/>
  <c r="AV248" i="1"/>
  <c r="AV45" i="1"/>
  <c r="AV46" i="1"/>
  <c r="AV356" i="1"/>
  <c r="AV380" i="1"/>
  <c r="AV264" i="1"/>
  <c r="AV271" i="1"/>
  <c r="AV403" i="1"/>
  <c r="AV471" i="1"/>
  <c r="AV145" i="1"/>
  <c r="AV504" i="1"/>
  <c r="AV365" i="1"/>
  <c r="AV477" i="1"/>
  <c r="AV300" i="1"/>
  <c r="AV490" i="1"/>
  <c r="AV289" i="1"/>
  <c r="AV463" i="1"/>
  <c r="AV381" i="1"/>
  <c r="AV265" i="1"/>
  <c r="AV516" i="1"/>
  <c r="AV220" i="1"/>
  <c r="AV214" i="1"/>
  <c r="AV515" i="1"/>
  <c r="AV29" i="1"/>
  <c r="AV39" i="1"/>
  <c r="AV25" i="1"/>
  <c r="AV47" i="1"/>
  <c r="AV424" i="1"/>
  <c r="AV317" i="1"/>
  <c r="AV562" i="1"/>
  <c r="AV397" i="1"/>
  <c r="AV370" i="1"/>
  <c r="AV64" i="1"/>
  <c r="AV351" i="1"/>
  <c r="AV166" i="1"/>
  <c r="AV273" i="1"/>
  <c r="AV479" i="1"/>
  <c r="AV42" i="1"/>
  <c r="AV451" i="1"/>
  <c r="AV299" i="1"/>
  <c r="AV462" i="1"/>
  <c r="AV59" i="1"/>
  <c r="AV249" i="1"/>
  <c r="AV222" i="1"/>
  <c r="AV507" i="1"/>
  <c r="AV329" i="1"/>
  <c r="AV109" i="1"/>
  <c r="AV193" i="1"/>
  <c r="AV362" i="1"/>
  <c r="AV318" i="1"/>
  <c r="AV169" i="1"/>
  <c r="AV202" i="1"/>
  <c r="AV134" i="1"/>
  <c r="AV316" i="1"/>
  <c r="AV137" i="1"/>
  <c r="AV239" i="1"/>
  <c r="AV430" i="1"/>
  <c r="AV146" i="1"/>
  <c r="AV342" i="1"/>
  <c r="AV538" i="1"/>
  <c r="AV488" i="1"/>
  <c r="AV83" i="1"/>
  <c r="AV192" i="1"/>
  <c r="AV236" i="1"/>
  <c r="AV272" i="1"/>
  <c r="AV319" i="1"/>
  <c r="AV378" i="1"/>
  <c r="AV427" i="1"/>
  <c r="AV60" i="1"/>
  <c r="AV560" i="1"/>
  <c r="AV246" i="1"/>
  <c r="AV190" i="1"/>
  <c r="AV251" i="1"/>
  <c r="AV65" i="1"/>
  <c r="AV200" i="1"/>
  <c r="AV386" i="1"/>
  <c r="AV86" i="1"/>
  <c r="AV286" i="1"/>
  <c r="AV549" i="1"/>
  <c r="AV213" i="1"/>
  <c r="AV406" i="1"/>
  <c r="AV518" i="1"/>
  <c r="AV478" i="1"/>
  <c r="AV147" i="1"/>
  <c r="AV238" i="1"/>
  <c r="AV76" i="1"/>
  <c r="AV421" i="1"/>
  <c r="AV359" i="1"/>
  <c r="AV270" i="1"/>
  <c r="AV189" i="1"/>
  <c r="AV497" i="1"/>
  <c r="AV328" i="1"/>
  <c r="AV420" i="1"/>
  <c r="AV131" i="1"/>
  <c r="AV121" i="1"/>
  <c r="AV263" i="1"/>
  <c r="AV544" i="1"/>
  <c r="AV460" i="1"/>
  <c r="AV384" i="1"/>
  <c r="AV309" i="1"/>
  <c r="AV228" i="1"/>
  <c r="AV66" i="1"/>
  <c r="AV548" i="1"/>
  <c r="AV125" i="1"/>
  <c r="AV218" i="1"/>
  <c r="AV288" i="1"/>
  <c r="AV438" i="1"/>
  <c r="AV40" i="1"/>
  <c r="AV35" i="1"/>
  <c r="AV36" i="1"/>
  <c r="AV37" i="1"/>
  <c r="AV44" i="1"/>
  <c r="AV498" i="1"/>
  <c r="AV179" i="1"/>
  <c r="AV240" i="1"/>
  <c r="AV99" i="1"/>
  <c r="AV352" i="1"/>
  <c r="AV453" i="1"/>
  <c r="AV307" i="1"/>
  <c r="AV459" i="1"/>
  <c r="AV69" i="1"/>
  <c r="AV261" i="1"/>
  <c r="AV49" i="1"/>
  <c r="AV412" i="1"/>
  <c r="AV260" i="1"/>
  <c r="AV508" i="1"/>
  <c r="AV360" i="1"/>
  <c r="AV143" i="1"/>
  <c r="AV354" i="1"/>
  <c r="AV429" i="1"/>
  <c r="AV278" i="1"/>
  <c r="AV482" i="1"/>
  <c r="AV500" i="1"/>
  <c r="AV165" i="1"/>
  <c r="AV77" i="1"/>
  <c r="AV290" i="1"/>
  <c r="AV235" i="1"/>
  <c r="AV374" i="1"/>
  <c r="AV73" i="1"/>
  <c r="AV275" i="1"/>
  <c r="AV517" i="1"/>
  <c r="AV205" i="1"/>
  <c r="AV396" i="1"/>
  <c r="AV521" i="1"/>
  <c r="AV480" i="1"/>
  <c r="AV120" i="1"/>
  <c r="AV203" i="1"/>
  <c r="AV244" i="1"/>
  <c r="AV283" i="1"/>
  <c r="AV341" i="1"/>
  <c r="AV392" i="1"/>
  <c r="AV439" i="1"/>
  <c r="AV85" i="1"/>
  <c r="AV182" i="1"/>
  <c r="AV266" i="1"/>
  <c r="AV310" i="1"/>
  <c r="AV340" i="1"/>
  <c r="AV135" i="1"/>
  <c r="AV241" i="1"/>
  <c r="AV432" i="1"/>
  <c r="AV148" i="1"/>
  <c r="AV345" i="1"/>
  <c r="AV139" i="1"/>
  <c r="AV253" i="1"/>
  <c r="AV465" i="1"/>
  <c r="AV510" i="1"/>
  <c r="AV464" i="1"/>
  <c r="AV155" i="1"/>
  <c r="AV257" i="1"/>
  <c r="AV547" i="1"/>
  <c r="AV407" i="1"/>
  <c r="AV339" i="1"/>
  <c r="AV32" i="1"/>
  <c r="AV43" i="1"/>
  <c r="AV26" i="1"/>
  <c r="AV28" i="1"/>
  <c r="AV105" i="1"/>
  <c r="AV484" i="1"/>
  <c r="AV276" i="1"/>
  <c r="AV525" i="1"/>
  <c r="AV361" i="1"/>
  <c r="AV485" i="1"/>
  <c r="AV414" i="1"/>
  <c r="AV262" i="1"/>
  <c r="AV506" i="1"/>
  <c r="AV372" i="1"/>
  <c r="AV58" i="1"/>
  <c r="AV505" i="1"/>
  <c r="AV376" i="1"/>
  <c r="AV219" i="1"/>
  <c r="AV487" i="1"/>
  <c r="AV156" i="1"/>
  <c r="AV48" i="1"/>
  <c r="AV563" i="1"/>
  <c r="AV401" i="1"/>
  <c r="AV242" i="1"/>
  <c r="AV523" i="1"/>
  <c r="AV267" i="1"/>
  <c r="AV243" i="1"/>
  <c r="AV530" i="1"/>
  <c r="AV102" i="1"/>
  <c r="AV141" i="1"/>
  <c r="AV229" i="1"/>
  <c r="AV423" i="1"/>
  <c r="AV140" i="1"/>
  <c r="AV332" i="1"/>
  <c r="AV133" i="1"/>
  <c r="AV245" i="1"/>
  <c r="AV448" i="1"/>
  <c r="AV512" i="1"/>
  <c r="AV466" i="1"/>
  <c r="AV153" i="1"/>
  <c r="AV212" i="1"/>
  <c r="AV252" i="1"/>
  <c r="AV291" i="1"/>
  <c r="AV355" i="1"/>
  <c r="AV405" i="1"/>
  <c r="AV472" i="1"/>
  <c r="AV481" i="1"/>
  <c r="AV206" i="1"/>
  <c r="AV285" i="1"/>
  <c r="AV123" i="1"/>
  <c r="AV144" i="1"/>
  <c r="AV75" i="1"/>
  <c r="AV277" i="1"/>
  <c r="AV519" i="1"/>
  <c r="AV207" i="1"/>
  <c r="AV400" i="1"/>
  <c r="AV108" i="1"/>
  <c r="AV292" i="1"/>
  <c r="AV555" i="1"/>
  <c r="AV502" i="1"/>
  <c r="AV62" i="1"/>
  <c r="AV194" i="1"/>
  <c r="AV274" i="1"/>
  <c r="AV483" i="1"/>
  <c r="AV390" i="1"/>
  <c r="AV315" i="1"/>
  <c r="AV232" i="1"/>
  <c r="AV74" i="1"/>
  <c r="AV546" i="1"/>
  <c r="AV138" i="1"/>
  <c r="AV227" i="1"/>
  <c r="AV308" i="1"/>
  <c r="AV281" i="1"/>
  <c r="AV559" i="1"/>
  <c r="AV70" i="1"/>
  <c r="AV419" i="1"/>
  <c r="AV353" i="1"/>
  <c r="AV268" i="1"/>
  <c r="AV185" i="1"/>
  <c r="AV499" i="1"/>
  <c r="AV312" i="1"/>
  <c r="AV411" i="1"/>
  <c r="AV557" i="1"/>
  <c r="AV95" i="1"/>
  <c r="AV415" i="1"/>
  <c r="AV209" i="1"/>
  <c r="AV476" i="1"/>
  <c r="AV431" i="1"/>
  <c r="AV413" i="1"/>
  <c r="AV151" i="1"/>
  <c r="AV373" i="1"/>
  <c r="AV154" i="1"/>
  <c r="AV377" i="1"/>
  <c r="AV558" i="1"/>
  <c r="AV122" i="1"/>
  <c r="AV287" i="1"/>
  <c r="AV136" i="1"/>
  <c r="AV237" i="1"/>
  <c r="AV92" i="1"/>
  <c r="AV338" i="1"/>
  <c r="AV416" i="1"/>
  <c r="AV223" i="1"/>
  <c r="AV196" i="1"/>
  <c r="AV63" i="1"/>
  <c r="AV61" i="1"/>
  <c r="AV456" i="1"/>
  <c r="AV162" i="1"/>
  <c r="AV184" i="1"/>
  <c r="AV513" i="1"/>
  <c r="AV150" i="1"/>
  <c r="AV402" i="1"/>
  <c r="AV224" i="1"/>
  <c r="AV149" i="1"/>
  <c r="AV334" i="1"/>
  <c r="AV524" i="1"/>
  <c r="AV152" i="1"/>
  <c r="AV132" i="1"/>
  <c r="AV428" i="1"/>
  <c r="AV210" i="1"/>
  <c r="AV437" i="1"/>
  <c r="AV486" i="1"/>
  <c r="AV452" i="1"/>
  <c r="AV142" i="1"/>
  <c r="AV225" i="1"/>
  <c r="AV369" i="1"/>
  <c r="AV172" i="1"/>
  <c r="AV284" i="1"/>
  <c r="AV503" i="1"/>
  <c r="AV391" i="1"/>
  <c r="AV379" i="1"/>
  <c r="AV404" i="1"/>
  <c r="AV344" i="1"/>
  <c r="AV511" i="1"/>
  <c r="AV197" i="1"/>
  <c r="AV526" i="1"/>
  <c r="AV22" i="1"/>
  <c r="AV31" i="1"/>
  <c r="AV211" i="1"/>
  <c r="AV113" i="1"/>
  <c r="AV417" i="1"/>
  <c r="AV208" i="1"/>
  <c r="AV371" i="1"/>
  <c r="AV470" i="1"/>
  <c r="AV509" i="1"/>
  <c r="AV314" i="1"/>
  <c r="AV514" i="1"/>
  <c r="AV250" i="1"/>
  <c r="AV313" i="1"/>
  <c r="AV529" i="1"/>
  <c r="AV247" i="1"/>
  <c r="AV425" i="1"/>
  <c r="AV522" i="1"/>
  <c r="AV311" i="1"/>
  <c r="AV455" i="1"/>
  <c r="AV84" i="1"/>
  <c r="AV269" i="1"/>
  <c r="AV366" i="1"/>
  <c r="AV201" i="1"/>
  <c r="AV454" i="1"/>
  <c r="AV561" i="1"/>
  <c r="AV221" i="1"/>
  <c r="AV259" i="1"/>
  <c r="AV41" i="1"/>
  <c r="AU183" i="3"/>
  <c r="AU25" i="3"/>
  <c r="AU65" i="3"/>
  <c r="AU173" i="3"/>
  <c r="AU44" i="3"/>
  <c r="AU64" i="3"/>
  <c r="AU46" i="3"/>
  <c r="AU171" i="3"/>
  <c r="AU146" i="3"/>
  <c r="AU45" i="3"/>
  <c r="AU68" i="3"/>
  <c r="AU63" i="3"/>
  <c r="AU27" i="3"/>
  <c r="AU29" i="3"/>
  <c r="AU67" i="3"/>
  <c r="AU237" i="3"/>
  <c r="AU168" i="3"/>
  <c r="AU66" i="3"/>
  <c r="AU30" i="3"/>
  <c r="AU62" i="3"/>
  <c r="AU17" i="3"/>
  <c r="AU21" i="3"/>
  <c r="AU288" i="3"/>
  <c r="AU178" i="3"/>
  <c r="AU150" i="3"/>
  <c r="AU33" i="3"/>
  <c r="AU61" i="3"/>
  <c r="AU69" i="3"/>
  <c r="AU48" i="3"/>
  <c r="AU41" i="3"/>
  <c r="AU11" i="3"/>
  <c r="N513" i="5" l="1"/>
  <c r="R127" i="5"/>
  <c r="U127" i="5" s="1"/>
  <c r="AU433" i="2"/>
  <c r="AU192" i="2"/>
  <c r="AU432" i="2"/>
  <c r="AU489" i="2"/>
  <c r="AU435" i="2"/>
  <c r="AU487" i="2"/>
  <c r="AU141" i="2"/>
  <c r="AU150" i="2"/>
  <c r="AU434" i="2"/>
  <c r="P71" i="5"/>
  <c r="Q71" i="5"/>
  <c r="R71" i="5" s="1"/>
  <c r="U71" i="5" s="1"/>
  <c r="P74" i="5"/>
  <c r="Q74" i="5"/>
  <c r="R74" i="5" s="1"/>
  <c r="U74" i="5" s="1"/>
  <c r="P95" i="5"/>
  <c r="Q95" i="5"/>
  <c r="R95" i="5" s="1"/>
  <c r="U95" i="5" s="1"/>
  <c r="P113" i="5"/>
  <c r="Q113" i="5"/>
  <c r="R113" i="5" s="1"/>
  <c r="U113" i="5" s="1"/>
  <c r="P112" i="5"/>
  <c r="Q112" i="5"/>
  <c r="R112" i="5" s="1"/>
  <c r="U112" i="5" s="1"/>
  <c r="P63" i="5"/>
  <c r="Q63" i="5"/>
  <c r="S300" i="5"/>
  <c r="V300" i="5" s="1"/>
  <c r="V497" i="5"/>
  <c r="V365" i="5"/>
  <c r="V4" i="5"/>
  <c r="S434" i="5"/>
  <c r="S78" i="5"/>
  <c r="V101" i="5"/>
  <c r="V93" i="5"/>
  <c r="S309" i="5"/>
  <c r="P380" i="5"/>
  <c r="P84" i="5"/>
  <c r="V271" i="5"/>
  <c r="V121" i="5"/>
  <c r="P386" i="5"/>
  <c r="P491" i="5"/>
  <c r="V487" i="5"/>
  <c r="V418" i="5"/>
  <c r="V181" i="5"/>
  <c r="P268" i="5"/>
  <c r="P16" i="5"/>
  <c r="V288" i="5"/>
  <c r="V201" i="5"/>
  <c r="V403" i="5"/>
  <c r="V86" i="5"/>
  <c r="G69" i="5"/>
  <c r="K69" i="5"/>
  <c r="P75" i="5"/>
  <c r="V190" i="5"/>
  <c r="V408" i="5"/>
  <c r="V119" i="5"/>
  <c r="S315" i="5"/>
  <c r="P94" i="5"/>
  <c r="P91" i="5"/>
  <c r="P471" i="5"/>
  <c r="P477" i="5"/>
  <c r="P248" i="5"/>
  <c r="S17" i="5"/>
  <c r="P370" i="5"/>
  <c r="P261" i="5"/>
  <c r="P62" i="5"/>
  <c r="P179" i="5"/>
  <c r="P277" i="5"/>
  <c r="V331" i="5"/>
  <c r="V158" i="5"/>
  <c r="V28" i="5"/>
  <c r="V147" i="5"/>
  <c r="P501" i="5"/>
  <c r="P264" i="5"/>
  <c r="P285" i="5"/>
  <c r="P48" i="5"/>
  <c r="P389" i="5"/>
  <c r="V502" i="5"/>
  <c r="V311" i="5"/>
  <c r="V167" i="5"/>
  <c r="P241" i="5"/>
  <c r="V213" i="5"/>
  <c r="P500" i="5"/>
  <c r="P449" i="5"/>
  <c r="V114" i="5"/>
  <c r="S430" i="5"/>
  <c r="S278" i="5"/>
  <c r="V223" i="5"/>
  <c r="V341" i="5"/>
  <c r="V291" i="5"/>
  <c r="V415" i="5"/>
  <c r="P245" i="5"/>
  <c r="V171" i="5"/>
  <c r="P123" i="5"/>
  <c r="P509" i="5"/>
  <c r="P254" i="5"/>
  <c r="V328" i="5"/>
  <c r="V152" i="5"/>
  <c r="V407" i="5"/>
  <c r="V423" i="5"/>
  <c r="V318" i="5"/>
  <c r="V435" i="5"/>
  <c r="V150" i="5"/>
  <c r="P472" i="5"/>
  <c r="V57" i="5"/>
  <c r="V304" i="5"/>
  <c r="S437" i="5"/>
  <c r="P262" i="5"/>
  <c r="V169" i="5"/>
  <c r="P250" i="5"/>
  <c r="P26" i="5"/>
  <c r="V58" i="5"/>
  <c r="S345" i="5"/>
  <c r="P504" i="5"/>
  <c r="P282" i="5"/>
  <c r="V163" i="5"/>
  <c r="V196" i="5"/>
  <c r="V239" i="5"/>
  <c r="V155" i="5"/>
  <c r="V87" i="5"/>
  <c r="V131" i="5"/>
  <c r="P11" i="5"/>
  <c r="V330" i="5"/>
  <c r="S38" i="5"/>
  <c r="P221" i="5"/>
  <c r="P293" i="5"/>
  <c r="P70" i="5"/>
  <c r="P187" i="5"/>
  <c r="P344" i="5"/>
  <c r="V126" i="5"/>
  <c r="P199" i="5"/>
  <c r="P23" i="5"/>
  <c r="V174" i="5"/>
  <c r="V359" i="5"/>
  <c r="V149" i="5"/>
  <c r="V18" i="5"/>
  <c r="P34" i="5"/>
  <c r="V83" i="5"/>
  <c r="V20" i="5"/>
  <c r="P98" i="5"/>
  <c r="P343" i="5"/>
  <c r="V194" i="5"/>
  <c r="V29" i="5"/>
  <c r="P296" i="5"/>
  <c r="P382" i="5"/>
  <c r="V243" i="5"/>
  <c r="V490" i="5"/>
  <c r="V425" i="5"/>
  <c r="V204" i="5"/>
  <c r="V401" i="5"/>
  <c r="V244" i="5"/>
  <c r="S122" i="5"/>
  <c r="V319" i="5"/>
  <c r="V161" i="5"/>
  <c r="V145" i="5"/>
  <c r="P183" i="5"/>
  <c r="S88" i="5"/>
  <c r="V421" i="5"/>
  <c r="P256" i="5"/>
  <c r="V270" i="5"/>
  <c r="S32" i="5"/>
  <c r="P461" i="5"/>
  <c r="P385" i="5"/>
  <c r="S135" i="5"/>
  <c r="P92" i="5"/>
  <c r="P202" i="5"/>
  <c r="P358" i="5"/>
  <c r="V173" i="5"/>
  <c r="V260" i="5"/>
  <c r="P334" i="5"/>
  <c r="V258" i="5"/>
  <c r="P193" i="5"/>
  <c r="V324" i="5"/>
  <c r="V35" i="5"/>
  <c r="S431" i="5"/>
  <c r="V182" i="5"/>
  <c r="V33" i="5"/>
  <c r="V166" i="5"/>
  <c r="P177" i="5"/>
  <c r="V436" i="5"/>
  <c r="P46" i="5"/>
  <c r="V336" i="5"/>
  <c r="S498" i="5"/>
  <c r="S54" i="5"/>
  <c r="S391" i="5"/>
  <c r="S81" i="5"/>
  <c r="S175" i="5"/>
  <c r="S198" i="5"/>
  <c r="S235" i="5"/>
  <c r="V413" i="5"/>
  <c r="S289" i="5"/>
  <c r="P259" i="5"/>
  <c r="S411" i="5"/>
  <c r="S398" i="5"/>
  <c r="V290" i="5"/>
  <c r="S306" i="5"/>
  <c r="S82" i="5"/>
  <c r="S482" i="5"/>
  <c r="S397" i="5"/>
  <c r="S499" i="5"/>
  <c r="S450" i="5"/>
  <c r="S457" i="5"/>
  <c r="S272" i="5"/>
  <c r="S446" i="5"/>
  <c r="S103" i="5"/>
  <c r="S510" i="5"/>
  <c r="P108" i="5"/>
  <c r="S61" i="5"/>
  <c r="S265" i="5"/>
  <c r="S310" i="5"/>
  <c r="S195" i="5"/>
  <c r="S455" i="5"/>
  <c r="S351" i="5"/>
  <c r="S404" i="5"/>
  <c r="S37" i="5"/>
  <c r="S379" i="5"/>
  <c r="S393" i="5"/>
  <c r="S326" i="5"/>
  <c r="S215" i="5"/>
  <c r="S9" i="5"/>
  <c r="S367" i="5"/>
  <c r="S102" i="5"/>
  <c r="S361" i="5"/>
  <c r="S251" i="5"/>
  <c r="S483" i="5"/>
  <c r="S100" i="5"/>
  <c r="P340" i="5"/>
  <c r="S394" i="5"/>
  <c r="S41" i="5"/>
  <c r="S445" i="5"/>
  <c r="S228" i="5"/>
  <c r="S466" i="5"/>
  <c r="S180" i="5"/>
  <c r="S73" i="5"/>
  <c r="S148" i="5"/>
  <c r="S36" i="5"/>
  <c r="S320" i="5"/>
  <c r="S360" i="5"/>
  <c r="S162" i="5"/>
  <c r="S460" i="5"/>
  <c r="S269" i="5"/>
  <c r="S383" i="5"/>
  <c r="P338" i="5"/>
  <c r="P332" i="5"/>
  <c r="P297" i="5"/>
  <c r="S130" i="5"/>
  <c r="S488" i="5"/>
  <c r="S64" i="5"/>
  <c r="S55" i="5"/>
  <c r="S134" i="5"/>
  <c r="P363" i="5"/>
  <c r="P224" i="5"/>
  <c r="P47" i="5"/>
  <c r="S214" i="5"/>
  <c r="S454" i="5"/>
  <c r="S441" i="5"/>
  <c r="S357" i="5"/>
  <c r="S366" i="5"/>
  <c r="S165" i="5"/>
  <c r="S24" i="5"/>
  <c r="P242" i="5"/>
  <c r="S444" i="5"/>
  <c r="S247" i="5"/>
  <c r="S39" i="5"/>
  <c r="S219" i="5"/>
  <c r="S12" i="5"/>
  <c r="S301" i="5"/>
  <c r="S153" i="5"/>
  <c r="S458" i="5"/>
  <c r="S229" i="5"/>
  <c r="S473" i="5"/>
  <c r="S42" i="5"/>
  <c r="P186" i="5"/>
  <c r="P356" i="5"/>
  <c r="S479" i="5"/>
  <c r="S432" i="5"/>
  <c r="S463" i="5"/>
  <c r="S468" i="5"/>
  <c r="S172" i="5"/>
  <c r="S325" i="5"/>
  <c r="S384" i="5"/>
  <c r="S478" i="5"/>
  <c r="S459" i="5"/>
  <c r="S313" i="5"/>
  <c r="S144" i="5"/>
  <c r="S59" i="5"/>
  <c r="S508" i="5"/>
  <c r="S492" i="5"/>
  <c r="S217" i="5"/>
  <c r="S512" i="5"/>
  <c r="S395" i="5"/>
  <c r="S66" i="5"/>
  <c r="S89" i="5"/>
  <c r="S124" i="5"/>
  <c r="G67" i="5"/>
  <c r="K67" i="5"/>
  <c r="F513" i="5"/>
  <c r="F515" i="5" s="1"/>
  <c r="S53" i="5"/>
  <c r="P317" i="5"/>
  <c r="V402" i="5"/>
  <c r="S249" i="5"/>
  <c r="V364" i="5"/>
  <c r="S494" i="5"/>
  <c r="S453" i="5"/>
  <c r="S414" i="5"/>
  <c r="S140" i="5"/>
  <c r="S465" i="5"/>
  <c r="S281" i="5"/>
  <c r="P240" i="5"/>
  <c r="P230" i="5"/>
  <c r="P263" i="5"/>
  <c r="S486" i="5"/>
  <c r="S90" i="5"/>
  <c r="S120" i="5"/>
  <c r="S451" i="5"/>
  <c r="P234" i="5"/>
  <c r="S316" i="5"/>
  <c r="S185" i="5"/>
  <c r="S368" i="5"/>
  <c r="S7" i="5"/>
  <c r="S151" i="5"/>
  <c r="S136" i="5"/>
  <c r="S335" i="5"/>
  <c r="S337" i="5"/>
  <c r="S378" i="5"/>
  <c r="S225" i="5"/>
  <c r="S305" i="5"/>
  <c r="S5" i="5"/>
  <c r="S428" i="5"/>
  <c r="S137" i="5"/>
  <c r="S209" i="5"/>
  <c r="S125" i="5"/>
  <c r="S76" i="5"/>
  <c r="S43" i="5"/>
  <c r="S485" i="5"/>
  <c r="S14" i="5"/>
  <c r="S405" i="5"/>
  <c r="S347" i="5"/>
  <c r="P105" i="5"/>
  <c r="P323" i="5"/>
  <c r="S49" i="5"/>
  <c r="S469" i="5"/>
  <c r="S399" i="5"/>
  <c r="S168" i="5"/>
  <c r="S79" i="5"/>
  <c r="S52" i="5"/>
  <c r="S85" i="5"/>
  <c r="S77" i="5"/>
  <c r="S160" i="5"/>
  <c r="S484" i="5"/>
  <c r="S236" i="5"/>
  <c r="S433" i="5"/>
  <c r="P143" i="5"/>
  <c r="P286" i="5"/>
  <c r="S218" i="5"/>
  <c r="P56" i="5"/>
  <c r="S96" i="5"/>
  <c r="S462" i="5"/>
  <c r="S496" i="5"/>
  <c r="S164" i="5"/>
  <c r="S211" i="5"/>
  <c r="S27" i="5"/>
  <c r="S157" i="5"/>
  <c r="P138" i="5"/>
  <c r="S222" i="5"/>
  <c r="S276" i="5"/>
  <c r="S207" i="5"/>
  <c r="S287" i="5"/>
  <c r="S232" i="5"/>
  <c r="S388" i="5"/>
  <c r="S106" i="5"/>
  <c r="S396" i="5"/>
  <c r="S439" i="5"/>
  <c r="S299" i="5"/>
  <c r="S44" i="5"/>
  <c r="P252" i="5"/>
  <c r="S197" i="5"/>
  <c r="S25" i="5"/>
  <c r="S128" i="5"/>
  <c r="P80" i="5"/>
  <c r="S447" i="5"/>
  <c r="P142" i="5"/>
  <c r="S422" i="5"/>
  <c r="S406" i="5"/>
  <c r="S427" i="5"/>
  <c r="S227" i="5"/>
  <c r="S442" i="5"/>
  <c r="S253" i="5"/>
  <c r="S71" i="5" l="1"/>
  <c r="V71" i="5" s="1"/>
  <c r="K513" i="5"/>
  <c r="AU10" i="3" s="1"/>
  <c r="S112" i="5"/>
  <c r="S74" i="5"/>
  <c r="R63" i="5"/>
  <c r="Q513" i="5"/>
  <c r="S113" i="5"/>
  <c r="V113" i="5" s="1"/>
  <c r="S95" i="5"/>
  <c r="V95" i="5" s="1"/>
  <c r="V43" i="5"/>
  <c r="V388" i="5"/>
  <c r="V27" i="5"/>
  <c r="V276" i="5"/>
  <c r="V496" i="5"/>
  <c r="V211" i="5"/>
  <c r="V347" i="5"/>
  <c r="V232" i="5"/>
  <c r="V106" i="5"/>
  <c r="V484" i="5"/>
  <c r="V222" i="5"/>
  <c r="V140" i="5"/>
  <c r="S507" i="5"/>
  <c r="S374" i="5"/>
  <c r="V305" i="5"/>
  <c r="V153" i="5"/>
  <c r="V499" i="5"/>
  <c r="V361" i="5"/>
  <c r="V9" i="5"/>
  <c r="V195" i="5"/>
  <c r="S206" i="5"/>
  <c r="S141" i="5"/>
  <c r="V422" i="5"/>
  <c r="S456" i="5"/>
  <c r="S495" i="5"/>
  <c r="S481" i="5"/>
  <c r="S170" i="5"/>
  <c r="V25" i="5"/>
  <c r="S464" i="5"/>
  <c r="V14" i="5"/>
  <c r="V207" i="5"/>
  <c r="V453" i="5"/>
  <c r="V136" i="5"/>
  <c r="V478" i="5"/>
  <c r="V451" i="5"/>
  <c r="V59" i="5"/>
  <c r="V394" i="5"/>
  <c r="V301" i="5"/>
  <c r="V165" i="5"/>
  <c r="V180" i="5"/>
  <c r="V55" i="5"/>
  <c r="V450" i="5"/>
  <c r="V397" i="5"/>
  <c r="V81" i="5"/>
  <c r="S257" i="5"/>
  <c r="S267" i="5"/>
  <c r="S355" i="5"/>
  <c r="S22" i="5"/>
  <c r="V447" i="5"/>
  <c r="S133" i="5"/>
  <c r="V512" i="5"/>
  <c r="V44" i="5"/>
  <c r="V76" i="5"/>
  <c r="V164" i="5"/>
  <c r="V96" i="5"/>
  <c r="V433" i="5"/>
  <c r="V249" i="5"/>
  <c r="V89" i="5"/>
  <c r="V326" i="5"/>
  <c r="V368" i="5"/>
  <c r="V172" i="5"/>
  <c r="V144" i="5"/>
  <c r="V175" i="5"/>
  <c r="V12" i="5"/>
  <c r="V265" i="5"/>
  <c r="V360" i="5"/>
  <c r="V215" i="5"/>
  <c r="V37" i="5"/>
  <c r="V510" i="5"/>
  <c r="V73" i="5"/>
  <c r="V391" i="5"/>
  <c r="V209" i="5"/>
  <c r="S505" i="5"/>
  <c r="S369" i="5"/>
  <c r="S104" i="5"/>
  <c r="S255" i="5"/>
  <c r="S412" i="5"/>
  <c r="S511" i="5"/>
  <c r="V236" i="5"/>
  <c r="V160" i="5"/>
  <c r="V299" i="5"/>
  <c r="S354" i="5"/>
  <c r="S266" i="5"/>
  <c r="V157" i="5"/>
  <c r="V281" i="5"/>
  <c r="S417" i="5"/>
  <c r="V185" i="5"/>
  <c r="V120" i="5"/>
  <c r="V42" i="5"/>
  <c r="V395" i="5"/>
  <c r="V219" i="5"/>
  <c r="V383" i="5"/>
  <c r="V228" i="5"/>
  <c r="V498" i="5"/>
  <c r="V482" i="5"/>
  <c r="S117" i="5"/>
  <c r="S99" i="5"/>
  <c r="V406" i="5"/>
  <c r="S184" i="5"/>
  <c r="V218" i="5"/>
  <c r="V465" i="5"/>
  <c r="V77" i="5"/>
  <c r="S72" i="5"/>
  <c r="S348" i="5"/>
  <c r="V396" i="5"/>
  <c r="V378" i="5"/>
  <c r="V85" i="5"/>
  <c r="V168" i="5"/>
  <c r="V313" i="5"/>
  <c r="V379" i="5"/>
  <c r="V247" i="5"/>
  <c r="V457" i="5"/>
  <c r="V162" i="5"/>
  <c r="V41" i="5"/>
  <c r="V488" i="5"/>
  <c r="V103" i="5"/>
  <c r="V82" i="5"/>
  <c r="V398" i="5"/>
  <c r="S40" i="5"/>
  <c r="S438" i="5"/>
  <c r="S476" i="5"/>
  <c r="V485" i="5"/>
  <c r="V439" i="5"/>
  <c r="V52" i="5"/>
  <c r="V337" i="5"/>
  <c r="S322" i="5"/>
  <c r="V473" i="5"/>
  <c r="V217" i="5"/>
  <c r="V459" i="5"/>
  <c r="V39" i="5"/>
  <c r="V306" i="5"/>
  <c r="V367" i="5"/>
  <c r="S376" i="5"/>
  <c r="V227" i="5"/>
  <c r="S68" i="5"/>
  <c r="S352" i="5"/>
  <c r="S443" i="5"/>
  <c r="V49" i="5"/>
  <c r="S474" i="5"/>
  <c r="V125" i="5"/>
  <c r="V468" i="5"/>
  <c r="V53" i="5"/>
  <c r="V66" i="5"/>
  <c r="V463" i="5"/>
  <c r="V492" i="5"/>
  <c r="V466" i="5"/>
  <c r="V351" i="5"/>
  <c r="V269" i="5"/>
  <c r="V148" i="5"/>
  <c r="V483" i="5"/>
  <c r="V214" i="5"/>
  <c r="V455" i="5"/>
  <c r="V272" i="5"/>
  <c r="V289" i="5"/>
  <c r="V54" i="5"/>
  <c r="S19" i="5"/>
  <c r="V253" i="5"/>
  <c r="S387" i="5"/>
  <c r="V442" i="5"/>
  <c r="S346" i="5"/>
  <c r="S327" i="5"/>
  <c r="V427" i="5"/>
  <c r="S21" i="5"/>
  <c r="S156" i="5"/>
  <c r="S400" i="5"/>
  <c r="V128" i="5"/>
  <c r="S159" i="5"/>
  <c r="V79" i="5"/>
  <c r="V197" i="5"/>
  <c r="S392" i="5"/>
  <c r="V225" i="5"/>
  <c r="V287" i="5"/>
  <c r="S31" i="5"/>
  <c r="V124" i="5"/>
  <c r="V5" i="5"/>
  <c r="S139" i="5"/>
  <c r="V229" i="5"/>
  <c r="V384" i="5"/>
  <c r="V310" i="5"/>
  <c r="V460" i="5"/>
  <c r="V357" i="5"/>
  <c r="V251" i="5"/>
  <c r="V393" i="5"/>
  <c r="V235" i="5"/>
  <c r="V462" i="5"/>
  <c r="S111" i="5"/>
  <c r="S489" i="5"/>
  <c r="S50" i="5"/>
  <c r="V479" i="5"/>
  <c r="S475" i="5"/>
  <c r="S283" i="5"/>
  <c r="S279" i="5"/>
  <c r="S416" i="5"/>
  <c r="S381" i="5"/>
  <c r="S467" i="5"/>
  <c r="V100" i="5"/>
  <c r="S210" i="5"/>
  <c r="S440" i="5"/>
  <c r="V122" i="5"/>
  <c r="S274" i="5"/>
  <c r="V17" i="5"/>
  <c r="S339" i="5"/>
  <c r="V469" i="5"/>
  <c r="S30" i="5"/>
  <c r="V441" i="5"/>
  <c r="V454" i="5"/>
  <c r="S303" i="5"/>
  <c r="S390" i="5"/>
  <c r="V198" i="5"/>
  <c r="V135" i="5"/>
  <c r="S284" i="5"/>
  <c r="S329" i="5"/>
  <c r="V7" i="5"/>
  <c r="S420" i="5"/>
  <c r="V90" i="5"/>
  <c r="V325" i="5"/>
  <c r="V458" i="5"/>
  <c r="V24" i="5"/>
  <c r="S493" i="5"/>
  <c r="S429" i="5"/>
  <c r="S426" i="5"/>
  <c r="S97" i="5"/>
  <c r="S237" i="5"/>
  <c r="V64" i="5"/>
  <c r="S200" i="5"/>
  <c r="V102" i="5"/>
  <c r="S178" i="5"/>
  <c r="V38" i="5"/>
  <c r="S506" i="5"/>
  <c r="V494" i="5"/>
  <c r="S208" i="5"/>
  <c r="S273" i="5"/>
  <c r="S212" i="5"/>
  <c r="V112" i="5"/>
  <c r="S146" i="5"/>
  <c r="S292" i="5"/>
  <c r="S470" i="5"/>
  <c r="V61" i="5"/>
  <c r="V431" i="5"/>
  <c r="V278" i="5"/>
  <c r="S203" i="5"/>
  <c r="P69" i="5"/>
  <c r="V399" i="5"/>
  <c r="V405" i="5"/>
  <c r="V137" i="5"/>
  <c r="V486" i="5"/>
  <c r="AU218" i="3"/>
  <c r="AU351" i="3"/>
  <c r="AU209" i="3"/>
  <c r="AU154" i="3"/>
  <c r="AU429" i="3"/>
  <c r="AU267" i="3"/>
  <c r="AU431" i="3"/>
  <c r="AU262" i="3"/>
  <c r="AU374" i="3"/>
  <c r="AU376" i="3"/>
  <c r="AU368" i="3"/>
  <c r="AU320" i="3"/>
  <c r="AU362" i="3"/>
  <c r="AU39" i="3"/>
  <c r="AU161" i="3"/>
  <c r="AU364" i="3"/>
  <c r="AU221" i="3"/>
  <c r="AU266" i="3"/>
  <c r="AU409" i="3"/>
  <c r="AU322" i="3"/>
  <c r="AU396" i="3"/>
  <c r="AU263" i="3"/>
  <c r="AU71" i="3"/>
  <c r="AU466" i="3"/>
  <c r="AU303" i="3"/>
  <c r="AU199" i="3"/>
  <c r="AU305" i="3"/>
  <c r="AU301" i="3"/>
  <c r="AU460" i="3"/>
  <c r="AU347" i="3"/>
  <c r="AU87" i="3"/>
  <c r="AU42" i="3"/>
  <c r="AU181" i="3"/>
  <c r="AU208" i="3"/>
  <c r="AU408" i="3"/>
  <c r="AU229" i="3"/>
  <c r="AU310" i="3"/>
  <c r="AU119" i="3"/>
  <c r="AU103" i="3"/>
  <c r="AU393" i="3"/>
  <c r="AU122" i="3"/>
  <c r="AU248" i="3"/>
  <c r="AU411" i="3"/>
  <c r="AU324" i="3"/>
  <c r="AU330" i="3"/>
  <c r="AU216" i="3"/>
  <c r="AU34" i="3"/>
  <c r="AU129" i="3"/>
  <c r="AU188" i="3"/>
  <c r="AU121" i="3"/>
  <c r="AU134" i="3"/>
  <c r="AU432" i="3"/>
  <c r="AU118" i="3"/>
  <c r="AU217" i="3"/>
  <c r="AU334" i="3"/>
  <c r="AU205" i="3"/>
  <c r="AU422" i="3"/>
  <c r="AU219" i="3"/>
  <c r="AU132" i="3"/>
  <c r="AU417" i="3"/>
  <c r="AU138" i="3"/>
  <c r="AU177" i="3"/>
  <c r="AU484" i="3"/>
  <c r="AU341" i="3"/>
  <c r="AU336" i="3"/>
  <c r="AU323" i="3"/>
  <c r="AU201" i="3"/>
  <c r="AU326" i="3"/>
  <c r="AU74" i="3"/>
  <c r="AU321" i="3"/>
  <c r="AU235" i="3"/>
  <c r="AU227" i="3"/>
  <c r="AU232" i="3"/>
  <c r="AU145" i="3"/>
  <c r="AU410" i="3"/>
  <c r="AU126" i="3"/>
  <c r="AU19" i="3"/>
  <c r="AU49" i="3"/>
  <c r="AU371" i="3"/>
  <c r="AU289" i="3"/>
  <c r="AU135" i="3"/>
  <c r="AU159" i="3"/>
  <c r="AU130" i="3"/>
  <c r="AU133" i="3"/>
  <c r="AU202" i="3"/>
  <c r="AU185" i="3"/>
  <c r="AU184" i="3"/>
  <c r="AU123" i="3"/>
  <c r="AU327" i="3"/>
  <c r="AU120" i="3"/>
  <c r="AU294" i="3"/>
  <c r="AU353" i="3"/>
  <c r="AU382" i="3"/>
  <c r="AU76" i="3"/>
  <c r="AU137" i="3"/>
  <c r="AU174" i="3"/>
  <c r="AU211" i="3"/>
  <c r="AU331" i="3"/>
  <c r="AU215" i="3"/>
  <c r="AU415" i="3"/>
  <c r="AU363" i="3"/>
  <c r="AU228" i="3"/>
  <c r="AU43" i="3"/>
  <c r="AU200" i="3"/>
  <c r="AU359" i="3"/>
  <c r="AU475" i="3"/>
  <c r="AU395" i="3"/>
  <c r="AU187" i="3"/>
  <c r="AU293" i="3"/>
  <c r="AU309" i="3"/>
  <c r="AU111" i="3"/>
  <c r="AU144" i="3"/>
  <c r="AU405" i="3"/>
  <c r="AU149" i="3"/>
  <c r="AU463" i="3"/>
  <c r="AU342" i="3"/>
  <c r="AU197" i="3"/>
  <c r="AU428" i="3"/>
  <c r="AU316" i="3"/>
  <c r="AU435" i="3"/>
  <c r="AU280" i="3"/>
  <c r="AU210" i="3"/>
  <c r="AU462" i="3"/>
  <c r="AU370" i="3"/>
  <c r="AU257" i="3"/>
  <c r="AU355" i="3"/>
  <c r="AU79" i="3"/>
  <c r="AU206" i="3"/>
  <c r="AU350" i="3"/>
  <c r="AU413" i="3"/>
  <c r="AU220" i="3"/>
  <c r="AU401" i="3"/>
  <c r="AU453" i="3"/>
  <c r="AU346" i="3"/>
  <c r="AU407" i="3"/>
  <c r="AU282" i="3"/>
  <c r="AU461" i="3"/>
  <c r="AU414" i="3"/>
  <c r="AU434" i="3"/>
  <c r="AU469" i="3"/>
  <c r="AU212" i="3"/>
  <c r="AU392" i="3"/>
  <c r="AU240" i="3"/>
  <c r="AU167" i="3"/>
  <c r="AU222" i="3"/>
  <c r="AU148" i="3"/>
  <c r="AU304" i="3"/>
  <c r="AU131" i="3"/>
  <c r="AU439" i="3"/>
  <c r="AU377" i="3"/>
  <c r="AU360" i="3"/>
  <c r="AU20" i="3"/>
  <c r="AU6" i="3"/>
  <c r="AU423" i="3"/>
  <c r="AU214" i="3"/>
  <c r="AU438" i="3"/>
  <c r="AU300" i="3"/>
  <c r="AU397" i="3"/>
  <c r="AU204" i="3"/>
  <c r="AU302" i="3"/>
  <c r="AU319" i="3"/>
  <c r="AU12" i="3"/>
  <c r="AU128" i="3"/>
  <c r="AU383" i="3"/>
  <c r="AU180" i="3"/>
  <c r="AU468" i="3"/>
  <c r="AU367" i="3"/>
  <c r="AU455" i="3"/>
  <c r="AU459" i="3"/>
  <c r="AU191" i="3"/>
  <c r="AU406" i="3"/>
  <c r="AU366" i="3"/>
  <c r="AU328" i="3"/>
  <c r="AU163" i="3"/>
  <c r="AU256" i="3"/>
  <c r="AU375" i="3"/>
  <c r="AU264" i="3"/>
  <c r="AU207" i="3"/>
  <c r="AU283" i="3"/>
  <c r="AU26" i="3"/>
  <c r="AU388" i="3"/>
  <c r="AU265" i="3"/>
  <c r="AU416" i="3"/>
  <c r="AU276" i="3"/>
  <c r="AU230" i="3"/>
  <c r="AU50" i="3"/>
  <c r="AU24" i="3"/>
  <c r="AU153" i="3"/>
  <c r="AU311" i="3"/>
  <c r="AU430" i="3"/>
  <c r="AU224" i="3"/>
  <c r="AU286" i="3"/>
  <c r="AU238" i="3"/>
  <c r="AU259" i="3"/>
  <c r="AU400" i="3"/>
  <c r="AU104" i="3"/>
  <c r="AU77" i="3"/>
  <c r="AU421" i="3"/>
  <c r="AU51" i="3"/>
  <c r="AU352" i="3"/>
  <c r="AU97" i="3"/>
  <c r="AU176" i="3"/>
  <c r="AU314" i="3"/>
  <c r="AU186" i="3"/>
  <c r="AU231" i="3"/>
  <c r="AU155" i="3"/>
  <c r="AU384" i="3"/>
  <c r="AU203" i="3"/>
  <c r="AU476" i="3"/>
  <c r="AU372" i="3"/>
  <c r="AU75" i="3"/>
  <c r="AU241" i="3"/>
  <c r="AU193" i="3"/>
  <c r="AU291" i="3"/>
  <c r="AU136" i="3"/>
  <c r="AU100" i="3"/>
  <c r="AU329" i="3"/>
  <c r="AU290" i="3"/>
  <c r="AU315" i="3"/>
  <c r="AU127" i="3"/>
  <c r="AU81" i="3"/>
  <c r="AU260" i="3"/>
  <c r="AU93" i="3"/>
  <c r="AU340" i="3"/>
  <c r="AU90" i="3"/>
  <c r="AU182" i="3"/>
  <c r="AU436" i="3"/>
  <c r="AU157" i="3"/>
  <c r="AU412" i="3"/>
  <c r="AU249" i="3"/>
  <c r="AU308" i="3"/>
  <c r="AU474" i="3"/>
  <c r="AU158" i="3"/>
  <c r="AU354" i="3"/>
  <c r="AU162" i="3"/>
  <c r="AU258" i="3"/>
  <c r="AU80" i="3"/>
  <c r="AU464" i="3"/>
  <c r="AU391" i="3"/>
  <c r="AU386" i="3"/>
  <c r="AU424" i="3"/>
  <c r="AU399" i="3"/>
  <c r="AU437" i="3"/>
  <c r="AU225" i="3"/>
  <c r="AU226" i="3"/>
  <c r="AU52" i="3"/>
  <c r="AU13" i="3"/>
  <c r="AU223" i="3"/>
  <c r="AU465" i="3"/>
  <c r="AU387" i="3"/>
  <c r="AU124" i="3"/>
  <c r="AU239" i="3"/>
  <c r="AU261" i="3"/>
  <c r="AU433" i="3"/>
  <c r="AU467" i="3"/>
  <c r="AU172" i="3"/>
  <c r="AU361" i="3"/>
  <c r="AU470" i="3"/>
  <c r="AU213" i="3"/>
  <c r="AU125" i="3"/>
  <c r="AU277" i="3"/>
  <c r="AU35" i="3"/>
  <c r="AU179" i="3"/>
  <c r="AU175" i="3"/>
  <c r="AU448" i="3"/>
  <c r="AU14" i="3"/>
  <c r="V444" i="5"/>
  <c r="S342" i="5"/>
  <c r="S452" i="5"/>
  <c r="S15" i="5"/>
  <c r="V446" i="5"/>
  <c r="V411" i="5"/>
  <c r="V32" i="5"/>
  <c r="V430" i="5"/>
  <c r="S333" i="5"/>
  <c r="S154" i="5"/>
  <c r="S8" i="5"/>
  <c r="V335" i="5"/>
  <c r="V316" i="5"/>
  <c r="S231" i="5"/>
  <c r="P67" i="5"/>
  <c r="V508" i="5"/>
  <c r="S448" i="5"/>
  <c r="V432" i="5"/>
  <c r="S192" i="5"/>
  <c r="S107" i="5"/>
  <c r="S246" i="5"/>
  <c r="V134" i="5"/>
  <c r="V130" i="5"/>
  <c r="S205" i="5"/>
  <c r="V320" i="5"/>
  <c r="V445" i="5"/>
  <c r="S424" i="5"/>
  <c r="S65" i="5"/>
  <c r="V88" i="5"/>
  <c r="S321" i="5"/>
  <c r="V151" i="5"/>
  <c r="S419" i="5"/>
  <c r="S51" i="5"/>
  <c r="V366" i="5"/>
  <c r="S307" i="5"/>
  <c r="S220" i="5"/>
  <c r="S480" i="5"/>
  <c r="V345" i="5"/>
  <c r="V437" i="5"/>
  <c r="V315" i="5"/>
  <c r="V78" i="5"/>
  <c r="V74" i="5"/>
  <c r="V428" i="5"/>
  <c r="S362" i="5"/>
  <c r="S314" i="5"/>
  <c r="V414" i="5"/>
  <c r="S409" i="5"/>
  <c r="S226" i="5"/>
  <c r="S238" i="5"/>
  <c r="S60" i="5"/>
  <c r="S216" i="5"/>
  <c r="S410" i="5"/>
  <c r="V36" i="5"/>
  <c r="V404" i="5"/>
  <c r="S503" i="5"/>
  <c r="V309" i="5"/>
  <c r="V434" i="5"/>
  <c r="AU18" i="3" l="1"/>
  <c r="AU16" i="3"/>
  <c r="AU454" i="3"/>
  <c r="U63" i="5"/>
  <c r="S63" i="5"/>
  <c r="V203" i="5"/>
  <c r="S282" i="5"/>
  <c r="S193" i="5"/>
  <c r="V470" i="5"/>
  <c r="S277" i="5"/>
  <c r="V210" i="5"/>
  <c r="V381" i="5"/>
  <c r="S230" i="5"/>
  <c r="V156" i="5"/>
  <c r="V376" i="5"/>
  <c r="V348" i="5"/>
  <c r="V369" i="5"/>
  <c r="V464" i="5"/>
  <c r="V495" i="5"/>
  <c r="V141" i="5"/>
  <c r="S250" i="5"/>
  <c r="S500" i="5"/>
  <c r="V192" i="5"/>
  <c r="V8" i="5"/>
  <c r="S245" i="5"/>
  <c r="S177" i="5"/>
  <c r="V342" i="5"/>
  <c r="S92" i="5"/>
  <c r="S47" i="5"/>
  <c r="S242" i="5"/>
  <c r="S259" i="5"/>
  <c r="V220" i="5"/>
  <c r="V333" i="5"/>
  <c r="S340" i="5"/>
  <c r="S16" i="5"/>
  <c r="S263" i="5"/>
  <c r="S477" i="5"/>
  <c r="S293" i="5"/>
  <c r="V419" i="5"/>
  <c r="S509" i="5"/>
  <c r="V321" i="5"/>
  <c r="S262" i="5"/>
  <c r="S297" i="5"/>
  <c r="S356" i="5"/>
  <c r="S261" i="5"/>
  <c r="S334" i="5"/>
  <c r="V429" i="5"/>
  <c r="V284" i="5"/>
  <c r="S224" i="5"/>
  <c r="V30" i="5"/>
  <c r="V50" i="5"/>
  <c r="V352" i="5"/>
  <c r="V72" i="5"/>
  <c r="V184" i="5"/>
  <c r="V117" i="5"/>
  <c r="V417" i="5"/>
  <c r="V266" i="5"/>
  <c r="S142" i="5"/>
  <c r="V257" i="5"/>
  <c r="V292" i="5"/>
  <c r="V212" i="5"/>
  <c r="S241" i="5"/>
  <c r="S382" i="5"/>
  <c r="V178" i="5"/>
  <c r="V237" i="5"/>
  <c r="V493" i="5"/>
  <c r="S221" i="5"/>
  <c r="S358" i="5"/>
  <c r="S48" i="5"/>
  <c r="V416" i="5"/>
  <c r="V159" i="5"/>
  <c r="V21" i="5"/>
  <c r="V474" i="5"/>
  <c r="V68" i="5"/>
  <c r="V206" i="5"/>
  <c r="S385" i="5"/>
  <c r="V60" i="5"/>
  <c r="V452" i="5"/>
  <c r="V238" i="5"/>
  <c r="V362" i="5"/>
  <c r="S264" i="5"/>
  <c r="S46" i="5"/>
  <c r="V51" i="5"/>
  <c r="S296" i="5"/>
  <c r="S343" i="5"/>
  <c r="V503" i="5"/>
  <c r="V226" i="5"/>
  <c r="S370" i="5"/>
  <c r="S108" i="5"/>
  <c r="V307" i="5"/>
  <c r="V231" i="5"/>
  <c r="V154" i="5"/>
  <c r="S94" i="5"/>
  <c r="S199" i="5"/>
  <c r="S91" i="5"/>
  <c r="S380" i="5"/>
  <c r="S472" i="5"/>
  <c r="V246" i="5"/>
  <c r="V15" i="5"/>
  <c r="S285" i="5"/>
  <c r="S70" i="5"/>
  <c r="V329" i="5"/>
  <c r="S75" i="5"/>
  <c r="S187" i="5"/>
  <c r="V303" i="5"/>
  <c r="V489" i="5"/>
  <c r="V387" i="5"/>
  <c r="V476" i="5"/>
  <c r="V412" i="5"/>
  <c r="V22" i="5"/>
  <c r="S143" i="5"/>
  <c r="V507" i="5"/>
  <c r="S123" i="5"/>
  <c r="S323" i="5"/>
  <c r="S34" i="5"/>
  <c r="S389" i="5"/>
  <c r="V410" i="5"/>
  <c r="V480" i="5"/>
  <c r="V424" i="5"/>
  <c r="S491" i="5"/>
  <c r="S202" i="5"/>
  <c r="V216" i="5"/>
  <c r="S26" i="5"/>
  <c r="S98" i="5"/>
  <c r="V409" i="5"/>
  <c r="V314" i="5"/>
  <c r="S386" i="5"/>
  <c r="S62" i="5"/>
  <c r="S332" i="5"/>
  <c r="S504" i="5"/>
  <c r="V65" i="5"/>
  <c r="V205" i="5"/>
  <c r="V107" i="5"/>
  <c r="V448" i="5"/>
  <c r="S84" i="5"/>
  <c r="S23" i="5"/>
  <c r="S186" i="5"/>
  <c r="V273" i="5"/>
  <c r="S240" i="5"/>
  <c r="S461" i="5"/>
  <c r="V97" i="5"/>
  <c r="V339" i="5"/>
  <c r="V274" i="5"/>
  <c r="S183" i="5"/>
  <c r="S338" i="5"/>
  <c r="V279" i="5"/>
  <c r="V392" i="5"/>
  <c r="S80" i="5"/>
  <c r="V354" i="5"/>
  <c r="V505" i="5"/>
  <c r="S252" i="5"/>
  <c r="S248" i="5"/>
  <c r="S344" i="5"/>
  <c r="S449" i="5"/>
  <c r="S234" i="5"/>
  <c r="S256" i="5"/>
  <c r="V283" i="5"/>
  <c r="S317" i="5"/>
  <c r="V400" i="5"/>
  <c r="V327" i="5"/>
  <c r="V255" i="5"/>
  <c r="V355" i="5"/>
  <c r="V170" i="5"/>
  <c r="V456" i="5"/>
  <c r="S179" i="5"/>
  <c r="S363" i="5"/>
  <c r="V208" i="5"/>
  <c r="V506" i="5"/>
  <c r="V426" i="5"/>
  <c r="S105" i="5"/>
  <c r="S501" i="5"/>
  <c r="V111" i="5"/>
  <c r="V31" i="5"/>
  <c r="V438" i="5"/>
  <c r="S56" i="5"/>
  <c r="V511" i="5"/>
  <c r="V104" i="5"/>
  <c r="V481" i="5"/>
  <c r="S268" i="5"/>
  <c r="V146" i="5"/>
  <c r="S471" i="5"/>
  <c r="V200" i="5"/>
  <c r="V420" i="5"/>
  <c r="S11" i="5"/>
  <c r="V390" i="5"/>
  <c r="S254" i="5"/>
  <c r="V440" i="5"/>
  <c r="V467" i="5"/>
  <c r="V475" i="5"/>
  <c r="S286" i="5"/>
  <c r="V139" i="5"/>
  <c r="V346" i="5"/>
  <c r="V19" i="5"/>
  <c r="V443" i="5"/>
  <c r="V322" i="5"/>
  <c r="V40" i="5"/>
  <c r="V99" i="5"/>
  <c r="V133" i="5"/>
  <c r="V267" i="5"/>
  <c r="S138" i="5"/>
  <c r="V374" i="5"/>
  <c r="V63" i="5" l="1"/>
  <c r="V363" i="5"/>
  <c r="V234" i="5"/>
  <c r="V34" i="5"/>
  <c r="V143" i="5"/>
  <c r="V472" i="5"/>
  <c r="V94" i="5"/>
  <c r="V108" i="5"/>
  <c r="V46" i="5"/>
  <c r="V382" i="5"/>
  <c r="V263" i="5"/>
  <c r="V259" i="5"/>
  <c r="V193" i="5"/>
  <c r="V317" i="5"/>
  <c r="V138" i="5"/>
  <c r="V11" i="5"/>
  <c r="V449" i="5"/>
  <c r="V504" i="5"/>
  <c r="V70" i="5"/>
  <c r="V221" i="5"/>
  <c r="S69" i="5"/>
  <c r="V356" i="5"/>
  <c r="V509" i="5"/>
  <c r="V344" i="5"/>
  <c r="V186" i="5"/>
  <c r="V332" i="5"/>
  <c r="V323" i="5"/>
  <c r="V380" i="5"/>
  <c r="V343" i="5"/>
  <c r="V241" i="5"/>
  <c r="V242" i="5"/>
  <c r="V177" i="5"/>
  <c r="V500" i="5"/>
  <c r="V338" i="5"/>
  <c r="V187" i="5"/>
  <c r="V285" i="5"/>
  <c r="V370" i="5"/>
  <c r="V264" i="5"/>
  <c r="V297" i="5"/>
  <c r="V282" i="5"/>
  <c r="V56" i="5"/>
  <c r="V183" i="5"/>
  <c r="V202" i="5"/>
  <c r="V123" i="5"/>
  <c r="V385" i="5"/>
  <c r="V48" i="5"/>
  <c r="V334" i="5"/>
  <c r="V262" i="5"/>
  <c r="V293" i="5"/>
  <c r="V16" i="5"/>
  <c r="V245" i="5"/>
  <c r="V277" i="5"/>
  <c r="V268" i="5"/>
  <c r="V179" i="5"/>
  <c r="V256" i="5"/>
  <c r="V248" i="5"/>
  <c r="V80" i="5"/>
  <c r="V461" i="5"/>
  <c r="V23" i="5"/>
  <c r="V62" i="5"/>
  <c r="V98" i="5"/>
  <c r="V91" i="5"/>
  <c r="V286" i="5"/>
  <c r="V254" i="5"/>
  <c r="V501" i="5"/>
  <c r="V75" i="5"/>
  <c r="V296" i="5"/>
  <c r="V142" i="5"/>
  <c r="S67" i="5"/>
  <c r="V47" i="5"/>
  <c r="V250" i="5"/>
  <c r="V240" i="5"/>
  <c r="V386" i="5"/>
  <c r="V26" i="5"/>
  <c r="V389" i="5"/>
  <c r="V224" i="5"/>
  <c r="V261" i="5"/>
  <c r="V477" i="5"/>
  <c r="V340" i="5"/>
  <c r="V92" i="5"/>
  <c r="V471" i="5"/>
  <c r="V105" i="5"/>
  <c r="V252" i="5"/>
  <c r="V84" i="5"/>
  <c r="V491" i="5"/>
  <c r="V199" i="5"/>
  <c r="V358" i="5"/>
  <c r="V230" i="5"/>
  <c r="V69" i="5" l="1"/>
  <c r="V67" i="5"/>
  <c r="L372" i="5"/>
  <c r="P372" i="5"/>
  <c r="P513" i="5" s="1"/>
  <c r="AV251" i="4" l="1"/>
  <c r="L513" i="5"/>
  <c r="AV149" i="4"/>
  <c r="AV259" i="4"/>
  <c r="AV137" i="4"/>
  <c r="AV48" i="4"/>
  <c r="S372" i="5"/>
  <c r="AV318" i="4"/>
  <c r="AV304" i="4"/>
  <c r="AV230" i="4"/>
  <c r="AV430" i="4"/>
  <c r="AV322" i="4"/>
  <c r="AV240" i="4"/>
  <c r="AV320" i="4"/>
  <c r="AV272" i="4"/>
  <c r="AV427" i="4"/>
  <c r="AV428" i="4"/>
  <c r="AV326" i="4"/>
  <c r="AV310" i="4"/>
  <c r="AV187" i="4"/>
  <c r="AV233" i="4"/>
  <c r="AV269" i="4"/>
  <c r="AV231" i="4"/>
  <c r="AV175" i="4"/>
  <c r="AV267" i="4"/>
  <c r="AV305" i="4"/>
  <c r="AV189" i="4"/>
  <c r="AV343" i="4"/>
  <c r="AV188" i="4"/>
  <c r="AV303" i="4"/>
  <c r="AV340" i="4"/>
  <c r="AV255" i="4"/>
  <c r="AV266" i="4"/>
  <c r="AV253" i="4"/>
  <c r="AV45" i="4"/>
  <c r="AV261" i="4"/>
  <c r="AV321" i="4"/>
  <c r="AV338" i="4"/>
  <c r="AV331" i="4"/>
  <c r="AV190" i="4"/>
  <c r="AV41" i="4"/>
  <c r="AV330" i="4"/>
  <c r="AV224" i="4"/>
  <c r="AV243" i="4"/>
  <c r="AV317" i="4"/>
  <c r="AV339" i="4"/>
  <c r="AV222" i="4"/>
  <c r="AV241" i="4"/>
  <c r="AV315" i="4"/>
  <c r="AV260" i="4"/>
  <c r="AV314" i="4"/>
  <c r="AV264" i="4"/>
  <c r="AV334" i="4"/>
  <c r="AV342" i="4"/>
  <c r="AV242" i="4"/>
  <c r="AV327" i="4"/>
  <c r="AV329" i="4"/>
  <c r="AV429" i="4"/>
  <c r="AV257" i="4"/>
  <c r="AV237" i="4"/>
  <c r="AV294" i="4"/>
  <c r="AV268" i="4"/>
  <c r="AV328" i="4"/>
  <c r="AV431" i="4"/>
  <c r="AV234" i="4"/>
  <c r="AV49" i="4"/>
  <c r="AV232" i="4"/>
  <c r="AV309" i="4"/>
  <c r="AV302" i="4"/>
  <c r="AV319" i="4"/>
  <c r="AV265" i="4"/>
  <c r="AV336" i="4"/>
  <c r="AV170" i="4"/>
  <c r="AV140" i="4"/>
  <c r="AV236" i="4"/>
  <c r="AV254" i="4"/>
  <c r="AV258" i="4"/>
  <c r="AV274" i="4"/>
  <c r="AV262" i="4"/>
  <c r="AV250" i="4"/>
  <c r="AV154" i="4"/>
  <c r="AV235" i="4"/>
  <c r="AV344" i="4"/>
  <c r="AV145" i="4"/>
  <c r="AV335" i="4"/>
  <c r="AV426" i="4"/>
  <c r="AV252" i="4"/>
  <c r="V372" i="5" l="1"/>
  <c r="V513" i="5" s="1"/>
  <c r="S513" i="5"/>
</calcChain>
</file>

<file path=xl/sharedStrings.xml><?xml version="1.0" encoding="utf-8"?>
<sst xmlns="http://schemas.openxmlformats.org/spreadsheetml/2006/main" count="12537" uniqueCount="2084">
  <si>
    <t>VIGENCIA</t>
  </si>
  <si>
    <t>COD_UNIDAD</t>
  </si>
  <si>
    <t>COD_INGRESO</t>
  </si>
  <si>
    <t>COD_RECURSO</t>
  </si>
  <si>
    <t>RUBRO</t>
  </si>
  <si>
    <t>INGRESO</t>
  </si>
  <si>
    <t>NOM_INGRESO</t>
  </si>
  <si>
    <t>NOM_UNIDAD</t>
  </si>
  <si>
    <t>AFORO_INICIAL</t>
  </si>
  <si>
    <t>AFORO_INICIAL_P</t>
  </si>
  <si>
    <t>ADICIONES</t>
  </si>
  <si>
    <t>REDUCCIONES</t>
  </si>
  <si>
    <t>MODIFICACIONES</t>
  </si>
  <si>
    <t>P_ADICIONES</t>
  </si>
  <si>
    <t>P_REDUCCIONES</t>
  </si>
  <si>
    <t>AFORO_DEFINITIVO</t>
  </si>
  <si>
    <t>ADICION_DXC</t>
  </si>
  <si>
    <t>REDUCCION_DXC</t>
  </si>
  <si>
    <t>TOTAL_DXC</t>
  </si>
  <si>
    <t>ADICION_PAPEL</t>
  </si>
  <si>
    <t>REDUCCION_PAPEL</t>
  </si>
  <si>
    <t>INGRESOS_PAPEL</t>
  </si>
  <si>
    <t>ADICION_EFECTIVO</t>
  </si>
  <si>
    <t>REDUCCION_EFECTIVO</t>
  </si>
  <si>
    <t>INGRESO_EFECTIVO</t>
  </si>
  <si>
    <t>P_ADICION_DXC</t>
  </si>
  <si>
    <t>P_REDUCCION_DXC</t>
  </si>
  <si>
    <t>P_TOTAL_DXC</t>
  </si>
  <si>
    <t>P_ADICION_PAPEL</t>
  </si>
  <si>
    <t>P_REDUCCION_PAPEL</t>
  </si>
  <si>
    <t>P_INGRESOS_PAPEL</t>
  </si>
  <si>
    <t>P_ADICION_EFECTIVO</t>
  </si>
  <si>
    <t>P_REDUCCION_EFECTIVO</t>
  </si>
  <si>
    <t>P_INGRESO_EFECTIVO</t>
  </si>
  <si>
    <t>TOTAL_INGRESO_P</t>
  </si>
  <si>
    <t>INGRESO_NT</t>
  </si>
  <si>
    <t>INGRESO_NT_P</t>
  </si>
  <si>
    <t>ING_TESORAL</t>
  </si>
  <si>
    <t>ADD_ING_TESORAL</t>
  </si>
  <si>
    <t>RED_ING_TESORAL</t>
  </si>
  <si>
    <t>P_ING_TESORAL</t>
  </si>
  <si>
    <t>P_ADD_ING_TESORAL</t>
  </si>
  <si>
    <t>P_RED_ING_TESORAL</t>
  </si>
  <si>
    <t>NOM_RECURSO</t>
  </si>
  <si>
    <t xml:space="preserve"> </t>
  </si>
  <si>
    <t>0307 - 1</t>
  </si>
  <si>
    <t>Ingresos</t>
  </si>
  <si>
    <t>03-GOBERNACION_x000D_
0307-SECRETARIA DE HACIENDA</t>
  </si>
  <si>
    <t>** NULL **</t>
  </si>
  <si>
    <t>0307 - 11</t>
  </si>
  <si>
    <t>Ingresos Corrientes</t>
  </si>
  <si>
    <t>0307 - 1101</t>
  </si>
  <si>
    <t>Ingresos tributarios</t>
  </si>
  <si>
    <t>0307 - 110101</t>
  </si>
  <si>
    <t>Impuestos directos</t>
  </si>
  <si>
    <t>0307 - 110101100 - 20</t>
  </si>
  <si>
    <t>Impuesto sobre vehículos automotores</t>
  </si>
  <si>
    <t>RECURSO ORDINARIO</t>
  </si>
  <si>
    <t>0307 - 110102</t>
  </si>
  <si>
    <t>Impuestos indirectos</t>
  </si>
  <si>
    <t>0307 - 110102100</t>
  </si>
  <si>
    <t>Impuesto de Registro</t>
  </si>
  <si>
    <t>0307 - 11010210001 - 01</t>
  </si>
  <si>
    <t>Impuesto de Registro - Cámaras de Comercio</t>
  </si>
  <si>
    <t>IMPUESTO AL REGISTRO 20% FONPET</t>
  </si>
  <si>
    <t>0307 - 11010210001 - 13</t>
  </si>
  <si>
    <t>IMPUESTO AL REGISTRO CUOTAS PARTES Y BONOS DEL 10%</t>
  </si>
  <si>
    <t>0307 - 11010210001 - 20</t>
  </si>
  <si>
    <t>0307 - 11010210001 - 52</t>
  </si>
  <si>
    <t>TURISMO Y CULTURA 4%</t>
  </si>
  <si>
    <t>0307 - 11010210001 - 53</t>
  </si>
  <si>
    <t>IMPUESTO AL  REGISTRO PROMOTORA 6%</t>
  </si>
  <si>
    <t>0307 - 11010210002 - 01</t>
  </si>
  <si>
    <t>Impuesto de Registro - Oficinas de Instrumentos Públicos</t>
  </si>
  <si>
    <t>0307 - 11010210002 - 13</t>
  </si>
  <si>
    <t>0307 - 11010210002 - 20</t>
  </si>
  <si>
    <t>0307 - 11010210002 - 52</t>
  </si>
  <si>
    <t>0307 - 11010210002 - 53</t>
  </si>
  <si>
    <t>0307 - 110102102 - 20</t>
  </si>
  <si>
    <t>Impuesto al degüello de ganado mayor</t>
  </si>
  <si>
    <t>0307 - 110102103</t>
  </si>
  <si>
    <t>IVA sobre licores, vinos, aperitivos y similares (régimen anterior)</t>
  </si>
  <si>
    <t>0307 - 11010210302</t>
  </si>
  <si>
    <t>0307 - 1101021030201 - 145</t>
  </si>
  <si>
    <t>IMPUESTO AL CONSUMO DEL 3%</t>
  </si>
  <si>
    <t>0307 - 110102104</t>
  </si>
  <si>
    <t>Impuesto al consumo de licores, vinos, aperitivos y similares</t>
  </si>
  <si>
    <t>0307 - 11010210401</t>
  </si>
  <si>
    <t>Impuesto al consumo de licores</t>
  </si>
  <si>
    <t>0307 - 1101021040101 - 20</t>
  </si>
  <si>
    <t>Impuesto al consumo de licores - Nacionales</t>
  </si>
  <si>
    <t>0307 - 1101021040102 - 20</t>
  </si>
  <si>
    <t>Impuesto al consumo de licores - Extranjeros</t>
  </si>
  <si>
    <t>0307 - 11010210402</t>
  </si>
  <si>
    <t>Impuesto al consumo de vinos, aperitivos y similares</t>
  </si>
  <si>
    <t>0307 - 1101021040201 - 20</t>
  </si>
  <si>
    <t>Impuesto al consumo de vinos, aperitivos y similares - Nacionales</t>
  </si>
  <si>
    <t>0307 - 1101021040202 - 20</t>
  </si>
  <si>
    <t>Impuesto al consumo de vinos, aperitivos y similares - Extranjeros</t>
  </si>
  <si>
    <t>0307 - 110102105</t>
  </si>
  <si>
    <t>Impuesto al consumo de cervezas, sifones, refajos y mezclas</t>
  </si>
  <si>
    <t>0307 - 11010210501 - 20</t>
  </si>
  <si>
    <t>Impuesto al consumo de cervezas, sifones, refajos y mezclas - Nacionales</t>
  </si>
  <si>
    <t>0307 - 11010210502 - 20</t>
  </si>
  <si>
    <t>Impuesto al consumo de cervezas, sifones, refajos y mezclas - Extranjeras</t>
  </si>
  <si>
    <t>0307 - 110102106</t>
  </si>
  <si>
    <t>Impuesto al consumo de cigarrillos y tabaco</t>
  </si>
  <si>
    <t>0307 - 11010210601</t>
  </si>
  <si>
    <t>Componente específico del impuesto al consumo de cigarrillos y tabaco</t>
  </si>
  <si>
    <t>0307 - 1101021060102 - 20</t>
  </si>
  <si>
    <t>Componente específico del impuesto al consumo de cigarrillos y tabaco - Extranjeros</t>
  </si>
  <si>
    <t>0307 - 110102109 - 20</t>
  </si>
  <si>
    <t xml:space="preserve">Sobretasa a la gasolina </t>
  </si>
  <si>
    <t>0307 - 110102213 - 42</t>
  </si>
  <si>
    <t>Sobretasa fondo de Seguridad</t>
  </si>
  <si>
    <t>FONDOS DE SEGURIDAD 5%</t>
  </si>
  <si>
    <t>0307 - 110102300</t>
  </si>
  <si>
    <t>Estampillas</t>
  </si>
  <si>
    <t>0307 - 11010230001 - 06</t>
  </si>
  <si>
    <t>Estampilla para el bienestar del adulto mayor</t>
  </si>
  <si>
    <t>ESTAMPILLA PROADULTO MAYOR</t>
  </si>
  <si>
    <t>0307 - 11010230001 - 178</t>
  </si>
  <si>
    <t>ESTAMPILLA PRO-ADULTO MAYOR (20%) PENSIONES</t>
  </si>
  <si>
    <t>0307 - 11010230002 - 04</t>
  </si>
  <si>
    <t>Estampilla pro desarrollo departamental</t>
  </si>
  <si>
    <t>ESTAMPILLA PRODESARROLLO</t>
  </si>
  <si>
    <t>0307 - 11010230002 - 176</t>
  </si>
  <si>
    <t>ESTAMPILLA PRO-DESARROLLO (20%) PENSIONES</t>
  </si>
  <si>
    <t>0307 - 11010230002 - 177</t>
  </si>
  <si>
    <t>ESTAMPILLA PRO-DESARROLLO (15%) INFRAESTRUCTURA SA</t>
  </si>
  <si>
    <t>0307 - 11010230045 - 08</t>
  </si>
  <si>
    <t>Estampilla pro Hospital Departamental Universitario del Quindío San Juan de Dios</t>
  </si>
  <si>
    <t>ESTAMPILLA PROHOSPITAL SAN JUNA DE DIOS</t>
  </si>
  <si>
    <t>0307 - 11010230055 - 05</t>
  </si>
  <si>
    <t>Estampilla pro cultura</t>
  </si>
  <si>
    <t>ESTAMPILLA PROCULTURA</t>
  </si>
  <si>
    <t>0307 - 11010230055 - 33</t>
  </si>
  <si>
    <t>ESTAMPILLA PRO-CULTURA 10% SEGURIDAD SOCIAL</t>
  </si>
  <si>
    <t>0307 - 11010230055 - 34</t>
  </si>
  <si>
    <t>ESTAMPILLA PRO-CULTURA 10% BIBLIOTECAS</t>
  </si>
  <si>
    <t>0307 - 11010230055 - 39</t>
  </si>
  <si>
    <t>ESTAMPILLA PRO-CULTURA 50% CONCERTACION</t>
  </si>
  <si>
    <t>0307 - 11010230055 - 41</t>
  </si>
  <si>
    <t>ESTAMPILLA PRO-CULTRA 10% ESTIMULOS</t>
  </si>
  <si>
    <t>0307 - 1102</t>
  </si>
  <si>
    <t>Ingresos no tributarios</t>
  </si>
  <si>
    <t>0307 - 110201</t>
  </si>
  <si>
    <t>Contribuciones</t>
  </si>
  <si>
    <t>0307 - 110201003</t>
  </si>
  <si>
    <t>Contribuciones especiales</t>
  </si>
  <si>
    <t>0307 - 11020100301</t>
  </si>
  <si>
    <t>Cuota de fiscalización y auditaje</t>
  </si>
  <si>
    <t>0307 - 1102010030100</t>
  </si>
  <si>
    <t>0307 - 110201003010000</t>
  </si>
  <si>
    <t>0307 - 11020100301000000</t>
  </si>
  <si>
    <t>0307 - 1102010030100000000</t>
  </si>
  <si>
    <t>0307 - 110201003010000000000111116300001859 - 18</t>
  </si>
  <si>
    <t>E.S.P. Empresa Sanitaria del Quindío S.A.</t>
  </si>
  <si>
    <t>CUOTAS DE FISCALIZACION</t>
  </si>
  <si>
    <t>0307 - 110201003010000000000111116300002928 - 18</t>
  </si>
  <si>
    <t>Lotería del Quindío E.I.C.E.</t>
  </si>
  <si>
    <t>0307 - 110201003010000000000111126300101002 - 18</t>
  </si>
  <si>
    <t>E.S.E. Hospital San Juan de Dios - Armenia</t>
  </si>
  <si>
    <t>0307 - 110201003010000000000111126313000907 - 18</t>
  </si>
  <si>
    <t>E.S.E. Hospital La Misericordia - Calarcá</t>
  </si>
  <si>
    <t>0307 - 110201003010000000000111126327201301 - 18</t>
  </si>
  <si>
    <t>E.S.E. Hospital Mental - Filandia</t>
  </si>
  <si>
    <t>0307 - 110201003010000000000322116300002621 - 18</t>
  </si>
  <si>
    <t>Instituto Departamental de Deporte y Recreación del Quindío</t>
  </si>
  <si>
    <t>0307 - 110201003010000000000322116300002635 - 18</t>
  </si>
  <si>
    <t>Instituto Departamental de Tránsito del Quindío</t>
  </si>
  <si>
    <t>0307 - 110201003010000000000322116300003197 - 18</t>
  </si>
  <si>
    <t>Promotora de Vivienda y Desarrollo del Quindío</t>
  </si>
  <si>
    <t>0307 - 110201003010000000000322116300003697 - 18</t>
  </si>
  <si>
    <t>Universidad del Quindío</t>
  </si>
  <si>
    <t>0307 - 110202</t>
  </si>
  <si>
    <t>Tasas y derechos administrativos</t>
  </si>
  <si>
    <t>0307 - 110202101</t>
  </si>
  <si>
    <t>Autorización de manejo de medicamentos de control especial del Estado</t>
  </si>
  <si>
    <t>0307 - 11020210104 - 20</t>
  </si>
  <si>
    <t>0307 - 110202111 - 190</t>
  </si>
  <si>
    <t>Tasa Pro Deporte y Recreacion Departamento del Quindio</t>
  </si>
  <si>
    <t>TASA PRO DEPORTE Y RECREACION DEPARTAMENTO DEL QUI</t>
  </si>
  <si>
    <t>0307 - 110203</t>
  </si>
  <si>
    <t>Multas, sanciones e intereses de mora</t>
  </si>
  <si>
    <t>0307 - 110203001</t>
  </si>
  <si>
    <t>Multas y sanciones</t>
  </si>
  <si>
    <t>0307 - 11020300103 - 20</t>
  </si>
  <si>
    <t>Sanciones disciplinarias</t>
  </si>
  <si>
    <t>0307 - 11020300104 - 20</t>
  </si>
  <si>
    <t>Sanciones contractuales</t>
  </si>
  <si>
    <t>0307 - 11020300105 - 20</t>
  </si>
  <si>
    <t>Sanciones administrativas</t>
  </si>
  <si>
    <t>0307 - 11020300106 - 20</t>
  </si>
  <si>
    <t>Sanciones fiscales</t>
  </si>
  <si>
    <t>0307 - 11020300109 - 20</t>
  </si>
  <si>
    <t>Multas de tránsito y transporte</t>
  </si>
  <si>
    <t>0307 - 11020300111</t>
  </si>
  <si>
    <t>Sanciones tributarias</t>
  </si>
  <si>
    <t>0307 - 1102030011101</t>
  </si>
  <si>
    <t>0307 - 110203001110101</t>
  </si>
  <si>
    <t>0307 - 11020300111010101</t>
  </si>
  <si>
    <t>Ingresos Tributarios</t>
  </si>
  <si>
    <t>0307 - 1102030011101010101</t>
  </si>
  <si>
    <t>0307 - 11020300111010100100110 - 20</t>
  </si>
  <si>
    <t>Impuesto sobre vehículos automotores (Sanciones )</t>
  </si>
  <si>
    <t>0307 - 11020300113 - 20</t>
  </si>
  <si>
    <t>Sanciones sanitarias</t>
  </si>
  <si>
    <t>0307 - 11020300117 - 20</t>
  </si>
  <si>
    <t>Multas y sanciones por infracciones al régimen del monopolio de juegos de suerte y azar</t>
  </si>
  <si>
    <t>0307 - 11020300118 - 20</t>
  </si>
  <si>
    <t>Multas y sanciones por violación al régimen de venta de medicamentos controlados</t>
  </si>
  <si>
    <t>0307 - 110203002</t>
  </si>
  <si>
    <t>Intereses de mora</t>
  </si>
  <si>
    <t>0307 - 11020300201</t>
  </si>
  <si>
    <t>0307 - 1102030020101</t>
  </si>
  <si>
    <t>0307 - 110203002010101</t>
  </si>
  <si>
    <t>0307 - 11020300201010101</t>
  </si>
  <si>
    <t>Impuestos Directos</t>
  </si>
  <si>
    <t>0307 - 110203002010101001100 - 20</t>
  </si>
  <si>
    <t>Impuesto sobre vehículos automotores (Intereses de Mora)</t>
  </si>
  <si>
    <t>0307 - 110205</t>
  </si>
  <si>
    <t>Venta de bienes y servicios</t>
  </si>
  <si>
    <t>0307 - 110205001</t>
  </si>
  <si>
    <t>Ventas de establecimientos de mercado</t>
  </si>
  <si>
    <t>0307 - 11020500109 - 20</t>
  </si>
  <si>
    <t>Servicios para la comunidad, sociales y personales</t>
  </si>
  <si>
    <t>0307 - 110205002</t>
  </si>
  <si>
    <t>Ventas incidentales de establecimientos no de mercado</t>
  </si>
  <si>
    <t>0307 - 11020500207</t>
  </si>
  <si>
    <t>Servicios financieros y servicios conexos, servicios inmobiliarios y servicios de leasing</t>
  </si>
  <si>
    <t>0307 - 1102050020702</t>
  </si>
  <si>
    <t>Servicio Inmobiliario</t>
  </si>
  <si>
    <t>0307 - 110205002070201 - 20</t>
  </si>
  <si>
    <t>Servicion inmobiliarios relativos a bienes raíces propios o arrendados</t>
  </si>
  <si>
    <t>0307 - 11020500208</t>
  </si>
  <si>
    <t>Servicios prestados a las empresas y servicios de producción</t>
  </si>
  <si>
    <t>0307 - 1102050020805</t>
  </si>
  <si>
    <t>Servicio de Soporte</t>
  </si>
  <si>
    <t>0307 - 110205002080505 - 20</t>
  </si>
  <si>
    <t>Servicios de organización de viajes, operadores turísticos y servicios conexos</t>
  </si>
  <si>
    <t>0307 - 110206</t>
  </si>
  <si>
    <t>Transferencias corrientes</t>
  </si>
  <si>
    <t>0307 - 110206001</t>
  </si>
  <si>
    <t>Sistema General de Participaciones</t>
  </si>
  <si>
    <t>0307 - 11020600105 - 27</t>
  </si>
  <si>
    <t>Agua potable y saneamiento básico</t>
  </si>
  <si>
    <t xml:space="preserve">SISTEMA GENERAL DE PARTICIPACIONES AGUA POTABLE Y </t>
  </si>
  <si>
    <t>0307 - 110206003</t>
  </si>
  <si>
    <t>Participaciones distintas del SGP</t>
  </si>
  <si>
    <t>0307 - 11020600301</t>
  </si>
  <si>
    <t>Participación en impuestos</t>
  </si>
  <si>
    <t>0307 - 1102060030110 - 20</t>
  </si>
  <si>
    <t>Participación de la sobretasa al ACPM</t>
  </si>
  <si>
    <t>0307 - 1102060030111 - 47</t>
  </si>
  <si>
    <t>Participación del impuesto nacional al consumo del servicio de telefonía móvil</t>
  </si>
  <si>
    <t xml:space="preserve"> IVA TELEFONIA MOVIL CULTURA</t>
  </si>
  <si>
    <t>0307 - 11020600304</t>
  </si>
  <si>
    <t>Participación en derechos económicos por el uso de recursos naturales</t>
  </si>
  <si>
    <t>0307 - 1102060030401</t>
  </si>
  <si>
    <t>Participación en regalías del régimen anterior</t>
  </si>
  <si>
    <t>0307 - 110206003040103</t>
  </si>
  <si>
    <t>Regalías por hidrocarburos, petróleo y gas</t>
  </si>
  <si>
    <t>0307 - 110206003040103025 - 134</t>
  </si>
  <si>
    <t>Agencia Nacional de Minería</t>
  </si>
  <si>
    <t>EXTRACCION MATERIAL DE RIO MINAS Y OTROS</t>
  </si>
  <si>
    <t>0307 - 110206006</t>
  </si>
  <si>
    <t>Transferencias de otras entidades del gobierno general</t>
  </si>
  <si>
    <t>0307 - 11020600606</t>
  </si>
  <si>
    <t>Otras unidades de gobierno</t>
  </si>
  <si>
    <t>0307 - 1102060060600</t>
  </si>
  <si>
    <t>0307 - 110206006060000</t>
  </si>
  <si>
    <t>0307 - 11020600606000000</t>
  </si>
  <si>
    <t>0307 - 1102060060600000000</t>
  </si>
  <si>
    <t>0307 - 110206006060000000000000000000002990 - 196</t>
  </si>
  <si>
    <t>Ministerio de la Cultura</t>
  </si>
  <si>
    <t>ACTIVIDADES DE PROMOCION Y DESARROLLO DE LA CULTUR</t>
  </si>
  <si>
    <t>0307 - 110206006060000000000111100000002773 - 56</t>
  </si>
  <si>
    <t>Invias, Via Salento</t>
  </si>
  <si>
    <t xml:space="preserve">COFINANCIACION CONVENIOS INTERADMINISTRATIVOS </t>
  </si>
  <si>
    <t>0307 - 110206006060000000000311100000002773 - 56</t>
  </si>
  <si>
    <t>Instituto Nacional de Vías</t>
  </si>
  <si>
    <t>0307 - 110206006060000000000311100000002990 - 201</t>
  </si>
  <si>
    <t>Ministerio de Cutura Convenio 0894-2021 Quindío un corazon para leer</t>
  </si>
  <si>
    <t xml:space="preserve">MINSITERIO DE CULTURA CONV. 0894-2021 </t>
  </si>
  <si>
    <t>0307 - 110206006060000000000322011100002217 - 56</t>
  </si>
  <si>
    <t>Federación Nacional de Departamentos</t>
  </si>
  <si>
    <t>0307 - 110206006060000000000341100000000432 - 138</t>
  </si>
  <si>
    <t>Colpensiones - Fondo de Vejez</t>
  </si>
  <si>
    <t>RETROACTIVOS DE PENSIONES DE VEJEZ</t>
  </si>
  <si>
    <t>0307 - 11020600902</t>
  </si>
  <si>
    <t>Sistema General de Pensiones</t>
  </si>
  <si>
    <t>0307 - 1102060090202</t>
  </si>
  <si>
    <t>Cuotas partes pensionales</t>
  </si>
  <si>
    <t>0307 - 110206009020200</t>
  </si>
  <si>
    <t>0307 - 11020600902020000</t>
  </si>
  <si>
    <t>0307 - 1102060090202000000</t>
  </si>
  <si>
    <t>0307 - 110206009020200000000000000860002964 - 20</t>
  </si>
  <si>
    <t>Banco de Bogotá</t>
  </si>
  <si>
    <t>0307 - 110206009020200000000111116300002928 - 20</t>
  </si>
  <si>
    <t>0307 - 110206009020200000000111116600001460 - 20</t>
  </si>
  <si>
    <t>E.S.E. Hospital Universitario San Jorge - Pereira</t>
  </si>
  <si>
    <t>0307 - 110206009020200000000111117600000963 - 20</t>
  </si>
  <si>
    <t>E.S.E. Hospital San Antonio - Roldanillo (Valle)</t>
  </si>
  <si>
    <t>0307 - 110206009020200000000111126300102187 - 20</t>
  </si>
  <si>
    <t>Empresas Públicas Municipales de Armenia</t>
  </si>
  <si>
    <t>0307 - 110206009020200000000311100000002986 - 20</t>
  </si>
  <si>
    <t>Ministerio de Defensa Nacional</t>
  </si>
  <si>
    <t>0307 - 110206009020200000000311100000003183 - 20</t>
  </si>
  <si>
    <t>Policía Nacional</t>
  </si>
  <si>
    <t>0307 - 110206009020200000000311100000003513 - 20</t>
  </si>
  <si>
    <t>Superintendencia Financiera de Colombia</t>
  </si>
  <si>
    <t>0307 - 110206009020200000000321111700000574 - 20</t>
  </si>
  <si>
    <t>Departamento de Caldas</t>
  </si>
  <si>
    <t>0307 - 110206009020200000000321116600000579 - 20</t>
  </si>
  <si>
    <t>Departamento de Risaralda</t>
  </si>
  <si>
    <t>0307 - 110206009020200000000322116300002635 - 20</t>
  </si>
  <si>
    <t>0307 - 110206009020200000000322116300003697 - 20</t>
  </si>
  <si>
    <t>0307 - 110206009020200000000322117600003699 - 20</t>
  </si>
  <si>
    <t>Universidad del Valle</t>
  </si>
  <si>
    <t>0307 - 110206009020200000000331111777703516 - 20</t>
  </si>
  <si>
    <t>Supía</t>
  </si>
  <si>
    <t>0307 - 110206009020200000000331112557203231 - 20</t>
  </si>
  <si>
    <t>Puerto Salgar</t>
  </si>
  <si>
    <t>0307 - 110206009020200000000331116300100096 - 20</t>
  </si>
  <si>
    <t>Armenia</t>
  </si>
  <si>
    <t>0307 - 110206009020200000000331116311100233 - 20</t>
  </si>
  <si>
    <t>Buenavista - Quindío</t>
  </si>
  <si>
    <t>0307 - 110206009020200000000331116319000412 - 20</t>
  </si>
  <si>
    <t>Circasia</t>
  </si>
  <si>
    <t>0307 - 110206009020200000000331116327202226 - 20</t>
  </si>
  <si>
    <t>Filandia</t>
  </si>
  <si>
    <t>0307 - 110206009020200000000331116330202372 - 20</t>
  </si>
  <si>
    <t>Génova</t>
  </si>
  <si>
    <t>0307 - 110206009020200000000331116347003013 - 20</t>
  </si>
  <si>
    <t>Montenegro</t>
  </si>
  <si>
    <t>0307 - 110206009020200000000331116359403244 - 20</t>
  </si>
  <si>
    <t>Quimbaya</t>
  </si>
  <si>
    <t>0307 - 110206009020200000000331116600103161 - 20</t>
  </si>
  <si>
    <t>Pereira</t>
  </si>
  <si>
    <t>0307 - 110206009020200000000331117602000042 - 20</t>
  </si>
  <si>
    <t>Alcalá</t>
  </si>
  <si>
    <t>0307 - 110206009020200000000331117673603444 - 20</t>
  </si>
  <si>
    <t>Sevilla</t>
  </si>
  <si>
    <t>0307 - 110206011 - 20</t>
  </si>
  <si>
    <t>Indemnizaciones relacionadas con seguros no de vida</t>
  </si>
  <si>
    <t>0307 - 110207</t>
  </si>
  <si>
    <t>Participación y derechos por monopolio</t>
  </si>
  <si>
    <t>0307 - 110207002</t>
  </si>
  <si>
    <t>Participación y derechos de explotación del ejercicio del monopolio de licores destilados y alcohole</t>
  </si>
  <si>
    <t>0307 - 11020700201</t>
  </si>
  <si>
    <t>Participación y derechos de explotación del ejercicio del monopolio de licores destilados</t>
  </si>
  <si>
    <t>0307 - 1102070020102</t>
  </si>
  <si>
    <t>Derechos de monopolio por la introducción de licores destilados</t>
  </si>
  <si>
    <t>0307 - 110207002010201</t>
  </si>
  <si>
    <t>Derechos de monopolio por la introducción de licores destilados de producción nacional</t>
  </si>
  <si>
    <t>0307 - 11020700201020103 - 179</t>
  </si>
  <si>
    <t>IMPUESTO AL CONSUMO (3%) DESTINACION DEPORTE</t>
  </si>
  <si>
    <t>0307 - 1102070020103</t>
  </si>
  <si>
    <t>Participación por el consumo de licores destilados</t>
  </si>
  <si>
    <t>0307 - 110207002010302</t>
  </si>
  <si>
    <t>Participación por el consumo de licores destilados introducidos</t>
  </si>
  <si>
    <t>0307 - 11020700201030201 - 20</t>
  </si>
  <si>
    <t>Participación por el consumo de licores destilados introducidos de producción nacional</t>
  </si>
  <si>
    <t>0307 - 11020700201030201 - 35</t>
  </si>
  <si>
    <t>RECURSO DESTINADO DEL MONOPOLIO</t>
  </si>
  <si>
    <t>0307 - 12</t>
  </si>
  <si>
    <t>Recursos de capital</t>
  </si>
  <si>
    <t>0307 - 1202</t>
  </si>
  <si>
    <t>Excedentes financieros</t>
  </si>
  <si>
    <t>0307 - 120201 - 20</t>
  </si>
  <si>
    <t>Establecimientos públicos</t>
  </si>
  <si>
    <t>0307 - 1203</t>
  </si>
  <si>
    <t>Dividendos y utilidades por otras inversiones de capital</t>
  </si>
  <si>
    <t>0307 - 120303</t>
  </si>
  <si>
    <t>Sociedades de economía mixta</t>
  </si>
  <si>
    <t>0307 - 120303001 - 20</t>
  </si>
  <si>
    <t>Terminal de Transportes de Armenia</t>
  </si>
  <si>
    <t>0307 - 1205</t>
  </si>
  <si>
    <t>Rendimientos financieros</t>
  </si>
  <si>
    <t>0307 - 120502</t>
  </si>
  <si>
    <t>Depósitos</t>
  </si>
  <si>
    <t>0307 - 120502001</t>
  </si>
  <si>
    <t>0307 - 12050200101</t>
  </si>
  <si>
    <t>0307 - 1205020010101</t>
  </si>
  <si>
    <t>0307 - 120502001010101</t>
  </si>
  <si>
    <t>0307 - 120502001010101100 - 20</t>
  </si>
  <si>
    <t>Impuesto sobre vehículos automotores (Rendimientos )</t>
  </si>
  <si>
    <t>0307 - 120502001010102</t>
  </si>
  <si>
    <t>0307 - 120502001010102001</t>
  </si>
  <si>
    <t>0307 - 120502001010102001001 - 35</t>
  </si>
  <si>
    <t>0307 - 120502001010102100</t>
  </si>
  <si>
    <t>0307 - 120502001010102100001 - 20</t>
  </si>
  <si>
    <t>0307 - 120502001010102100002 - 20</t>
  </si>
  <si>
    <t>0307 - 120502001010102104</t>
  </si>
  <si>
    <t>0307 - 120502001010102104001</t>
  </si>
  <si>
    <t>0307 - 12050200101010210400101 - 20</t>
  </si>
  <si>
    <t>0307 - 12050200101010210400102 - 20</t>
  </si>
  <si>
    <t>0307 - 12050200101010210400103 - 145</t>
  </si>
  <si>
    <t>Impuesto al Consumo (3%) Destinación deporte</t>
  </si>
  <si>
    <t>0307 - 120502001010102104002</t>
  </si>
  <si>
    <t>0307 - 120502001010102104002000000000000001 - 20</t>
  </si>
  <si>
    <t>0307 - 12050200101010210400202 - 20</t>
  </si>
  <si>
    <t>0307 - 12050200101010210400203 - 179</t>
  </si>
  <si>
    <t>Impuesto al Consumo 3%  (Deporte)</t>
  </si>
  <si>
    <t>0307 - 120502001010102105</t>
  </si>
  <si>
    <t>0307 - 120502001010102105001 - 20</t>
  </si>
  <si>
    <t>0307 - 120502001010102105002 - 20</t>
  </si>
  <si>
    <t>0307 - 120502001010102106</t>
  </si>
  <si>
    <t>0307 - 120502001010102106001</t>
  </si>
  <si>
    <t>0307 - 12050200101010210600102 - 20</t>
  </si>
  <si>
    <t>0307 - 120502001010102109 - 20</t>
  </si>
  <si>
    <t>0307 - 120502001010102209 - 20</t>
  </si>
  <si>
    <t>0307 - 120502001010102213 - 42</t>
  </si>
  <si>
    <t>0307 - 120502001010102300</t>
  </si>
  <si>
    <t>0307 - 120502001010102300001 - 06</t>
  </si>
  <si>
    <t>0307 - 120502001010102300001 - 178</t>
  </si>
  <si>
    <t>0307 - 120502001010102300002 - 04</t>
  </si>
  <si>
    <t>0307 - 120502001010102300002 - 176</t>
  </si>
  <si>
    <t>0307 - 120502001010102300002 - 177</t>
  </si>
  <si>
    <t>0307 - 120502001010102300055 - 05</t>
  </si>
  <si>
    <t>0307 - 120502001010102300055 - 33</t>
  </si>
  <si>
    <t>0307 - 120502001010102300055 - 34</t>
  </si>
  <si>
    <t>0307 - 120502001010102300055 - 39</t>
  </si>
  <si>
    <t>0307 - 120502001010102300055 - 41</t>
  </si>
  <si>
    <t>0307 - 1205020010102</t>
  </si>
  <si>
    <t>0307 - 120502001010202</t>
  </si>
  <si>
    <t>0307 - 120502001010202002</t>
  </si>
  <si>
    <t>0307 - 120502001010202002003 - 20</t>
  </si>
  <si>
    <t>0307 - 120502001010202002004 - 20</t>
  </si>
  <si>
    <t>0307 - 120502001010202002005 - 20</t>
  </si>
  <si>
    <t>0307 - 120502001010202002006 - 20</t>
  </si>
  <si>
    <t>0307 - 120502001010202002010 - 20</t>
  </si>
  <si>
    <t>Impuesto sobre vehículos automotores (Rendimiento Sanciones)</t>
  </si>
  <si>
    <t>0307 - 120502001010202002013 - 20</t>
  </si>
  <si>
    <t>0307 - 120502001010202002017 - 20</t>
  </si>
  <si>
    <t>0307 - 120502001010202002018 - 20</t>
  </si>
  <si>
    <t>0307 - 120502001010202005</t>
  </si>
  <si>
    <t>0307 - 120502001010202005002 - 20</t>
  </si>
  <si>
    <t>0307 - 120502001010202005005 - 20</t>
  </si>
  <si>
    <t>0307 - 120502001010202005009 - 20</t>
  </si>
  <si>
    <t>0307 - 120502001010206</t>
  </si>
  <si>
    <t>0307 - 12050200101020601</t>
  </si>
  <si>
    <t>0307 - 1205020010102060105 - 27</t>
  </si>
  <si>
    <t>0307 - 12050200101020606</t>
  </si>
  <si>
    <t>0307 - 1205020010102060606</t>
  </si>
  <si>
    <t>0307 - 120502001010206006006221100000003954 - 136</t>
  </si>
  <si>
    <t>Fondo Nacional de Pensiones de las Entidades Territoriales</t>
  </si>
  <si>
    <t xml:space="preserve">DESAHOOROO FONPET CON SITUACION </t>
  </si>
  <si>
    <t>0307 - 120502001010206009 - 134</t>
  </si>
  <si>
    <t xml:space="preserve">Material de Rio Minas y Otros </t>
  </si>
  <si>
    <t>0307 - 120502001010206010 - 20</t>
  </si>
  <si>
    <t>0307 - 120502001010206011 - 20</t>
  </si>
  <si>
    <t>0307 - 120502001010206012 - 20</t>
  </si>
  <si>
    <t>0307 - 120502001010206012 - 35</t>
  </si>
  <si>
    <t>0307 - 120502001010206013 - 20</t>
  </si>
  <si>
    <t>0307 - 120502001010206014 - 20</t>
  </si>
  <si>
    <t>Excedentes financieros Establecimientos públicos</t>
  </si>
  <si>
    <t>0307 - 120502001010206015 - 20</t>
  </si>
  <si>
    <t>Reintegros</t>
  </si>
  <si>
    <t>0307 - 120502001010206016 - 18</t>
  </si>
  <si>
    <t>0307 - 120502001010206017 - 01</t>
  </si>
  <si>
    <t>0307 - 120502001010206017 - 04</t>
  </si>
  <si>
    <t>0307 - 120502001010206017 - 06</t>
  </si>
  <si>
    <t>0307 - 120502001010206017 - 13</t>
  </si>
  <si>
    <t>0307 - 120502001010206017 - 20</t>
  </si>
  <si>
    <t>0307 - 120502001010206017 - 202</t>
  </si>
  <si>
    <t>REINTEGRO ESTAMPILLA PROADULTO MAYOR</t>
  </si>
  <si>
    <t>0307 - 120502001010206017 - 46</t>
  </si>
  <si>
    <t>RECURSOS DEL CREDITO</t>
  </si>
  <si>
    <t>0307 - 120502001010206017 - 88</t>
  </si>
  <si>
    <t>SUPERAVIT RECURSO ORDINARIO</t>
  </si>
  <si>
    <t>0307 - 120502001010206018 - 20</t>
  </si>
  <si>
    <t>0307 - 1210</t>
  </si>
  <si>
    <t>Recursos del balance</t>
  </si>
  <si>
    <t>0307 - 121002</t>
  </si>
  <si>
    <t>Superávit fiscal</t>
  </si>
  <si>
    <t>0307 - 121002001</t>
  </si>
  <si>
    <t>Superávit Fiscal Recurso de Libre Destinacion</t>
  </si>
  <si>
    <t>0307 - 12100200101 - 88</t>
  </si>
  <si>
    <t xml:space="preserve">Superávit Recurso Ordinario </t>
  </si>
  <si>
    <t>0307 - 121002002</t>
  </si>
  <si>
    <t>Superávit Fiscal Recurso de Destinacion Especifica</t>
  </si>
  <si>
    <t>0307 - 12100200201 - 82</t>
  </si>
  <si>
    <t>Superávit Estampilla Pro-Desarrollo</t>
  </si>
  <si>
    <t>SUPERAVIT ESTAMPILLA PRO-DESARROLLO</t>
  </si>
  <si>
    <t>0307 - 12100200206 - 89</t>
  </si>
  <si>
    <t xml:space="preserve">Superávit Sobretasa ACPM  </t>
  </si>
  <si>
    <t>SUPERAVIT SOBRETASA ACPM</t>
  </si>
  <si>
    <t>0307 - 12100200207 - 91</t>
  </si>
  <si>
    <t xml:space="preserve">Superávit Recurso Destinado del Monopolio </t>
  </si>
  <si>
    <t>SUPERAVIT RECURSO DESTIANDO DEL MONOPOLIO</t>
  </si>
  <si>
    <t>0307 - 12100200209 - 92</t>
  </si>
  <si>
    <t xml:space="preserve">Superávit Fondo de Seguridad Ciudadana </t>
  </si>
  <si>
    <t>SUPERAVIT FONDO DE SEGURIDAD</t>
  </si>
  <si>
    <t>0307 - 12100200217 - 83</t>
  </si>
  <si>
    <t>Superavit Estampilla Pro-cultura</t>
  </si>
  <si>
    <t>SUPERAVIT ESTAMPILLA PRO-CULTURA</t>
  </si>
  <si>
    <t>0307 - 12100200218 - 195</t>
  </si>
  <si>
    <t>Superávit Reintegro Recursos del Credito</t>
  </si>
  <si>
    <t>SUPERAVIT REINTEGRO RECURSOS DEL CREDITO</t>
  </si>
  <si>
    <t>0307 - 12100200219 - 90</t>
  </si>
  <si>
    <t>Superavít SGP Agua Potable</t>
  </si>
  <si>
    <t>SUPERAVIT SGP AGUA POTABLE</t>
  </si>
  <si>
    <t>0307 - 12100200220 - 84</t>
  </si>
  <si>
    <t>Superavít Estampilla Pro Adulto Mayor</t>
  </si>
  <si>
    <t>SUPERAVIT ESTAMPILLA PRO-ADULTO MAYOR</t>
  </si>
  <si>
    <t>0307 - 12100200221 - 95</t>
  </si>
  <si>
    <t>Superavít Convenios Interadministrativos ( Convenio Anticontrabando )</t>
  </si>
  <si>
    <t>SUPERAVIT CONVENIOS INTERADMINISTRATIVOS</t>
  </si>
  <si>
    <t>0307 - 12100200222 - 92</t>
  </si>
  <si>
    <t>Superavít Fondo De Seguridad Ciudadana</t>
  </si>
  <si>
    <t>0307 - 12100200223 - 122</t>
  </si>
  <si>
    <t>Superávit FONPET Pago de Mesadas Pensionales</t>
  </si>
  <si>
    <t>SUPERAVIT DESAHORRO FONPET</t>
  </si>
  <si>
    <t>0307 - 12100200234 - 158</t>
  </si>
  <si>
    <t>Superávit Impuesto al Consumo 3% Monopolio Indeportes</t>
  </si>
  <si>
    <t>SUPERAVIT IMPUESTO AL CONSUMO 3%</t>
  </si>
  <si>
    <t>0307 - 12100200234 - 18</t>
  </si>
  <si>
    <t>0307 - 12100200235 - 123</t>
  </si>
  <si>
    <t>Superávit Estampilla Pro Hospital</t>
  </si>
  <si>
    <t>SUPERAVIT ESTAMPILLA PRO HOSPITAL</t>
  </si>
  <si>
    <t>0307 - 12100200236 - 130</t>
  </si>
  <si>
    <t>Superávit Impuesto al Registro FONPET</t>
  </si>
  <si>
    <t>SUPERAVIT IMPUESTO AL REGISTRO FONPET</t>
  </si>
  <si>
    <t>0307 - 12100200237 - 129</t>
  </si>
  <si>
    <t>Superávit Impuesto al Registro Promotora de Vivienda</t>
  </si>
  <si>
    <t>SUPERAVIT IMPUESTO AL REGISTRO PROMOTORA</t>
  </si>
  <si>
    <t>0307 - 12100200237 - 94</t>
  </si>
  <si>
    <t>SUPERAVIT IMPUESTO AL REGISTRO TURISMO 4%</t>
  </si>
  <si>
    <t>0307 - 12100200238 - 86</t>
  </si>
  <si>
    <t>Suparávit Registro Pago Cuotas Partes Pensionales</t>
  </si>
  <si>
    <t>SUPERAVIT REGISTRO PAGO CUOTAS PARTES PENSIONALES</t>
  </si>
  <si>
    <t>0307 - 12100200239 - 93</t>
  </si>
  <si>
    <t xml:space="preserve">Superávit IVA Telefonia Movil </t>
  </si>
  <si>
    <t>SUPERAVIT IVA TELEFONIA MOVIL CULTURA</t>
  </si>
  <si>
    <t>0307 - 12100200240 - 186</t>
  </si>
  <si>
    <t>Superávit Extraccíon Material Rïos, Minas y Otros</t>
  </si>
  <si>
    <t>SUPERAVIT EXTRACCION MATERIAL DE RIO MINAS Y OTROS</t>
  </si>
  <si>
    <t>0307 - 1212</t>
  </si>
  <si>
    <t>Retiros FONPET</t>
  </si>
  <si>
    <t>0307 - 121201</t>
  </si>
  <si>
    <t>Para el pago de bonos pensionales o cuotas partes de bonos pensionales</t>
  </si>
  <si>
    <t>0307 - 121201003 - 136</t>
  </si>
  <si>
    <t>Para el pago del pasivo pensional corriente</t>
  </si>
  <si>
    <t>0307 - 1213</t>
  </si>
  <si>
    <t>Reintegros y otros recursos no apropiados</t>
  </si>
  <si>
    <t>0307 - 121301 - 01</t>
  </si>
  <si>
    <t>0307 - 121301 - 04</t>
  </si>
  <si>
    <t>0307 - 121301 - 06</t>
  </si>
  <si>
    <t>0307 - 121301 - 122</t>
  </si>
  <si>
    <t>0307 - 121301 - 13</t>
  </si>
  <si>
    <t>0307 - 121301 - 20</t>
  </si>
  <si>
    <t>0307 - 121301 - 35</t>
  </si>
  <si>
    <t>0307 - 121301 - 46</t>
  </si>
  <si>
    <t>0307 - 121301 - 88</t>
  </si>
  <si>
    <t>0307 - 121301 - 91</t>
  </si>
  <si>
    <t>0314 - 1</t>
  </si>
  <si>
    <t>03-GOBERNACION_x000D_
0314-SECRETARIA DE EDUCACION</t>
  </si>
  <si>
    <t>0314 - 11</t>
  </si>
  <si>
    <t>0314 - 1102</t>
  </si>
  <si>
    <t>0314 - 110206</t>
  </si>
  <si>
    <t>0314 - 110206001</t>
  </si>
  <si>
    <t>0314 - 11020600101</t>
  </si>
  <si>
    <t>Participación para educación</t>
  </si>
  <si>
    <t>0314 - 1102060010101 - 25</t>
  </si>
  <si>
    <t>Prestación de servicio educativo</t>
  </si>
  <si>
    <t>SISTEMA GENERAL D EPARTICIPACION EDUCACION</t>
  </si>
  <si>
    <t>0314 - 1102060010101 - 26</t>
  </si>
  <si>
    <t>SISTEMA GENERAL DE PARTICIPACION EDUCACION</t>
  </si>
  <si>
    <t>0314 - 110206006</t>
  </si>
  <si>
    <t>0314 - 11020600606</t>
  </si>
  <si>
    <t>0314 - 1102060060600</t>
  </si>
  <si>
    <t>0314 - 110206006060000</t>
  </si>
  <si>
    <t>0314 - 11020600606000000</t>
  </si>
  <si>
    <t>0314 - 1102060060600000000</t>
  </si>
  <si>
    <t>0314 - 110206006060000000000311100000002987 - 173</t>
  </si>
  <si>
    <t>Ministerio de Educación Nacional</t>
  </si>
  <si>
    <t>TRANSFERENCIAS NACION FOME</t>
  </si>
  <si>
    <t>0314 - 110206006060000000000311100000004663 - 81</t>
  </si>
  <si>
    <t>U.A.E. de Alimentación Escolar - Alimentos para Aprender (UAPA)</t>
  </si>
  <si>
    <t>TRANSFERENCIAS DE LA NACION POR ALIMENTACION PAE</t>
  </si>
  <si>
    <t>0314 - 110206006060000000000331116311100233 - 172</t>
  </si>
  <si>
    <t>COFINANCIACION MUNICIPIOS PAE</t>
  </si>
  <si>
    <t>0314 - 110206006060000000000331116313000284 - 172</t>
  </si>
  <si>
    <t>Calarcá</t>
  </si>
  <si>
    <t>0314 - 110206006060000000000331116319000412 - 172</t>
  </si>
  <si>
    <t>0314 - 110206006060000000000331116321200470 - 172</t>
  </si>
  <si>
    <t>Córdoba - Quindío</t>
  </si>
  <si>
    <t>0314 - 110206006060000000000331116327202226 - 172</t>
  </si>
  <si>
    <t>0314 - 110206006060000000000331116330202372 - 172</t>
  </si>
  <si>
    <t>0314 - 110206006060000000000331116340102882 - 172</t>
  </si>
  <si>
    <t>La Tebaida</t>
  </si>
  <si>
    <t>0314 - 110206006060000000000331116347003013 - 172</t>
  </si>
  <si>
    <t>0314 - 110206006060000000000331116354803167 - 172</t>
  </si>
  <si>
    <t>Pijao</t>
  </si>
  <si>
    <t>0314 - 110206006060000000000331116359403244 - 172</t>
  </si>
  <si>
    <t>0314 - 110206006060000000000331116369003303 - 172</t>
  </si>
  <si>
    <t>Salento</t>
  </si>
  <si>
    <t>0314 - 12</t>
  </si>
  <si>
    <t>0314 - 1205</t>
  </si>
  <si>
    <t>0314 - 120502</t>
  </si>
  <si>
    <t>0314 - 120502001</t>
  </si>
  <si>
    <t>0314 - 12050200101</t>
  </si>
  <si>
    <t>0314 - 1205020010102</t>
  </si>
  <si>
    <t>0314 - 120502001010206</t>
  </si>
  <si>
    <t>0314 - 12050200101020601</t>
  </si>
  <si>
    <t>0314 - 1205020010102060101 - 21</t>
  </si>
  <si>
    <t>Rendimientos Prestacion de Servicio educativo</t>
  </si>
  <si>
    <t>RENDIMIENTOS FINANCIEROS -SGP EDUCACION</t>
  </si>
  <si>
    <t>0314 - 1205020010102060102 - 81</t>
  </si>
  <si>
    <t>Rendimientos PAE</t>
  </si>
  <si>
    <t>0314 - 12050200101020606</t>
  </si>
  <si>
    <t>0314 - 120502001010206006001</t>
  </si>
  <si>
    <t>Aportes Nación</t>
  </si>
  <si>
    <t>0314 - 12050200101020600600101 - 173</t>
  </si>
  <si>
    <t>Rendimientos Financieros FOME</t>
  </si>
  <si>
    <t>0314 - 1205020010102060606</t>
  </si>
  <si>
    <t>0314 - 12050200101020600600601 - 81</t>
  </si>
  <si>
    <t>Rendimientos Financieros PAE</t>
  </si>
  <si>
    <t>0314 - 1210</t>
  </si>
  <si>
    <t>0314 - 121002</t>
  </si>
  <si>
    <t>0314 - 121002002</t>
  </si>
  <si>
    <t>0314 - 12100200205 - 09</t>
  </si>
  <si>
    <t>Superávit S.G.P. Educación</t>
  </si>
  <si>
    <t>SUPERAVIT S.G.P. EDUCACION</t>
  </si>
  <si>
    <t>0314 - 12100200210 - 137</t>
  </si>
  <si>
    <t>Superávit PAE Educación</t>
  </si>
  <si>
    <t xml:space="preserve">SUPERAVIT TRANSFERENCIA DE LA NACION PAE </t>
  </si>
  <si>
    <t>0314 - 12100200214 - 188</t>
  </si>
  <si>
    <t>Exigibilidades SGP Educación</t>
  </si>
  <si>
    <t>EXIGIBILIDADES SPG EDUCACIÓN</t>
  </si>
  <si>
    <t>0314 - 12100200215 - 187</t>
  </si>
  <si>
    <t>Superávit Fondo de Mitigación de Emergencias - FOME</t>
  </si>
  <si>
    <t>SUPERAVIT TRANSFERENCIAS NACION FOME</t>
  </si>
  <si>
    <t>0314 - 12100200216 - 189</t>
  </si>
  <si>
    <t>Superávit Rendimientos Financieros S.G.P. Educación</t>
  </si>
  <si>
    <t>SUPERÁVIT INTERESES SGP EDUCACIÓN</t>
  </si>
  <si>
    <t>0314 - 1213</t>
  </si>
  <si>
    <t>0314 - 121301 - 09</t>
  </si>
  <si>
    <t>0314 - 121301 - 204</t>
  </si>
  <si>
    <t>REINTEGROS SGP EDUCACION</t>
  </si>
  <si>
    <t>0318 - 1</t>
  </si>
  <si>
    <t>03-GOBERNACION_x000D_
0318-SECRETARIA DE SALUD</t>
  </si>
  <si>
    <t>0318 - 11</t>
  </si>
  <si>
    <t>0318 - 1101</t>
  </si>
  <si>
    <t>0318 - 110101</t>
  </si>
  <si>
    <t>0318 - 110101101</t>
  </si>
  <si>
    <t>Impuesto a ganadores de sorteos ordinarios y extraordinarios</t>
  </si>
  <si>
    <t>0318 - 11010110101 - 154</t>
  </si>
  <si>
    <t>Impuesto a Ganadores Sorteo Extraordinario  68%</t>
  </si>
  <si>
    <t>ADRES SINSITUACION DE FONDOS</t>
  </si>
  <si>
    <t>0318 - 11010110102 - 154</t>
  </si>
  <si>
    <t>Impuestos a Ganadores Sorteo Ordinario 68%</t>
  </si>
  <si>
    <t>0318 - 11010110103 - 72</t>
  </si>
  <si>
    <t>Impuesto a Ganadores Sorteo Extraordinario 25%</t>
  </si>
  <si>
    <t>RENTAS CEDIDAS SUBCUENTA OTROS GASTOS EN SALUD</t>
  </si>
  <si>
    <t>0318 - 11010110104 - 72</t>
  </si>
  <si>
    <t>Impuesto a Ganadores Sorteo Ordinario 25%</t>
  </si>
  <si>
    <t>0318 - 11010110105 - 181</t>
  </si>
  <si>
    <t>Colciencias 7% Impuesto a Ganadores Sorteo Extraordinario</t>
  </si>
  <si>
    <t>COLCIENCIAS SIN SITUACION DE FONDOS SSF</t>
  </si>
  <si>
    <t>0318 - 11010110106 - 181</t>
  </si>
  <si>
    <t>Colciencias 7% Impuesto a Ganadores Sorteo ordinario</t>
  </si>
  <si>
    <t>0318 - 110102</t>
  </si>
  <si>
    <t>0318 - 110102101</t>
  </si>
  <si>
    <t>Impuesto de loterías foráneas</t>
  </si>
  <si>
    <t>0318 - 11010210101 - 154</t>
  </si>
  <si>
    <t>Loterias foraneas 68%</t>
  </si>
  <si>
    <t>0318 - 11010210102 - 72</t>
  </si>
  <si>
    <t>Loterias Foráneas 25%</t>
  </si>
  <si>
    <t>0318 - 11010210103 - 181</t>
  </si>
  <si>
    <t>Colciencias 7% Loterias Foraneas</t>
  </si>
  <si>
    <t>0318 - 11010210104 - 182</t>
  </si>
  <si>
    <t>COLCIENCIAS CON SITUACION DE FONDOS</t>
  </si>
  <si>
    <t>0318 - 110102103</t>
  </si>
  <si>
    <t>0318 - 11010210302</t>
  </si>
  <si>
    <t>0318 - 1101021030201 - 154</t>
  </si>
  <si>
    <t>0318 - 1101021030201 - 155</t>
  </si>
  <si>
    <t>IVA CEDIDO SOBRE LICORES ART. 32 LEY 1816</t>
  </si>
  <si>
    <t>0318 - 110102104</t>
  </si>
  <si>
    <t>0318 - 11010210402</t>
  </si>
  <si>
    <t>0318 - 1101021040203 - 58</t>
  </si>
  <si>
    <t>Impuesto al Consumo de Vinos Aperitivos y  Similares Producción Extranjera 25%</t>
  </si>
  <si>
    <t>RENTAS CEDIDAS SECRETARIA .DE SALUD</t>
  </si>
  <si>
    <t>0318 - 1101021040203 - 72</t>
  </si>
  <si>
    <t>0318 - 1101021040204 - 154</t>
  </si>
  <si>
    <t xml:space="preserve">Impuesto al Consumo Licores, Vinos, Aperitivos y Similares Producción Extranjera Régimen Subsidiado </t>
  </si>
  <si>
    <t>0318 - 1101021040205 - 58</t>
  </si>
  <si>
    <t>Impuesto al Consumo de Licores, Vinos y Aperitivos y Similares Produccion Nacional  25%</t>
  </si>
  <si>
    <t>0318 - 1101021040205 - 72</t>
  </si>
  <si>
    <t>0318 - 1101021040206 - 154</t>
  </si>
  <si>
    <t>Impuesto al Consumo de Licores, Vinos, Aperitivos y Similares Produccion Nacional  50%</t>
  </si>
  <si>
    <t>0318 - 110102105</t>
  </si>
  <si>
    <t>0318 - 11010210503 - 58</t>
  </si>
  <si>
    <t>Impuesto  Consumo de Cerveza Producción Nacional  25%</t>
  </si>
  <si>
    <t>0318 - 11010210503 - 72</t>
  </si>
  <si>
    <t>0318 - 11010210504 - 154</t>
  </si>
  <si>
    <t>mpuesto al Consumo de Cerveza Producción Nacional Régimen Subsidiado 50%</t>
  </si>
  <si>
    <t>0318 - 11010210505 - 58</t>
  </si>
  <si>
    <t>Impuesto  Consumo de Cerveza Producción Extranjera 25%</t>
  </si>
  <si>
    <t>0318 - 11010210505 - 72</t>
  </si>
  <si>
    <t>0318 - 11010210506 - 154</t>
  </si>
  <si>
    <t>Impuesto al Consumo de Cerveza Producción Extranjera Régimen Subsidiado 50%</t>
  </si>
  <si>
    <t>0318 - 110102106</t>
  </si>
  <si>
    <t>0318 - 11010210601</t>
  </si>
  <si>
    <t>0318 - 1101021060102 - 154</t>
  </si>
  <si>
    <t>0318 - 11010210602</t>
  </si>
  <si>
    <t>Componente ad valorem del impuesto al consumo de cigarrillos y tabaco elaborado</t>
  </si>
  <si>
    <t>0318 - 1101021060202 - 154</t>
  </si>
  <si>
    <t>Componente ad valorem del impuesto al consumo de cigarrillos y tabaco elaborado - Extranjeros</t>
  </si>
  <si>
    <t>0318 - 1102</t>
  </si>
  <si>
    <t>0318 - 110202</t>
  </si>
  <si>
    <t>0318 - 110202101</t>
  </si>
  <si>
    <t>0318 - 11020210101 - 63</t>
  </si>
  <si>
    <t>Fondo De Estupefacientes Venta De Recetarios</t>
  </si>
  <si>
    <t>FONDO DE ESTUPEFACIENTES</t>
  </si>
  <si>
    <t>0318 - 11020210102 - 63</t>
  </si>
  <si>
    <t>Fondo Rotatorio De Estupefacientes Resoluciones Manejo De Medicamentos</t>
  </si>
  <si>
    <t>0318 - 11020210103 - 63</t>
  </si>
  <si>
    <t>Venta de Medicamentos</t>
  </si>
  <si>
    <t>0318 - 110206</t>
  </si>
  <si>
    <t>0318 - 110206001</t>
  </si>
  <si>
    <t>0318 - 11020600102</t>
  </si>
  <si>
    <t>Participación para salud</t>
  </si>
  <si>
    <t>0318 - 1102060010202 - 61</t>
  </si>
  <si>
    <t>Salud pública</t>
  </si>
  <si>
    <t>SGP SALUD SALUD PUBLICA C.S.F</t>
  </si>
  <si>
    <t>0318 - 1102060010204 - 171</t>
  </si>
  <si>
    <t>Subsidio a la oferta</t>
  </si>
  <si>
    <t>SUBSIDIO A LA OFERTA</t>
  </si>
  <si>
    <t>0318 - 110206006</t>
  </si>
  <si>
    <t>0318 - 11020600601</t>
  </si>
  <si>
    <t>0318 - 1102060060101 - 110</t>
  </si>
  <si>
    <t>Ministerio de Salud - Programa Inimputables</t>
  </si>
  <si>
    <t>RESOLUCION 971/2016 PROGRAMA INIMPUTABLES</t>
  </si>
  <si>
    <t>0318 - 1102060060102 - 111</t>
  </si>
  <si>
    <t>Min Salud, Program Prevencion y Control de Enfermedades por Vectores</t>
  </si>
  <si>
    <t xml:space="preserve">RES. 781/15 PREV. Y CONTROL ENFERMEDADES POR VECT </t>
  </si>
  <si>
    <t>0318 - 1102060060103 - 113</t>
  </si>
  <si>
    <t>Min. Salud - Campaña y Control Antituberculosis Quindio</t>
  </si>
  <si>
    <t>RES. 1029/16 CAMP Y CONTROL ANTI TUBERCULOSIS QDIO</t>
  </si>
  <si>
    <t>0318 - 1102060060104 - 114</t>
  </si>
  <si>
    <t>Min. Salud - Campaña Control Lepra Quindio</t>
  </si>
  <si>
    <t>RES.1030/2016 CAMPAÑA CONTROL LEPRA QUINDIO</t>
  </si>
  <si>
    <t>0318 - 1102060060105 - 197</t>
  </si>
  <si>
    <t>Min. Salud - Resolucion No 196 de 2021</t>
  </si>
  <si>
    <t>RESOLUCION 196 DE 2021</t>
  </si>
  <si>
    <t>0318 - 1102060060106 - 180</t>
  </si>
  <si>
    <t>Min. Salud - Resolución 367 Apoyo al Proceso de Certificación de Discapacidad Nacional</t>
  </si>
  <si>
    <t>MINISTRIO DE SALUD RES. 1616 DE 2020 DISCAPACIDAD</t>
  </si>
  <si>
    <t>0318 - 1102060060107 - 203</t>
  </si>
  <si>
    <t>Min. Salud - Resolucion No 1831 de 2021 Implementación de Acciones en salud y prevención de enbferme</t>
  </si>
  <si>
    <t xml:space="preserve">PROYECTO FRISCO EST CONSUMO SUSTANCIAS SICOACTIVA </t>
  </si>
  <si>
    <t>0318 - 1102060060108 - 174</t>
  </si>
  <si>
    <t xml:space="preserve">Ley de punto Final </t>
  </si>
  <si>
    <t>LEY DE PUNTO FINAL</t>
  </si>
  <si>
    <t>0318 - 110207</t>
  </si>
  <si>
    <t>0318 - 110207001</t>
  </si>
  <si>
    <t>Derechos por la explotación juegos de suerte y azar</t>
  </si>
  <si>
    <t>0318 - 11020700103</t>
  </si>
  <si>
    <t>Derechos por la explotación juegos de suerte y azar de lotería tradicional</t>
  </si>
  <si>
    <t>0318 - 1102070010301 - 154</t>
  </si>
  <si>
    <t>0318 - 1102070010302 - 154</t>
  </si>
  <si>
    <t>Explotacion Sorteo Extraordinario 68%</t>
  </si>
  <si>
    <t>0318 - 1102070010303 - 72</t>
  </si>
  <si>
    <t>Explotacion Sorteo Extraordinario 25%</t>
  </si>
  <si>
    <t>0318 - 1102070010304 - 154</t>
  </si>
  <si>
    <t>Explotacion Sorteo Ordinario Loterias 25%</t>
  </si>
  <si>
    <t>0318 - 1102070010304 - 72</t>
  </si>
  <si>
    <t>0318 - 1102070010305 - 181</t>
  </si>
  <si>
    <t>Colciencias 7%  Sorteo Extraordinario</t>
  </si>
  <si>
    <t>0318 - 1102070010306 - 181</t>
  </si>
  <si>
    <t>Colciencias 7% Explotacion Sorteo Ordinario</t>
  </si>
  <si>
    <t>0318 - 11020700104</t>
  </si>
  <si>
    <t>Derechos por la explotación juegos de suerte y azar de apuestas permanentes o chance</t>
  </si>
  <si>
    <t>0318 - 1102070010401 - 154</t>
  </si>
  <si>
    <t>Juegos y  Apuestas Permanentes  Régimen Subsidiado 68%</t>
  </si>
  <si>
    <t>0318 - 1102070010402 - 72</t>
  </si>
  <si>
    <t>Juegos y Apuestas Permanentes  25%</t>
  </si>
  <si>
    <t>0318 - 1102070010403 - 181</t>
  </si>
  <si>
    <t>Colciencias 7% Juegos Y Apuestas Permanentes</t>
  </si>
  <si>
    <t>0318 - 11020700105</t>
  </si>
  <si>
    <t>Derechos por la explotación juegos de suerte y azar de rifas</t>
  </si>
  <si>
    <t>0318 - 1102070010501 - 154</t>
  </si>
  <si>
    <t>Rifas Departamentales 68%</t>
  </si>
  <si>
    <t>0318 - 1102070010502 - 72</t>
  </si>
  <si>
    <t>Rifas Departamentales - Otros 25%</t>
  </si>
  <si>
    <t>0318 - 1102070010503 - 181</t>
  </si>
  <si>
    <t>Colciencias 7% Rifas Departamentales</t>
  </si>
  <si>
    <t>0318 - 11020700109</t>
  </si>
  <si>
    <t>Derechos por la explotación juegos de suerte y azar de juegos novedosos</t>
  </si>
  <si>
    <t>0318 - 1102070010901 - 154</t>
  </si>
  <si>
    <t>Juegos Novedosos - Super Astro 68%</t>
  </si>
  <si>
    <t>0318 - 1102070010902 - 154</t>
  </si>
  <si>
    <t>Juegos Novedosos -otros- 68%</t>
  </si>
  <si>
    <t>0318 - 1102070010903 - 72</t>
  </si>
  <si>
    <t>Juegos Novedosos - Super Astro 25%</t>
  </si>
  <si>
    <t>0318 - 1102070010904 - 72</t>
  </si>
  <si>
    <t>Juegos Novedosos 25% -otros-</t>
  </si>
  <si>
    <t>0318 - 1102070010905 - 181</t>
  </si>
  <si>
    <t>Colciencias 7%  Juegos Novedosos Super Astro</t>
  </si>
  <si>
    <t>0318 - 1102070010906 - 181</t>
  </si>
  <si>
    <t>Colciencias 7%  Juegos Novedosos -otros-</t>
  </si>
  <si>
    <t>0318 - 110207002</t>
  </si>
  <si>
    <t>0318 - 11020700201</t>
  </si>
  <si>
    <t>0318 - 1102070020102</t>
  </si>
  <si>
    <t>0318 - 110207002010201</t>
  </si>
  <si>
    <t>0318 - 11020700201020101 - 58</t>
  </si>
  <si>
    <t>Monopolio Licores Producción Nacional 25%</t>
  </si>
  <si>
    <t>0318 - 11020700201020101 - 72</t>
  </si>
  <si>
    <t>0318 - 11020700201020102 - 154</t>
  </si>
  <si>
    <t>Monopolio de Licores Produccion Nacional Regimen Subsidiado 50%</t>
  </si>
  <si>
    <t>0318 - 12</t>
  </si>
  <si>
    <t>0318 - 1205</t>
  </si>
  <si>
    <t>0318 - 120502</t>
  </si>
  <si>
    <t>0318 - 120502001</t>
  </si>
  <si>
    <t>0318 - 12050200101</t>
  </si>
  <si>
    <t>0318 - 1205020010102</t>
  </si>
  <si>
    <t>0318 - 120502001010202</t>
  </si>
  <si>
    <t>0318 - 12050200101020201</t>
  </si>
  <si>
    <t>0318 - 1205020010102020101 - 63</t>
  </si>
  <si>
    <t>Intereses Fondo Rotatorio de Estupefacientes</t>
  </si>
  <si>
    <t>0318 - 120502001010206</t>
  </si>
  <si>
    <t>0318 - 12050200101020601</t>
  </si>
  <si>
    <t>0318 - 1205020010102060104 - 58</t>
  </si>
  <si>
    <t>Rentas Cedidas 25%</t>
  </si>
  <si>
    <t>0318 - 120502001010206001004 - 59</t>
  </si>
  <si>
    <t>SGP SALUD PRESTACION SERVICIOS C.S.F</t>
  </si>
  <si>
    <t>0318 - 12050200101020602 - 61</t>
  </si>
  <si>
    <t>0318 - 12050200101020603 - 154</t>
  </si>
  <si>
    <t>Intereses Rentas Cedidas  50%</t>
  </si>
  <si>
    <t>0318 - 12050200101020604 - 171</t>
  </si>
  <si>
    <t>0318 - 12050200101020605 - 72</t>
  </si>
  <si>
    <t>Intereses Rentas Cedidas 25%</t>
  </si>
  <si>
    <t>0318 - 12050200101020606</t>
  </si>
  <si>
    <t>0318 - 120502001010206006001</t>
  </si>
  <si>
    <t>0318 - 120502001010206006001000000000000002 - 174</t>
  </si>
  <si>
    <t>Cofinanciación Nacional</t>
  </si>
  <si>
    <t>0318 - 120502001010206006001000000000000002 - 65</t>
  </si>
  <si>
    <t>COFINANCIACION NACIONAL SALUD</t>
  </si>
  <si>
    <t>0318 - 1205020010102060606</t>
  </si>
  <si>
    <t>0318 - 120502001010206006006000000000000003 - 152</t>
  </si>
  <si>
    <t>Excedentes de Aportes Patronales de las ESE del Departamento</t>
  </si>
  <si>
    <t>EXCEDENTES APORTES PATRONALES ESE DEL DEPTO</t>
  </si>
  <si>
    <t>0318 - 120502001010206006006000000000000004 - 167</t>
  </si>
  <si>
    <t>Recursos - ADRES</t>
  </si>
  <si>
    <t>SUPERAVIT RECURSOS - ADRES RES. 2359/2019</t>
  </si>
  <si>
    <t>0318 - 120502001010206020 - 96</t>
  </si>
  <si>
    <t>Superávit Rentas Cedidas IVA Cedido Sobre Licores Art. 32 ley 1816</t>
  </si>
  <si>
    <t>SUPERAVIT RENTAS CEDIDAS SALUD</t>
  </si>
  <si>
    <t>0318 - 120502001010206021 - 161</t>
  </si>
  <si>
    <t>Cofinanciación Nacional de Salud Publica</t>
  </si>
  <si>
    <t xml:space="preserve">SUPERAVIT RESOLUCIONES VIGE. ANTER. SALUD PUBLICA </t>
  </si>
  <si>
    <t>0318 - 120502001010206022 - 102</t>
  </si>
  <si>
    <t>Cofinanciacion Nacional</t>
  </si>
  <si>
    <t>SUPERÁVIT COFINANCIACIÓN NACIONAL RES. 3876/12 DIS</t>
  </si>
  <si>
    <t>0318 - 1208</t>
  </si>
  <si>
    <t>Transferencias de capital</t>
  </si>
  <si>
    <t>0318 - 120804</t>
  </si>
  <si>
    <t>Premios no reclamados</t>
  </si>
  <si>
    <t>0318 - 120804001</t>
  </si>
  <si>
    <t>Premios de juegos de suerte y azar</t>
  </si>
  <si>
    <t>0318 - 12080400101 - 154</t>
  </si>
  <si>
    <t>Premios de juegos de suerte y azar no reclamados - Juego de Loterias</t>
  </si>
  <si>
    <t>0318 - 12080400102 - 154</t>
  </si>
  <si>
    <t>Premios de juegos de suerte y azar no reclamados - Juego de apuestas permanentes o chance</t>
  </si>
  <si>
    <t>0318 - 12080400103 - 154</t>
  </si>
  <si>
    <t>Premios de juegos de suerte y azar no reclamados - Juegos novedosos - superastro</t>
  </si>
  <si>
    <t>0318 - 1210</t>
  </si>
  <si>
    <t>0318 - 121002</t>
  </si>
  <si>
    <t>0318 - 121002002</t>
  </si>
  <si>
    <t>0318 - 12100200204 - 98</t>
  </si>
  <si>
    <t>Superávit SGP Salud Pública</t>
  </si>
  <si>
    <t>SUPERAVIT SGP SALUD PUBLICA</t>
  </si>
  <si>
    <t>0318 - 12100200207 - 91</t>
  </si>
  <si>
    <t>0318 - 12100200208 - 184</t>
  </si>
  <si>
    <t>Superávit Resolución Minsalud 626 COVID de 2020</t>
  </si>
  <si>
    <t>SUPERAVIT RESOLUCION 626 DE 2020 COVID-19</t>
  </si>
  <si>
    <t>0318 - 12100200224 - 96</t>
  </si>
  <si>
    <t>0318 - 12100200225 - 198</t>
  </si>
  <si>
    <t>Superávit Fondo de SAlvamento y Grantias para la Salud FONSAET</t>
  </si>
  <si>
    <t>SUPERAVIT FONDO DE SALVAMENTO Y GRANT. FONSAET</t>
  </si>
  <si>
    <t>0318 - 12100200226 - 199</t>
  </si>
  <si>
    <t>Superávit Rentas Cedidas Subcuenta Otros Gastos en Salud</t>
  </si>
  <si>
    <t>SUPERAVIT RENTAS CEDIDAS SUBCUEN OTROS GASTOS SALU</t>
  </si>
  <si>
    <t>0318 - 12100200227 - 200</t>
  </si>
  <si>
    <t>Superávit COLCIENCIAS</t>
  </si>
  <si>
    <t>SEPERAVIT COLCIENCIAS</t>
  </si>
  <si>
    <t>0318 - 12100200228 - 99</t>
  </si>
  <si>
    <t>Superávit Fondo de Estupefacientes</t>
  </si>
  <si>
    <t>SUPERAVIT FONDO DE ESTUPERFACIENTES</t>
  </si>
  <si>
    <t>0318 - 12100200229 - 191</t>
  </si>
  <si>
    <t>Superávit Rentas Cedidas Subcuenta Regimen Subsidiado</t>
  </si>
  <si>
    <t>SUPERAVIT RENTAS CEDIDAS REGIMEN SUBSIDIADO</t>
  </si>
  <si>
    <t>0318 - 12100200230 - 97</t>
  </si>
  <si>
    <t>Superávit SGP Prestacion del Servivio</t>
  </si>
  <si>
    <t>SUPERAVIT SGP SALUD PRESTACION DE SERVICIOS</t>
  </si>
  <si>
    <t>0318 - 12100200231 - 192</t>
  </si>
  <si>
    <t>Superávit SGP Subsidio de la Oferta</t>
  </si>
  <si>
    <t>SUPERAVIT SGP SUBSIDIO DE LA OFERTA</t>
  </si>
  <si>
    <t>0318 - 12100200232 - 193</t>
  </si>
  <si>
    <t>Superávit Rentas Cedidas Prestacion del Servicio</t>
  </si>
  <si>
    <t>SUPERAVIT RENTAS CEDIDAS PRESTACION DE SERVICIOS</t>
  </si>
  <si>
    <t>0318 - 12100200233 - 194</t>
  </si>
  <si>
    <t>Superávit Excedentes Aportes Patronales ESE del Departamento</t>
  </si>
  <si>
    <t>SUPERAVIT EXCEDENTES APORTES PATRONALES ESE DEL DE</t>
  </si>
  <si>
    <t>0318 - 1213</t>
  </si>
  <si>
    <t>0318 - 121301 - 63</t>
  </si>
  <si>
    <t>06-SISTEMA GENERAL DE REGALIAS</t>
  </si>
  <si>
    <t>06 - 1102</t>
  </si>
  <si>
    <t>06 - 110206</t>
  </si>
  <si>
    <t>06 - 110206002</t>
  </si>
  <si>
    <t>Sistema General de Regalías</t>
  </si>
  <si>
    <t>06 - 11020600201</t>
  </si>
  <si>
    <t>Asignaciones Directas</t>
  </si>
  <si>
    <t>06 - 1102060020101 - 70</t>
  </si>
  <si>
    <t>Fortalecimiento de la prestación de servicios de salud y las acciones de Salud Pública durante la pa</t>
  </si>
  <si>
    <t>SISTEMA GENERAL DE REGALIAS</t>
  </si>
  <si>
    <t>06 - 1102060020102 - 70</t>
  </si>
  <si>
    <t>Fortalecimiento de la Prestación de Servicios de Salud y las acciones de Salud Pública durante la pa</t>
  </si>
  <si>
    <t>06 - 1102060020103 - 70</t>
  </si>
  <si>
    <t>06 - 1102060020104 - 70</t>
  </si>
  <si>
    <t>Fortalecimiento de la prestación de servicios de salud y las acciones de salud pública durante la pa</t>
  </si>
  <si>
    <t>06 - 11020600203</t>
  </si>
  <si>
    <t>Asignación para la Inversión Regional</t>
  </si>
  <si>
    <t>06 - 1102060020304 - 70</t>
  </si>
  <si>
    <t xml:space="preserve">Remodelación, modernización y equipamiento de áreas resultantes del reforzamiento estructural y del </t>
  </si>
  <si>
    <t>06 - 1102060020306 - 70</t>
  </si>
  <si>
    <t xml:space="preserve">Fortalecimiento de la Calidad educativa en las instituciones educativas, mediante la incorpación de </t>
  </si>
  <si>
    <t>06 - 1102060020308 - 70</t>
  </si>
  <si>
    <t xml:space="preserve">Desarrollo de Instrumentos y Herramientas para la planeación y gestión del ordenamiento territorial </t>
  </si>
  <si>
    <t>06 - 1102060020312 - 70</t>
  </si>
  <si>
    <t>Mantenimiento, mejoramiento y/o rehabilitación de  obras físicas de infraestructura deportiva y recr</t>
  </si>
  <si>
    <t>06 - 1102060020314 - 70</t>
  </si>
  <si>
    <t>Generación de instrumentos de valoración de la amenaza sísmica para el desarrollo de procesos de red</t>
  </si>
  <si>
    <t>06 - 1102060020315 - 70</t>
  </si>
  <si>
    <t>Implementación de Acciones de Adaptación Etapa I del Plan de Gestión Integral del Cambio Climático (</t>
  </si>
  <si>
    <t>06 - 1102060020328 - 70</t>
  </si>
  <si>
    <t>Implementación del Prgrama Integral de Bilinguismo Quindio Bilingue y Competitivo en el Departamento</t>
  </si>
  <si>
    <t>06 - 1102060020329 - 70</t>
  </si>
  <si>
    <t>Construcción de pavimento en concreto asfaltico para el desarrollo regional y la conectividad  en lo</t>
  </si>
  <si>
    <t>06 - 1102060020334 - 70</t>
  </si>
  <si>
    <t>Mejoramiento de Vías Terciarias Mediante el Uso de Placa Huella en el Departamento de Quindio (Proye</t>
  </si>
  <si>
    <t>06 - 1102060020338 - 70</t>
  </si>
  <si>
    <t>Remodelación y Optimización de Escenarios Deportivos, Obras de Urbanismo Complementarias y Movilidad</t>
  </si>
  <si>
    <t>06 - 1102060020342 - 70</t>
  </si>
  <si>
    <t>Construcción Obras de estabilización y rehabilitación de la vía Rio Verde-Pijao (cod.40qn03), estabi</t>
  </si>
  <si>
    <t>06 - 1102060020346 - 70</t>
  </si>
  <si>
    <t>Implementación de un programa de educación superior para la profesionalización de los artistas, como</t>
  </si>
  <si>
    <t>06 - 1102060020349 - 70</t>
  </si>
  <si>
    <t xml:space="preserve">Implementación del plan de acción para mantenimiento preventivo y atención de emergencias en la red </t>
  </si>
  <si>
    <t>06 - 1102060020351 - 70</t>
  </si>
  <si>
    <t>Construcción Obras de Rehabilitación de la Banca en Puntos Críticos de la Vía que Intercomunica a Gé</t>
  </si>
  <si>
    <t>06 - 1102060020359 - 70</t>
  </si>
  <si>
    <t>Mejoramiento de la vía Circasia - Montenegro con código 29BQN03, en los municipios de Circasia y Mon</t>
  </si>
  <si>
    <t>06 - 1102060020364 - 70</t>
  </si>
  <si>
    <t>Rehabilitación y Mejoramiento de la vía Filandia - La India código 29QN02-1 Municipio de Filandia, D</t>
  </si>
  <si>
    <t>06 - 1102060020385 - 70</t>
  </si>
  <si>
    <t>Construcción de obras de estabilización y conformación de la banca vía La Española Río Verde, Barrag</t>
  </si>
  <si>
    <t>06 - 1102060020394 - 70</t>
  </si>
  <si>
    <t>Fortalecimiento del Ecosistema de emprendimiento mediante el acompañamiento tecnico y servicio de ap</t>
  </si>
  <si>
    <t>06 - 11020600205</t>
  </si>
  <si>
    <t>Asignación para la Inversión en Ciencia, Tecnología e Innovación Ambiental</t>
  </si>
  <si>
    <t>06 - 1102060020509 - 70</t>
  </si>
  <si>
    <t>Implementación de un Programa de Innovación Social para el Fomento de una Cultura Ciudadana y Empren</t>
  </si>
  <si>
    <t>06 - 1102060020513 - 70</t>
  </si>
  <si>
    <t>Fortalecimiento de un Centro de Innovación y Productividad agrario adecuando una infraestructura tec</t>
  </si>
  <si>
    <t>06 - 1102060020526 - 70</t>
  </si>
  <si>
    <t xml:space="preserve">Aplicación de Procesos Innovadores en la Cadena de Suministros para la Industria de la Guadua en el </t>
  </si>
  <si>
    <t>06 - 1102060020532 - 70</t>
  </si>
  <si>
    <t>Fortalecimiento de capacidades instaladas de ciencia y tecnología del laboratorio departamental de s</t>
  </si>
  <si>
    <t>06 - 1102060020563 - 70</t>
  </si>
  <si>
    <t>Desarrollo Sostenible del Sector Curtimbre a través de la I+D+I, Quindío Occidente Código BPIN 20130</t>
  </si>
  <si>
    <t>06 - 1102060020599 - 70</t>
  </si>
  <si>
    <t>Desarrollo Experimental para la Competitividad del Sector Cafetero del Departamento del Quindío.</t>
  </si>
  <si>
    <t>06 - 11020600208</t>
  </si>
  <si>
    <t>Funcionamiento del SGR</t>
  </si>
  <si>
    <t>06 - 1102060020801</t>
  </si>
  <si>
    <t>Funcionamiento</t>
  </si>
  <si>
    <t>06 - 110206002080101 - 70</t>
  </si>
  <si>
    <t>Fortalecimiento de las Secretarías Técnicas de los Organos Colegiados de Administracion y Decision D</t>
  </si>
  <si>
    <t>06 - 110206002080102 - 70</t>
  </si>
  <si>
    <t>Fortalecimiento de las Secretarías Técnicas de los OCAD Resolución 0496 de 2019</t>
  </si>
  <si>
    <t>06 - 1205</t>
  </si>
  <si>
    <t>06 - 120502</t>
  </si>
  <si>
    <t>06 - 120502001</t>
  </si>
  <si>
    <t>06 - 12050200101</t>
  </si>
  <si>
    <t>06 - 1205020010102</t>
  </si>
  <si>
    <t>06 - 120502001010206</t>
  </si>
  <si>
    <t>06 - 120502001010206008 - 70</t>
  </si>
  <si>
    <t>Sistema General de Regalias</t>
  </si>
  <si>
    <t>08-PASIVOS EXIGIBLES</t>
  </si>
  <si>
    <t>08 - 1210</t>
  </si>
  <si>
    <t>08 - 121002</t>
  </si>
  <si>
    <t>08 - 121002001</t>
  </si>
  <si>
    <t>08 - 12100200101 - 88</t>
  </si>
  <si>
    <t>08 - 121002002</t>
  </si>
  <si>
    <t>08 - 12100200201 - 82</t>
  </si>
  <si>
    <t>08 - 12100200202 - 157</t>
  </si>
  <si>
    <t>Superávit Recursos del Crédito</t>
  </si>
  <si>
    <t>SUPERAVIT RECURSOS DEL CREDITO</t>
  </si>
  <si>
    <t>08 - 12100200203 - 149</t>
  </si>
  <si>
    <t xml:space="preserve">Superávit Construcción y Adecuación de Cancha Sintética </t>
  </si>
  <si>
    <t>SUPERAVIT CONSTRUCION CANCHA SINTETICA Y ADUCACION</t>
  </si>
  <si>
    <t>08 - 12100200204 - 98</t>
  </si>
  <si>
    <t>09-Reservas Presupuestales</t>
  </si>
  <si>
    <t>09 - 1210</t>
  </si>
  <si>
    <t>09 - 121002</t>
  </si>
  <si>
    <t>09 - 121002001</t>
  </si>
  <si>
    <t>09 - 12100200101 - 88</t>
  </si>
  <si>
    <t>09 - 121002002</t>
  </si>
  <si>
    <t>09 - 12100200201 - 82</t>
  </si>
  <si>
    <t>09 - 12100200204 - 98</t>
  </si>
  <si>
    <t>09 - 12100200207 - 91</t>
  </si>
  <si>
    <t>09 - 12100200210 - 137</t>
  </si>
  <si>
    <t>09 - 12100200211 - 183</t>
  </si>
  <si>
    <t>Superávit Cofinanciación Municipios Pae</t>
  </si>
  <si>
    <t>SUPERAVIT COFINANCIACION MUNICIPIOS PAE</t>
  </si>
  <si>
    <t>09 - 12100200212 - 185</t>
  </si>
  <si>
    <t>Superávit Ministerio De Salud Resoluciones Discapacidad</t>
  </si>
  <si>
    <t>MINISTRIO DE SALUD RESOLUCIONES DISCAPACIDAD</t>
  </si>
  <si>
    <t>09 - 12100200213 - 186</t>
  </si>
  <si>
    <t>Superávit Extracción Material De Rio Minas Y Otros</t>
  </si>
  <si>
    <t>0307 - 11010210001</t>
  </si>
  <si>
    <t>0307 - 1101021000101 - 01</t>
  </si>
  <si>
    <t>Impuesto de Registro - Cámaras de Comercio ( 20% FONPET)</t>
  </si>
  <si>
    <t>0307 - 1101021000102 - 13</t>
  </si>
  <si>
    <t>Impuesto de Registro - Cámaras de Comercio (10% Cuotas Partes Pensionales)</t>
  </si>
  <si>
    <t>0307 - 1101021000103 - 20</t>
  </si>
  <si>
    <t>Impuesto de Registro - Cámaras de Comercio (ICLD)</t>
  </si>
  <si>
    <t>0307 - 1101021000104 - 52</t>
  </si>
  <si>
    <t>Impuesto de Registro - Cámaras de Comercio (4% Turismo)</t>
  </si>
  <si>
    <t>0307 - 1101021000105 - 53</t>
  </si>
  <si>
    <t>Impuesto de Registro - Cámaras de Comercio (6% Proyecta)</t>
  </si>
  <si>
    <t>0307 - 11010210002</t>
  </si>
  <si>
    <t>0307 - 1101021000201 - 01</t>
  </si>
  <si>
    <t>Impuesto de Registro - Oficinas de Instrumentos Públicos ( 20% FONPET)</t>
  </si>
  <si>
    <t>0307 - 1101021000202 - 13</t>
  </si>
  <si>
    <t>Impuesto de Registro - Oficinas de Instrumentos Públicos (10% Cuotas Partes Pensionales)</t>
  </si>
  <si>
    <t>0307 - 1101021000203 - 20</t>
  </si>
  <si>
    <t>Impuesto de Registro - Oficinas de Instrumentos Públicos (ICLD)</t>
  </si>
  <si>
    <t>0307 - 1101021000204 - 52</t>
  </si>
  <si>
    <t>Impuesto de Registro - Oficinas de Instrumentos Públicos (4% Turismo)</t>
  </si>
  <si>
    <t>0307 - 1101021000205 - 53</t>
  </si>
  <si>
    <t>Impuesto de Registro - Oficinas de Instrumentos Públicos (6% Proyecta)</t>
  </si>
  <si>
    <t>0307 - 1101021040201 - 145</t>
  </si>
  <si>
    <t>0307 - 1101021040202 - 145</t>
  </si>
  <si>
    <t>0307 - 11010230001</t>
  </si>
  <si>
    <t>0307 - 1101023000101 - 06</t>
  </si>
  <si>
    <t>Estampilla para el bienestar del adulto mayor (80% Inversion)</t>
  </si>
  <si>
    <t>0307 - 1101023000102 - 178</t>
  </si>
  <si>
    <t>Estampilla para el bienestar del adulto mayor (20% Pensiones)</t>
  </si>
  <si>
    <t>0307 - 11010230002</t>
  </si>
  <si>
    <t>0307 - 1101023000201 - 04</t>
  </si>
  <si>
    <t>Estampilla pro desarrollo departamental (50% inversion)</t>
  </si>
  <si>
    <t>0307 - 1101023000202 - 176</t>
  </si>
  <si>
    <t>Estampilla pro desarrollo departamental (20% Pension)</t>
  </si>
  <si>
    <t>0307 - 1101023000203 - 177</t>
  </si>
  <si>
    <t>Estampilla pro desarrollo departamental (30% Proyecta)</t>
  </si>
  <si>
    <t>0307 - 11010230055</t>
  </si>
  <si>
    <t>0307 - 1101023005501 - 05</t>
  </si>
  <si>
    <t>Estampilla pro cultura (20% Pensiones)</t>
  </si>
  <si>
    <t>0307 - 1101023005502 - 33</t>
  </si>
  <si>
    <t>Estampilla pro cultura (10% Seguridad Social Artista)</t>
  </si>
  <si>
    <t>0307 - 1101023005503 - 34</t>
  </si>
  <si>
    <t>Estampilla pro cultura (10% Bibliotecas)</t>
  </si>
  <si>
    <t>0307 - 1101023005504 - 39</t>
  </si>
  <si>
    <t>Estampilla pro cultura (50% Concertacion)</t>
  </si>
  <si>
    <t>0307 - 1101023005505 - 41</t>
  </si>
  <si>
    <t>Estampilla pro cultura (10% Estimulos)</t>
  </si>
  <si>
    <t>0307 - 110201003010000000</t>
  </si>
  <si>
    <t>0307 - 110201003010000000000</t>
  </si>
  <si>
    <t>0307 - 1102030011101 - 20</t>
  </si>
  <si>
    <t>0307 - 110203002010101001</t>
  </si>
  <si>
    <t>0307 - 1102060030110 - 23</t>
  </si>
  <si>
    <t>SOBRETASA AL ACPM</t>
  </si>
  <si>
    <t>0307 - 110206006060000000</t>
  </si>
  <si>
    <t>0307 - 110206006060000000000</t>
  </si>
  <si>
    <t>0307 - 110206006060000000000031110000002993 - 225</t>
  </si>
  <si>
    <t>Ministerio de Salud y Protección Social</t>
  </si>
  <si>
    <t>M.S.P.S. LABORATORIO DE SALUD</t>
  </si>
  <si>
    <t>0307 - 110206006060000000000311100000002773 - 218</t>
  </si>
  <si>
    <t>CONVENIO 1609 DEL 2020 INVIAS VIAS TERCIARIAS</t>
  </si>
  <si>
    <t>0307 - 110206006060000000000311100000002773 - 219</t>
  </si>
  <si>
    <t>CONVENIO 1645 DE 2021 INVIAS SALENTO</t>
  </si>
  <si>
    <t>0307 - 110206006060000000000311100000002773 - 226</t>
  </si>
  <si>
    <t>CONVENIO IVIAS 1274 DE 2022  PUNTOS CRITICOS</t>
  </si>
  <si>
    <t>0307 - 110206009020200000</t>
  </si>
  <si>
    <t>0307 - 110206009020200000000</t>
  </si>
  <si>
    <t>0307 - 110207002010201001 - 35</t>
  </si>
  <si>
    <t>Derechos de monopolio por la introducción de licores destilados de producción nacional (Monopolio pa</t>
  </si>
  <si>
    <t>0307 - 110207002010201002 - 179</t>
  </si>
  <si>
    <t>Derechos de monopolio por la introducción de licores destilados de producción Nacional</t>
  </si>
  <si>
    <t>0307 - 110207002010201003 - 20</t>
  </si>
  <si>
    <t>0307 - 110207002010202</t>
  </si>
  <si>
    <t>Derechos de monopolio por la introducción de licores destilados de producción extranjera</t>
  </si>
  <si>
    <t>0307 - 110207002010202001 - 35</t>
  </si>
  <si>
    <t xml:space="preserve">Derechos de monopolio por la introducción de licores destilados de producción extranjera (Monopolio </t>
  </si>
  <si>
    <t>0307 - 110207002010202002 - 179</t>
  </si>
  <si>
    <t>0307 - 110207002010202003 - 20</t>
  </si>
  <si>
    <t>0307 - 110207002010302002</t>
  </si>
  <si>
    <t>Participación por el consumo de licores destilados introducidos de producción extranjera</t>
  </si>
  <si>
    <t>0307 - 110207002010302002001 - 179</t>
  </si>
  <si>
    <t>Participación por el consumo de licores destilados introducidos de producción nacional recaudado p</t>
  </si>
  <si>
    <t>0307 - 110207002010302002001 - 20</t>
  </si>
  <si>
    <t>0307 - 110207002010302002001 - 35</t>
  </si>
  <si>
    <t>0307 - 110207002010302002002 - 179</t>
  </si>
  <si>
    <t>Participación por el consumo de licores destilados introducidos de producción extranjera recaudado p</t>
  </si>
  <si>
    <t>0307 - 110207002010302002002 - 20</t>
  </si>
  <si>
    <t>0307 - 110207002010302002002 - 35</t>
  </si>
  <si>
    <t>0307 - 11020700202</t>
  </si>
  <si>
    <t>Participación sobre el alcohol potable con destino a la fabricación de licores</t>
  </si>
  <si>
    <t>0307 - 1102070020201 - 20</t>
  </si>
  <si>
    <t>Participación por la utilización de alcohol potable producido</t>
  </si>
  <si>
    <t>0307 - 1102070020201 - 205</t>
  </si>
  <si>
    <t xml:space="preserve">MONOPOLIO DEPORTE ALCOHOL POTABLE </t>
  </si>
  <si>
    <t>0307 - 1102070020201 - 35</t>
  </si>
  <si>
    <t>0307 - 120303002 - 20</t>
  </si>
  <si>
    <t>Fondo Nacional de Garantías</t>
  </si>
  <si>
    <t>0307 - 120502002 - 04</t>
  </si>
  <si>
    <t>Depósitos Estampilla Prodesarrollo Inversion 50%</t>
  </si>
  <si>
    <t>0307 - 120502003 - 176</t>
  </si>
  <si>
    <t>Depósitos Estampilla Prodesarrollo Pensiones 20%</t>
  </si>
  <si>
    <t>0307 - 120502004 - 05</t>
  </si>
  <si>
    <t>Depósitos Estampilla Procultura Pensiones 20%</t>
  </si>
  <si>
    <t>0307 - 120502005 - 33</t>
  </si>
  <si>
    <t>Depósitos Estampilla Procultura Seguridad Social 10%</t>
  </si>
  <si>
    <t>0307 - 120502006 - 34</t>
  </si>
  <si>
    <t>Depósitos Estampilla Procultura Bibliotecas 10%</t>
  </si>
  <si>
    <t>0307 - 120502007 - 39</t>
  </si>
  <si>
    <t>Depósitos Estampilla Procultura Concertacion 50%</t>
  </si>
  <si>
    <t>0307 - 120502008 - 41</t>
  </si>
  <si>
    <t>Depósitos Estampilla Procultura Estimulos 10%</t>
  </si>
  <si>
    <t>0307 - 120502009 - 06</t>
  </si>
  <si>
    <t>Depósitos Estampilla Proadulto Mayor Inversion 80%</t>
  </si>
  <si>
    <t>0307 - 120502010 - 178</t>
  </si>
  <si>
    <t>Depósitos Estampilla Proadulto Pensiones 20%</t>
  </si>
  <si>
    <t>0307 - 120502011 - 135</t>
  </si>
  <si>
    <t>Depósitos Desahorro FONPET Pensionales</t>
  </si>
  <si>
    <t>DESAHORRO FONPET CON SITUACION DE FONDOS</t>
  </si>
  <si>
    <t>0307 - 120502012 - 42</t>
  </si>
  <si>
    <t>Depósitos Fondo de Seguridad Ciudadana</t>
  </si>
  <si>
    <t>0307 - 120502013 - 27</t>
  </si>
  <si>
    <t>Depósitos SGP Agua Potable</t>
  </si>
  <si>
    <t>0307 - 120502014 - 20</t>
  </si>
  <si>
    <t>Depósitos Recursos Ordinario</t>
  </si>
  <si>
    <t>0307 - 120502019 - 177</t>
  </si>
  <si>
    <t>Depósitos Estampillas Pro-Desarrollo 30%</t>
  </si>
  <si>
    <t>0307 - 120502020 - 23</t>
  </si>
  <si>
    <t>Depósitos Sobretasa al ACPM</t>
  </si>
  <si>
    <t>0307 - 120502021 - 134</t>
  </si>
  <si>
    <t>Depósitos Material de Río</t>
  </si>
  <si>
    <t>0307 - 120502022 - 179</t>
  </si>
  <si>
    <t>Depósitos Derechos del Monopolio e Impuesto al Consumo Deporte</t>
  </si>
  <si>
    <t>0307 - 120502025 - 145</t>
  </si>
  <si>
    <t>Depósitos Impuesto al Consumo 3% Deporte</t>
  </si>
  <si>
    <t>0307 - 1207</t>
  </si>
  <si>
    <t>Recursos de crédito interno</t>
  </si>
  <si>
    <t>0307 - 120701</t>
  </si>
  <si>
    <t>Recursos de contratos de empréstitos internos</t>
  </si>
  <si>
    <t>0307 - 120701001 - 46</t>
  </si>
  <si>
    <t>Banca comercial</t>
  </si>
  <si>
    <t>0307 - 12100200202 - 157</t>
  </si>
  <si>
    <t>0307 - 12100200213 - 186</t>
  </si>
  <si>
    <t>0307 - 12100200221 - 217</t>
  </si>
  <si>
    <t xml:space="preserve">Superavít Convenios Interadministrativos </t>
  </si>
  <si>
    <t>SUPERÁVIT CONVENIO ANTICONTRABANDO</t>
  </si>
  <si>
    <t>0307 - 12100200234 - 208</t>
  </si>
  <si>
    <t>SUPERÁVIT IMPUESTO AL CONSUMO 3% DEPORTE</t>
  </si>
  <si>
    <t>0307 - 12100200242 - 94</t>
  </si>
  <si>
    <t xml:space="preserve">Superávit Impuesto al Registro Turismo 4% </t>
  </si>
  <si>
    <t>0307 - 12100200243 - 207</t>
  </si>
  <si>
    <t xml:space="preserve">Superávit Convenio Invias Colombia Rural </t>
  </si>
  <si>
    <t>SUPERAVIT CONVENIO INVIAS COLOMBIA RURAL</t>
  </si>
  <si>
    <t>0307 - 12100200244 - 209</t>
  </si>
  <si>
    <t>Superávit estampilla Pro-Desarrollo (20%) Pensiones</t>
  </si>
  <si>
    <t>SUPERÁVIT ESTAMPILLA PRO-DESARROLLO (20%) PENSIONE</t>
  </si>
  <si>
    <t>0307 - 12100200245 - 210</t>
  </si>
  <si>
    <t>Superávit estampilla Pro-Desarrollo (30%) Proyecta</t>
  </si>
  <si>
    <t>SUPERÁVIT ESTAMPILLA PRO-DESARROLLO (30%) PROYECTA</t>
  </si>
  <si>
    <t>0307 - 12100200246 - 211</t>
  </si>
  <si>
    <t>Superávit estampilla Procultura 20% Pensiones</t>
  </si>
  <si>
    <t>SUPERÁVIT ESTAMPILLA PROCULTURA 20% PENSIONES</t>
  </si>
  <si>
    <t>0307 - 12100200247 - 216</t>
  </si>
  <si>
    <t>Superávit estampilla Pro-adulto mayor (20%) Pensión</t>
  </si>
  <si>
    <t>SUPERÁVIT ESTAMPILLA PRO-ADULTO MAYOR (20%) PENSIO</t>
  </si>
  <si>
    <t>0307 - 12100200248 - 122</t>
  </si>
  <si>
    <t>Superávit Desahorro FONPET</t>
  </si>
  <si>
    <t>0307 - 12100200249 - 129</t>
  </si>
  <si>
    <t>Superávit Impuesto al Registro Proyecta</t>
  </si>
  <si>
    <t>0307 - 12100200251 - 213</t>
  </si>
  <si>
    <t>Superávit estampilla Procultura 10% Bibliotecas</t>
  </si>
  <si>
    <t>SUPERÁVIT ESTAMPILLA PRO-CULTURA 10% BIBLIOTECAS</t>
  </si>
  <si>
    <t>0307 - 12100200252 - 212</t>
  </si>
  <si>
    <t>Superávit estampilla Procultura 10% Seguridad Social</t>
  </si>
  <si>
    <t>SUPERÁVIT ESTAMPILLA PRO-CULTURA 10% SEGURIDAD SOC</t>
  </si>
  <si>
    <t>0307 - 12100200253 - 214</t>
  </si>
  <si>
    <t>Superávit estampilla Procultura 50% Concertación</t>
  </si>
  <si>
    <t xml:space="preserve">SUPERÁVIT ESTAMPILLA PRO-CULTURA 50% CONCERTACIÓN </t>
  </si>
  <si>
    <t>0307 - 12100200254 - 215</t>
  </si>
  <si>
    <t>Superávit estampilla Procultura 10% Estimulos</t>
  </si>
  <si>
    <t>SUPERÁVIT ESTAMPILLA PRO-CULTURA  10% ESTÍMULOS</t>
  </si>
  <si>
    <t>0307 - 121201003 - 135</t>
  </si>
  <si>
    <t>0307 - 121301 - 135</t>
  </si>
  <si>
    <t>0307 - 121301 - 202</t>
  </si>
  <si>
    <t>0307 - 121301 - 84</t>
  </si>
  <si>
    <t>0307 - 121302 - 20</t>
  </si>
  <si>
    <t>Recursos no apropiados</t>
  </si>
  <si>
    <t>0314 - 110206006060000000</t>
  </si>
  <si>
    <t>0314 - 110206006060000000000</t>
  </si>
  <si>
    <t>0314 - 120502001010206001</t>
  </si>
  <si>
    <t>0314 - 120502001010206001001 - 21</t>
  </si>
  <si>
    <t>0314 - 120502001010206001002 - 81</t>
  </si>
  <si>
    <t>0314 - 120502001010206006</t>
  </si>
  <si>
    <t>0314 - 120502001010206006006</t>
  </si>
  <si>
    <t>0314 - 12100200211 - 183</t>
  </si>
  <si>
    <t>0314 - 12100200250 - 187</t>
  </si>
  <si>
    <t>Superávit  Transferencias Nacion FOME</t>
  </si>
  <si>
    <t>0314 - 12100200255 - 220</t>
  </si>
  <si>
    <t xml:space="preserve">Superávit Reintegro Cuentas Por pagar </t>
  </si>
  <si>
    <t>REINTEGRO CXP 2021</t>
  </si>
  <si>
    <t>0314 - 121301 - 220</t>
  </si>
  <si>
    <t>0314 - 121301 - 223</t>
  </si>
  <si>
    <t>REINTEGRO SGP CONECTIVDAD</t>
  </si>
  <si>
    <t>0314 - 121301 - 227</t>
  </si>
  <si>
    <t>REINTEGROS PAE</t>
  </si>
  <si>
    <t>0314 - 121301 - 228</t>
  </si>
  <si>
    <t>REINTEGROS FOME</t>
  </si>
  <si>
    <t>0318 - 1101021040201 - 154</t>
  </si>
  <si>
    <t>0318 - 1101021040201 - 58</t>
  </si>
  <si>
    <t>0318 - 1101021040201 - 72</t>
  </si>
  <si>
    <t>0318 - 1101021040202 - 154</t>
  </si>
  <si>
    <t>0318 - 1101021040202 - 58</t>
  </si>
  <si>
    <t>0318 - 1101021040202 - 72</t>
  </si>
  <si>
    <t>0318 - 11010210501 - 154</t>
  </si>
  <si>
    <t>0318 - 11010210501 - 58</t>
  </si>
  <si>
    <t>0318 - 11010210501 - 72</t>
  </si>
  <si>
    <t>0318 - 11010210502 - 154</t>
  </si>
  <si>
    <t>0318 - 11010210502 - 58</t>
  </si>
  <si>
    <t>0318 - 11010210502 - 72</t>
  </si>
  <si>
    <t>PROGRAMA INIMPUTABLES</t>
  </si>
  <si>
    <t>PROGRAMA PREV Y CONTROL ENFERMEDADES POR VECTORES</t>
  </si>
  <si>
    <t>PROGRAMA CONTROL TUBERCULOSIS QUINDIO</t>
  </si>
  <si>
    <t>PROGRAMA CONTROL LEPRA QUINDIO</t>
  </si>
  <si>
    <t>Min. Salud - Resolución 1638 del Ministerio de Hacienda</t>
  </si>
  <si>
    <t>0318 - 1102060060109 - 222</t>
  </si>
  <si>
    <t>Convenio Interadminstrativo Fondo de Estupefacientes</t>
  </si>
  <si>
    <t>CONVENIO FONDO NACIONAL DE ESTUPEFACIENTES</t>
  </si>
  <si>
    <t>0318 - 1102060060110 - 224</t>
  </si>
  <si>
    <t>Min. Salud - Resolucion 1199 de 2022 Urgencias Poblacion Migrante</t>
  </si>
  <si>
    <t>RESOLUCION 1199 POBLACION MIGRANTE</t>
  </si>
  <si>
    <t>0318 - 1102060060111 - 180</t>
  </si>
  <si>
    <t>Min. Salud Resolución 1739 de 2022. Apoyo proceso certificacion de Discapacidad Nacional.</t>
  </si>
  <si>
    <t>MINISTERIO DE SALUD RESOLUCION DISCAPACIDAD</t>
  </si>
  <si>
    <t>Explotacion Sorteo Ordinario 68%</t>
  </si>
  <si>
    <t>0318 - 110207002010201001 - 154</t>
  </si>
  <si>
    <t>0318 - 110207002010201001 - 58</t>
  </si>
  <si>
    <t>0318 - 110207002010201001 - 72</t>
  </si>
  <si>
    <t>0318 - 110207002010201002 - 154</t>
  </si>
  <si>
    <t>0318 - 110207002010201002 - 58</t>
  </si>
  <si>
    <t>0318 - 110207002010201002 - 72</t>
  </si>
  <si>
    <t>0318 - 110207002010202</t>
  </si>
  <si>
    <t>0318 - 110207002010202002 - 154</t>
  </si>
  <si>
    <t>0318 - 110207002010202002 - 58</t>
  </si>
  <si>
    <t>0318 - 110207002010202002 - 72</t>
  </si>
  <si>
    <t>0318 - 1102070020103</t>
  </si>
  <si>
    <t>0318 - 110207002010302</t>
  </si>
  <si>
    <t>0318 - 110207002010302001 - 154</t>
  </si>
  <si>
    <t>0318 - 110207002010302001 - 58</t>
  </si>
  <si>
    <t>0318 - 110207002010302001 - 72</t>
  </si>
  <si>
    <t>0318 - 110207002010302002</t>
  </si>
  <si>
    <t>0318 - 110207002010302002001 - 154</t>
  </si>
  <si>
    <t>0318 - 110207002010302002002 - 58</t>
  </si>
  <si>
    <t>0318 - 110207002010302002002 - 72</t>
  </si>
  <si>
    <t>0318 - 11020700202</t>
  </si>
  <si>
    <t>0318 - 1102070020201 - 154</t>
  </si>
  <si>
    <t>0318 - 1102070020201 - 58</t>
  </si>
  <si>
    <t>0318 - 1102070020201 - 72</t>
  </si>
  <si>
    <t>0318 - 120502015 - 63</t>
  </si>
  <si>
    <t>Depósitos Fondo de Estupefacientes</t>
  </si>
  <si>
    <t>0318 - 120502016 - 58</t>
  </si>
  <si>
    <t>Depósitos Rentas Cedidas</t>
  </si>
  <si>
    <t>0318 - 120502016 - 72</t>
  </si>
  <si>
    <t>0318 - 120502017 - 171</t>
  </si>
  <si>
    <t>Depósitos Subsidio de la Oferta</t>
  </si>
  <si>
    <t>0318 - 120502018 - 61</t>
  </si>
  <si>
    <t>Depósitos Salud Púbica</t>
  </si>
  <si>
    <t>0318 - 120502023 - 161</t>
  </si>
  <si>
    <t>Depósitos Cofinanciación Nacional Salud Púbilca</t>
  </si>
  <si>
    <t>0318 - 120502024 - 102</t>
  </si>
  <si>
    <t>Depósitos Cofinanciación Nacional de Otros Gastos en salud</t>
  </si>
  <si>
    <t>0318 - 120502026 - 152</t>
  </si>
  <si>
    <t>Depósitos Excedentes Aportes Patronales</t>
  </si>
  <si>
    <t>0318 - 120502027 - 154</t>
  </si>
  <si>
    <t>Depósitos Recursos ADRES</t>
  </si>
  <si>
    <t>0318 - 120502027 - 167</t>
  </si>
  <si>
    <t>0318 - 120502028 - 65</t>
  </si>
  <si>
    <t>Depositos Aportes de la Nacion</t>
  </si>
  <si>
    <t>0318 - 120502029 - 96</t>
  </si>
  <si>
    <t>Depósitos  Superávit Rentas Cedidas</t>
  </si>
  <si>
    <t>0318 - 12100200226 - 96</t>
  </si>
  <si>
    <t>0318 - 12100200233 - 152</t>
  </si>
  <si>
    <t>0318 - 12100200255 - 220</t>
  </si>
  <si>
    <t>0318 - 12100200256 - 221</t>
  </si>
  <si>
    <t>Superávit proyecto FRISCO consumo sustancias sicoactivas</t>
  </si>
  <si>
    <t>SUPERÁVIT PROYECTO FRISCO EST CONSUMO SUSTANCIAS S</t>
  </si>
  <si>
    <t>0318 - 12100200257 - 169</t>
  </si>
  <si>
    <t>Superávit Recursos SGSS Salud Adres</t>
  </si>
  <si>
    <t>SUPERAVIT RECURSOS SGSS SALUD -  ADRES</t>
  </si>
  <si>
    <t>0318 - 121302 - 63</t>
  </si>
  <si>
    <t>09 - 12100200217 - 83</t>
  </si>
  <si>
    <t>09 - 12100200237 - 94</t>
  </si>
  <si>
    <t>Superávit Impuesto al Registro Turismo 4%</t>
  </si>
  <si>
    <t>09 - 12100200241 - 206</t>
  </si>
  <si>
    <t>Superávit Resoluciones Programa Inimputables</t>
  </si>
  <si>
    <t>SUPERAVIT RESOLUCION  PROGRAMA INIMPUTABLES</t>
  </si>
  <si>
    <t>0307 - 110102218 - 190</t>
  </si>
  <si>
    <t>Tasa prodeporte y recreación</t>
  </si>
  <si>
    <t>0307 - 11010230018 - 20</t>
  </si>
  <si>
    <t>Estampilla Universidad de los Llanos</t>
  </si>
  <si>
    <t>0307 - 11010230024 - 07</t>
  </si>
  <si>
    <t>Estampilla pro Universidad del Quindío</t>
  </si>
  <si>
    <t>ESTAMPILLA PRO UNIVERSIDAD DEL QUINDIO</t>
  </si>
  <si>
    <t>0307 - 110201005</t>
  </si>
  <si>
    <t>Contribuciones diversas</t>
  </si>
  <si>
    <t>0307 - 11020100559 - 42</t>
  </si>
  <si>
    <t>Contribución especial sobre contratos de obras públicas</t>
  </si>
  <si>
    <t>0307 - 1102030020102</t>
  </si>
  <si>
    <t xml:space="preserve">Recursos de Capital </t>
  </si>
  <si>
    <t>0307 - 110203002010201</t>
  </si>
  <si>
    <t>Recuperación de cartera - préstamos</t>
  </si>
  <si>
    <t>0307 - 110203002 - 50</t>
  </si>
  <si>
    <t>Recuperación cuotas partes pensionales</t>
  </si>
  <si>
    <t>RECUPERACION CARTERA CUOTAS PARTES C.S.F.</t>
  </si>
  <si>
    <t>0307 - 110206009</t>
  </si>
  <si>
    <t>Sin nombre en CCPET</t>
  </si>
  <si>
    <t>0307 - 110206009020200000000000000000002882 - 49</t>
  </si>
  <si>
    <t xml:space="preserve">La Tebaida </t>
  </si>
  <si>
    <t>CUOTAS PARTES PENSIONASLES C.S.F.</t>
  </si>
  <si>
    <t>0307 - 110206009020200000000111116300002928 - 49</t>
  </si>
  <si>
    <t>0307 - 110206009020200000000111116600001460 - 49</t>
  </si>
  <si>
    <t>0307 - 110206009020200000000111117600000963 - 49</t>
  </si>
  <si>
    <t>0307 - 110206009020200000000111126300102187 - 49</t>
  </si>
  <si>
    <t>0307 - 110206009020200000000111126313001922 - 49</t>
  </si>
  <si>
    <t>E.S.P. Empresas Públicas Municipales de Calarcá - EMCA ESP</t>
  </si>
  <si>
    <t>0307 - 110206009020200000000235100000003954 - 133</t>
  </si>
  <si>
    <t>Fondo Nacional de Pensiones de las Entidades Territoriales - FONPET</t>
  </si>
  <si>
    <t>CUOTAS PARTES PENSIONALES</t>
  </si>
  <si>
    <t>0307 - 110206009020200000000311100000002986 - 49</t>
  </si>
  <si>
    <t>0307 - 110206009020200000000311100000003513 - 49</t>
  </si>
  <si>
    <t>0307 - 110206009020200000000321110500000571 - 49</t>
  </si>
  <si>
    <t>Departamento de Antioquia</t>
  </si>
  <si>
    <t>0307 - 110206009020200000000321111700000574 - 49</t>
  </si>
  <si>
    <t>0307 - 110206009020200000000321116600000579 - 49</t>
  </si>
  <si>
    <t>0307 - 110206009020200000000322116300003697 - 49</t>
  </si>
  <si>
    <t>0307 - 110206009020200000000322117600003699 - 49</t>
  </si>
  <si>
    <t>0307 - 110206009020200000000331111777703516 - 49</t>
  </si>
  <si>
    <t>0307 - 110206009020200000000331116311100233 - 49</t>
  </si>
  <si>
    <t>0307 - 110206009020200000000331116319000412 - 49</t>
  </si>
  <si>
    <t>0307 - 110206009020200000000331116347003013 - 49</t>
  </si>
  <si>
    <t>0307 - 110206009020200000000331117602000042 - 49</t>
  </si>
  <si>
    <t>0307 - 110206009020200000000331117673603444 - 49</t>
  </si>
  <si>
    <t>0307 - 110206011 - 257</t>
  </si>
  <si>
    <t>INDEMNIZACIONES RELACIONADAS CON SEGUROS NO DE VID</t>
  </si>
  <si>
    <t>0307 - 110207002010302001 - 179</t>
  </si>
  <si>
    <t>0307 - 110207002010302001 - 20</t>
  </si>
  <si>
    <t>0307 - 110207002010302001 - 35</t>
  </si>
  <si>
    <t>0307 - 1.2</t>
  </si>
  <si>
    <t>0307 - 120303003 - 20</t>
  </si>
  <si>
    <t xml:space="preserve">Fondo de Garantia Regional del Cafe </t>
  </si>
  <si>
    <t>0307 - 120502011 - 136</t>
  </si>
  <si>
    <t>0307 - 1208</t>
  </si>
  <si>
    <t>0307 - 120806</t>
  </si>
  <si>
    <t>De otras entidades del gobierno general</t>
  </si>
  <si>
    <t>0307 - 120806002 - 235</t>
  </si>
  <si>
    <t>Condicionadas a la adquisición de un activo</t>
  </si>
  <si>
    <t>CONVENIO 047/22 RESGUARDO INDIGENA KARABIJUA</t>
  </si>
  <si>
    <t>0307 - 1209</t>
  </si>
  <si>
    <t>0307 - 120905 - 50</t>
  </si>
  <si>
    <t>0307 - 12.10</t>
  </si>
  <si>
    <t>0307 - 1.2.10.02</t>
  </si>
  <si>
    <t>0307 - 1.2.10.02.001</t>
  </si>
  <si>
    <t>0307 - 1.2.10.02.001.01 - 88</t>
  </si>
  <si>
    <t>0307 - 1.2.10.02.002</t>
  </si>
  <si>
    <t>0307 - 1.2.10.02.002.01 - 82</t>
  </si>
  <si>
    <t>0307 - 1.2.10.02.002.02 - 157</t>
  </si>
  <si>
    <t>0307 - 1.2.10.02.002.07 - 91</t>
  </si>
  <si>
    <t>0307 - 12100200258 - 227</t>
  </si>
  <si>
    <t>Superávit Convenio Invias 1274/22 Puntos Críticos</t>
  </si>
  <si>
    <t>SUPERÁVIT CONVENIO INVIAS 1274/22 PUNTOS CRITICOS</t>
  </si>
  <si>
    <t>0307 - 12100200259 - 228</t>
  </si>
  <si>
    <t>Superávit convenio invias 1609 de 2020 vías terciarias</t>
  </si>
  <si>
    <t>SUPERÁVIT CONVENIO 1609/20 INVIAS VIAS TERCIARIAS</t>
  </si>
  <si>
    <t>0307 - 12100200260 - 230</t>
  </si>
  <si>
    <t>Superávit Resolucion 1293 de 2022 Minsalud Laboratorio de Salud Pública</t>
  </si>
  <si>
    <t>SUPERÁVIT RESOLUCION 1293/22 MINSALUD LABORATORIO</t>
  </si>
  <si>
    <t>0307 - 12100200261 - 229</t>
  </si>
  <si>
    <t>Superávit convenio Invias 1645 de 2021 Salento Arrayanel</t>
  </si>
  <si>
    <t>SUPERÁVIT CONVENIO INVIAS 1645/21 SALENTO</t>
  </si>
  <si>
    <t>0307 - 12100200262 - 231</t>
  </si>
  <si>
    <t xml:space="preserve">Superávit Monopolio Deporte Alcohol Potable </t>
  </si>
  <si>
    <t>SUPERÁVIT MONOPOLIO DEPORTE ALCOHOL POTABLE</t>
  </si>
  <si>
    <t>0307 - 121203</t>
  </si>
  <si>
    <t>Para el pago de la deuda por docentes al Fondo de Prestaciones Sociales del Magisterio (FPSM)</t>
  </si>
  <si>
    <t>0307 - 121203001 - 135</t>
  </si>
  <si>
    <t>0307 - 121301 - 52</t>
  </si>
  <si>
    <t>0314 - 1.2</t>
  </si>
  <si>
    <t>0314 - 12.10</t>
  </si>
  <si>
    <t>0314 - 1.2.10.01 - 236</t>
  </si>
  <si>
    <t>Cancelación Reservas</t>
  </si>
  <si>
    <t>CANCELACION RESERVA PAE</t>
  </si>
  <si>
    <t>0314 - 1.2.10.01 - 256</t>
  </si>
  <si>
    <t xml:space="preserve">CANCELACION RESERVA S.G.P </t>
  </si>
  <si>
    <t>0314 - 1.2.10.02</t>
  </si>
  <si>
    <t>0314 - 1.2.10.02.001</t>
  </si>
  <si>
    <t>0314 - 1.2.10.02.001.01 - 88</t>
  </si>
  <si>
    <t>0314 - 1.2.10.02.002</t>
  </si>
  <si>
    <t>0314 - 121301 - 258</t>
  </si>
  <si>
    <t xml:space="preserve">REINTEGRO PAE </t>
  </si>
  <si>
    <t>0318 - 1101021030201 - 72</t>
  </si>
  <si>
    <t>Min. Salud - Resolucion 1654 de 2023 Poblacion Migrante</t>
  </si>
  <si>
    <t>0318 - 1102060060112 - 180</t>
  </si>
  <si>
    <t>Min Salud Res 403 del 21 Marzo_23 para Cofinanciar el Procedimiento de Certificación  de Discapacida</t>
  </si>
  <si>
    <t>0318 - 110207002010302002002 - 154</t>
  </si>
  <si>
    <t>0318 - 1.2</t>
  </si>
  <si>
    <t>0318 - 120506 - 154</t>
  </si>
  <si>
    <t>Rendimientos recursos de terceros</t>
  </si>
  <si>
    <t>0318 - 120804002 - 154</t>
  </si>
  <si>
    <t>Premios de loterías</t>
  </si>
  <si>
    <t>0318 - 12.10</t>
  </si>
  <si>
    <t>0318 - 1.2.10.02</t>
  </si>
  <si>
    <t>0318 - 1.2.10.02.002</t>
  </si>
  <si>
    <t>0318 - 12100200263 - 127</t>
  </si>
  <si>
    <t>Superávit Iva Licores Nacionales</t>
  </si>
  <si>
    <t>SUPERAVIT IVA LICORES NACIONALES</t>
  </si>
  <si>
    <t>0318 - 12100200264 - 167</t>
  </si>
  <si>
    <t>Superavít Recursos Adres Res 2359/2019</t>
  </si>
  <si>
    <t>0318 - 12100200265 - 232</t>
  </si>
  <si>
    <t>Superavít Rendimientos Adres Res 2359/2019</t>
  </si>
  <si>
    <t>SUPERÁVIT RENDIMIENTOS ADRES RES 2359 DE 2019</t>
  </si>
  <si>
    <t>0318 - 12100200266 - 233</t>
  </si>
  <si>
    <t xml:space="preserve">Superavít Rentas Cedidas Prestación de Servicios en Salud </t>
  </si>
  <si>
    <t xml:space="preserve">SUPERÁVIT RTAS CEDIDAS  PRESTACION SS EN SALUD </t>
  </si>
  <si>
    <t>0318 - 12100200267 - 234</t>
  </si>
  <si>
    <t>Superavít Rendimientos Adres Vigencia 2020</t>
  </si>
  <si>
    <t>SUPERÁVIT RENDIMIENTOS ADRES VIGENCIA 2020</t>
  </si>
  <si>
    <t>Asignaciones y distribuciones del Sistema General de Regalías</t>
  </si>
  <si>
    <t>Administración, SSEC, inversión y ahorro para la estabilización de la inversión del SGR</t>
  </si>
  <si>
    <t>06 - 1102060020101</t>
  </si>
  <si>
    <t>Administración del Sistema General de Regalías</t>
  </si>
  <si>
    <t>06 - 110206002010101</t>
  </si>
  <si>
    <t>Funcionamiento, operatividad y administración del sistema y evaluación y monitoreo del licenciamient</t>
  </si>
  <si>
    <t>06 - 110206002010101005 - 70</t>
  </si>
  <si>
    <t>Saldos a 31 de diciembre, para fortalecimiento de las oficinas de planeación y/o las secretarías téc</t>
  </si>
  <si>
    <t>06 - 1102060020103</t>
  </si>
  <si>
    <t>Asignaciones del Sistema General de Regalías</t>
  </si>
  <si>
    <t>06 - 110206002010301</t>
  </si>
  <si>
    <t>Asignaciones directas</t>
  </si>
  <si>
    <t>06 - 110206002010301001</t>
  </si>
  <si>
    <t>Asignaciones directas (20% del SGR)</t>
  </si>
  <si>
    <t>06 - 110206002010301001000</t>
  </si>
  <si>
    <t>06 - 110206002010301001000002020003630002 - 70</t>
  </si>
  <si>
    <t>06 - 110206002010301001000002022003630014 - 70</t>
  </si>
  <si>
    <t xml:space="preserve">DESARROLLO DE INSTRUMENTOS Y HERRAMIENTAS PARA LA PLANEACION Y GESTION DEL ORDENAMIENTO TERRITORIAL </t>
  </si>
  <si>
    <t>06 - 110206002010303</t>
  </si>
  <si>
    <t>Asignación para la inversión regional</t>
  </si>
  <si>
    <t>06 - 110206002010303001</t>
  </si>
  <si>
    <t xml:space="preserve">Asignación para la Inversión Regional - Departamentos </t>
  </si>
  <si>
    <t>06 - 110206002010303001000</t>
  </si>
  <si>
    <t>06 - 110206002010303001000002016000040028 - 70</t>
  </si>
  <si>
    <t>Implementación del programa integral de bilingüismo Quindío bilingüe y competitivo en el departamen"</t>
  </si>
  <si>
    <t>06 - 110206002010303001000002016000040029 - 70</t>
  </si>
  <si>
    <t>Construcción de pavimento en concreto asfaltico para el desarrollo regional y la conectividad en los</t>
  </si>
  <si>
    <t>06 - 110206002010303001000002017000040014 - 70</t>
  </si>
  <si>
    <t>06 - 110206002010303001000002017000040038 - 70</t>
  </si>
  <si>
    <t>Remodelación Y optimización DE escenarios deportivos, obras DE urbanismo complementarias y movilidad</t>
  </si>
  <si>
    <t>06 - 110206002010303001000002018000040014 - 70</t>
  </si>
  <si>
    <t>Generación DE INSTRUMENTOS DE VALORACIÓN DE LA AMENAZA SÍSMICA PARA EL DESARROLLO DE PROCESOS DE RED</t>
  </si>
  <si>
    <t>06 - 110206002010303001000002018000040015 - 70</t>
  </si>
  <si>
    <t>Implementación de acciones de adaptación etapa i del plan de gestión integral del cambio climático (</t>
  </si>
  <si>
    <t>06 - 110206002010303001000002018000040059 - 70</t>
  </si>
  <si>
    <t>Mejoramiento DE LA VÍA circasia - Montenegro CON CÓDIGO 29bqn03, EN LOS MUNICIPIOS DE circasia Y Mon</t>
  </si>
  <si>
    <t>06 - 110206002010303001000002019000040008 - 70</t>
  </si>
  <si>
    <t xml:space="preserve">Desarrollo DE instrumentos Y herramientas PARA LA PLANEACIÓN Y GESTIÓN DEL ORDENAMIENTO TERRITORIAL </t>
  </si>
  <si>
    <t>06 - 110206002010303001000002019000040046 - 70</t>
  </si>
  <si>
    <t>Implementación DE UN PROGRAMA DE EDUCACIÓN SUPERIOR PARA LA PROFESIONALIZACIÓN DE LOS ARTISTAS, COMO</t>
  </si>
  <si>
    <t>06 - 110206002010303001000002021003630014 - 70</t>
  </si>
  <si>
    <t>Fortalecimiento del ecosistema de emprendimiento mediante el acompañamiento técnico y servicio de ap</t>
  </si>
  <si>
    <t>06 - 110206002010303001000002023003630002 - 70</t>
  </si>
  <si>
    <t>MODERNIZACION DEL LABORATORIO DE SALUD PUBLICA DEPARTAMENTAL QUINDIO</t>
  </si>
  <si>
    <t>06 - 110206002010303001000020181301011142 - 70</t>
  </si>
  <si>
    <t>Construcción obras DE ESTABILIZACIÓN Y REHABILITACIÓN DE LA VÍA rio verde-pijao (COD.40QN03), ESTABI</t>
  </si>
  <si>
    <t>06 - 110206002010306</t>
  </si>
  <si>
    <t>Asignación para la Ciencia, Tecnología E Innovación</t>
  </si>
  <si>
    <t>06 - 110206002010306003</t>
  </si>
  <si>
    <t>Asignación para la Ciencia, Tecnología E Innovación - Convocatorias 2021</t>
  </si>
  <si>
    <t>06 - 110206002010306003000</t>
  </si>
  <si>
    <t>06 - 110206002010306003000002013000100199 - 70</t>
  </si>
  <si>
    <t>Implementación de un programa de innovación social para el fomento de una cultura ciudadana y empren</t>
  </si>
  <si>
    <t>06 - 110206002010306003000002017000100099 - 70</t>
  </si>
  <si>
    <t>Desarrollo experimental para la competitividad del sector cafetero DEL departamento DEL Quindío.</t>
  </si>
  <si>
    <t>06 - 110206002010306003000002017000100113 - 70</t>
  </si>
  <si>
    <t>Fortalecimiento de un centro de innovación y productividad agrario adecuando una infraestructura tec</t>
  </si>
  <si>
    <t>06 - 1.2</t>
  </si>
  <si>
    <t>0307 - 1.1</t>
  </si>
  <si>
    <t>0307 - 1.1.01</t>
  </si>
  <si>
    <t>0307 - 1.1.01.01</t>
  </si>
  <si>
    <t>0307 - 1.1.01.01.100 - 20</t>
  </si>
  <si>
    <t>0307 - 1.1.01.02</t>
  </si>
  <si>
    <t>0307 - 1.1.01.02.100</t>
  </si>
  <si>
    <t>0307 - 1.1.01.02.100.01</t>
  </si>
  <si>
    <t>0307 - 1.1.01.02.100.01.01 - 01</t>
  </si>
  <si>
    <t>0307 - 1.1.01.02.100.01.02 - 13</t>
  </si>
  <si>
    <t>0307 - 1.1.01.02.100.01.03 - 20</t>
  </si>
  <si>
    <t>0307 - 1.1.01.02.100.01.04 - 52</t>
  </si>
  <si>
    <t>0307 - 1.1.01.02.100.01.05 - 53</t>
  </si>
  <si>
    <t>IMPUESTO AL  REGISTRO PROYECTA 6%</t>
  </si>
  <si>
    <t>0307 - 1.1.01.02.100.02</t>
  </si>
  <si>
    <t>0307 - 1.1.01.02.100.02.01 - 01</t>
  </si>
  <si>
    <t>0307 - 1.1.01.02.100.02.02 - 13</t>
  </si>
  <si>
    <t>0307 - 1.1.01.02.100.02.03 - 20</t>
  </si>
  <si>
    <t>0307 - 1.1.01.02.100.02.04 - 52</t>
  </si>
  <si>
    <t>0307 - 1.1.01.02.100.02.05 - 53</t>
  </si>
  <si>
    <t>0307 - 1.1.01.02.102 - 20</t>
  </si>
  <si>
    <t>0307 - 1.1.01.02.104</t>
  </si>
  <si>
    <t>0307 - 1.1.01.02.104.02</t>
  </si>
  <si>
    <t>0307 - 1.1.01.02.104.02.01</t>
  </si>
  <si>
    <t>Impuesto al consumo de vinos, aperitivos y similares - Componente Específico</t>
  </si>
  <si>
    <t>0307 - 1.1.01.02.104.02.01.01 - 145</t>
  </si>
  <si>
    <t>Impuesto al consumo de vinos, aperitivos y similares - Componente Específico de Producción Nacional</t>
  </si>
  <si>
    <t>0307 - 1.1.01.02.104.02.01.01 - 20</t>
  </si>
  <si>
    <t>0307 - 1.1.01.02.104.02.01.02 - 145</t>
  </si>
  <si>
    <t>Impuesto al consumo de vinos, aperitivos y similares - Componente Específico de Producción Extranjer</t>
  </si>
  <si>
    <t>0307 - 1.1.01.02.104.02.01.02 - 20</t>
  </si>
  <si>
    <t>0307 - 1.1.01.02.104.02.02</t>
  </si>
  <si>
    <t>Impuesto al consumo de vinos, aperitivos y similares - Componente Ad Valorem</t>
  </si>
  <si>
    <t>0307 - 1.1.01.02.104.02.02.01 - 145</t>
  </si>
  <si>
    <t>Impuesto al consumo de vinos, aperitivos y similares - Componente Ad Valorem de Producción Nacional</t>
  </si>
  <si>
    <t>0307 - 1.1.01.02.104.02.02.01 - 20</t>
  </si>
  <si>
    <t>0307 - 1.1.01.02.104.02.02.02 - 145</t>
  </si>
  <si>
    <t>Impuesto al consumo de vinos, aperitivos y similares - Componente Ad Valorem de Producción Extranjer</t>
  </si>
  <si>
    <t>0307 - 1.1.01.02.104.02.02.02 - 20</t>
  </si>
  <si>
    <t>0307 - 1.1.01.02.105</t>
  </si>
  <si>
    <t>0307 - 1.1.01.02.105.01 - 20</t>
  </si>
  <si>
    <t>0307 - 1.1.01.02.105.02 - 20</t>
  </si>
  <si>
    <t>0307 - 1.1.01.02.106</t>
  </si>
  <si>
    <t>0307 - 1.1.01.02.106.01</t>
  </si>
  <si>
    <t>0307 - 1.1.01.02.106.01.02 - 20</t>
  </si>
  <si>
    <t>0307 - 1.1.01.02.109 - 20</t>
  </si>
  <si>
    <t>0307 - 1.1.01.02.218 - 190</t>
  </si>
  <si>
    <t>0307 - 1.1.01.02.300</t>
  </si>
  <si>
    <t>0307 - 1.1.01.02.300.01</t>
  </si>
  <si>
    <t>0307 - 1.1.01.02.300.01.01 - 06</t>
  </si>
  <si>
    <t>0307 - 1.1.01.02.300.01.02 - 178</t>
  </si>
  <si>
    <t>0307 - 1.1.01.02.300.02</t>
  </si>
  <si>
    <t>0307 - 1.1.01.02.300.02.01 - 04</t>
  </si>
  <si>
    <t>0307 - 1.1.01.02.300.02.02 - 176</t>
  </si>
  <si>
    <t>0307 - 1.1.01.02.300.02.03 - 177</t>
  </si>
  <si>
    <t>ESTAMPILLA PRO-DESARROLLO (30%) PROYECTA</t>
  </si>
  <si>
    <t>0307 - 1.1.01.02.300.45 - 08</t>
  </si>
  <si>
    <t>0307 - 1.1.01.02.300.55</t>
  </si>
  <si>
    <t>0307 - 1.1.01.02.300.55.01 - 05</t>
  </si>
  <si>
    <t>0307 - 1.1.01.02.300.55.02 - 33</t>
  </si>
  <si>
    <t>0307 - 1.1.01.02.300.55.03 - 34</t>
  </si>
  <si>
    <t>0307 - 1.1.01.02.300.55.04 - 39</t>
  </si>
  <si>
    <t>0307 - 1.1.01.02.300.55.05 - 41</t>
  </si>
  <si>
    <t>0307 - 1.1.02</t>
  </si>
  <si>
    <t>0307 - 1.1.02.01</t>
  </si>
  <si>
    <t>0307 - 1.1.02.01.003</t>
  </si>
  <si>
    <t>0307 - 1.1.02.01.003.01</t>
  </si>
  <si>
    <t>0307 - 1.1.02.01.003.01.00</t>
  </si>
  <si>
    <t>0307 - 1.1.02.01.003.01.00.00</t>
  </si>
  <si>
    <t>0307 - 1.1.02.01.003.01.00.00.00</t>
  </si>
  <si>
    <t>0307 - 1.1.02.01.003.01.00.00.00.00</t>
  </si>
  <si>
    <t>0307 - 1.1.02.01.003.01.00.00.00.00.00907 - 18</t>
  </si>
  <si>
    <t>0307 - 1.1.02.01.003.01.00.00.00.00.01002 - 18</t>
  </si>
  <si>
    <t>0307 - 1.1.02.01.003.01.00.00.00.00.01301 - 18</t>
  </si>
  <si>
    <t>0307 - 1.1.02.01.003.01.00.00.00.00.01859 - 18</t>
  </si>
  <si>
    <t>E.S.P. Empresas Públicas del Quindío S.A. EPQ</t>
  </si>
  <si>
    <t>0307 - 1.1.02.01.003.01.00.00.00.00.02621 - 18</t>
  </si>
  <si>
    <t xml:space="preserve">Instituto Departamental de Deporte y Recreación del Quindío </t>
  </si>
  <si>
    <t>0307 - 1.1.02.01.003.01.00.00.00.00.02635 - 18</t>
  </si>
  <si>
    <t>0307 - 1.1.02.01.003.01.00.00.00.00.02928 - 18</t>
  </si>
  <si>
    <t>Lotería del Quindío E.I.C.E. - LOTQUIND</t>
  </si>
  <si>
    <t>0307 - 1.1.02.01.003.01.00.00.00.00.03197 - 18</t>
  </si>
  <si>
    <t xml:space="preserve">Promotora de Vivienda y Desarrollo del Quindío (PROYECTA) </t>
  </si>
  <si>
    <t>0307 - 1.1.02.01.003.01.00.00.00.00.03697 - 18</t>
  </si>
  <si>
    <t>0307 - 1.1.02.01.005</t>
  </si>
  <si>
    <t>0307 - 1.1.02.01.005.59 - 42</t>
  </si>
  <si>
    <t>0307 - 1.1.02.03</t>
  </si>
  <si>
    <t>0307 - 1.1.02.03.001</t>
  </si>
  <si>
    <t>0307 - 1.1.02.03.001.03 - 20</t>
  </si>
  <si>
    <t>0307 - 1.1.02.03.001.04 - 20</t>
  </si>
  <si>
    <t>0307 - 1.1.02.03.001.05 - 20</t>
  </si>
  <si>
    <t>0307 - 1.1.02.03.001.06 - 20</t>
  </si>
  <si>
    <t>0307 - 1.1.02.03.001.11</t>
  </si>
  <si>
    <t>0307 - 1.1.02.03.001.11.01 - 20</t>
  </si>
  <si>
    <t>0307 - 1.1.02.03.002</t>
  </si>
  <si>
    <t>0307 - 1.1.02.03.002.01 - 20</t>
  </si>
  <si>
    <t xml:space="preserve">Intereses de mora Impuesto sobre vehículos automotores </t>
  </si>
  <si>
    <t>0307 - 1.1.02.05</t>
  </si>
  <si>
    <t>0307 - 1.1.02.05.001</t>
  </si>
  <si>
    <t>0307 - 1.1.02.05.001.09 - 20</t>
  </si>
  <si>
    <t>0307 - 1.1.02.05.002</t>
  </si>
  <si>
    <t>0307 - 1.1.02.05.002.07 - 20</t>
  </si>
  <si>
    <t>0307 - 1.1.02.06</t>
  </si>
  <si>
    <t>0307 - 1.1.02.06.001</t>
  </si>
  <si>
    <t>0307 - 1.1.02.06.001.05 - 27</t>
  </si>
  <si>
    <t>0307 - 1.1.02.06.003</t>
  </si>
  <si>
    <t>0307 - 1.1.02.06.003.01</t>
  </si>
  <si>
    <t>0307 - 1.1.02.06.003.01.10 - 23</t>
  </si>
  <si>
    <t>0307 - 1.1.02.06.003.01.11 - 47</t>
  </si>
  <si>
    <t>0307 - 1.1.02.06.006</t>
  </si>
  <si>
    <t>0307 - 1.1.02.06.006.06</t>
  </si>
  <si>
    <t>0307 - 1.1.02.06.006.06.00</t>
  </si>
  <si>
    <t>0307 - 1.1.02.06.006.06.00.00</t>
  </si>
  <si>
    <t>0307 - 1.1.02.06.006.06.00.00.00</t>
  </si>
  <si>
    <t>0307 - 1.1.02.06.006.06.00.00.00.00.00</t>
  </si>
  <si>
    <t>0307 - 1.1.02.06.006.06.00.00.00.00.00.02217 - 56</t>
  </si>
  <si>
    <t>Federación Nacional de Departamentos - FND</t>
  </si>
  <si>
    <t>0307 - 1.1.02.06.009.02</t>
  </si>
  <si>
    <t>0307 - 1.1.02.06.009.02.02</t>
  </si>
  <si>
    <t>0307 - 1.1.02.06.009.02.02.00</t>
  </si>
  <si>
    <t>0307 - 1.1.02.06.009.02.02.00.00</t>
  </si>
  <si>
    <t>0307 - 1.1.02.06.009.02.02.00.00.00</t>
  </si>
  <si>
    <t>0307 - 1.1.02.06.009.02.02.00.00.00.00042 - 49</t>
  </si>
  <si>
    <t>0307 - 1.1.02.06.009.02.02.00.00.00.00096 - 49</t>
  </si>
  <si>
    <t xml:space="preserve">Armenia </t>
  </si>
  <si>
    <t>0307 - 1.1.02.06.009.02.02.00.00.00.00233 - 49</t>
  </si>
  <si>
    <t>0307 - 1.1.02.06.009.02.02.00.00.00.00284 - 49</t>
  </si>
  <si>
    <t xml:space="preserve">Calarca </t>
  </si>
  <si>
    <t>0307 - 1.1.02.06.009.02.02.00.00.00.00412 - 49</t>
  </si>
  <si>
    <t>0307 - 1.1.02.06.009.02.02.00.00.00.00574 - 49</t>
  </si>
  <si>
    <t>0307 - 1.1.02.06.009.02.02.00.00.00.00600 - 49</t>
  </si>
  <si>
    <t>Departamento del Valle del Cauca</t>
  </si>
  <si>
    <t>0307 - 1.1.02.06.009.02.02.00.00.00.02226 - 49</t>
  </si>
  <si>
    <t xml:space="preserve">Filandia </t>
  </si>
  <si>
    <t>0307 - 1.1.02.06.009.02.02.00.00.00.02372 - 49</t>
  </si>
  <si>
    <t xml:space="preserve">Genova </t>
  </si>
  <si>
    <t>0307 - 1.1.02.06.009.02.02.00.00.00.02882 - 49</t>
  </si>
  <si>
    <t>0307 - 1.1.02.06.009.02.02.00.00.00.03013 - 49</t>
  </si>
  <si>
    <t>0307 - 1.1.02.06.009.02.02.00.00.00.03058 - 49</t>
  </si>
  <si>
    <t xml:space="preserve">Obando </t>
  </si>
  <si>
    <t>0307 - 1.1.02.06.009.02.02.00.00.00.03161 - 49</t>
  </si>
  <si>
    <t xml:space="preserve">Pereira </t>
  </si>
  <si>
    <t>0307 - 1.1.02.06.009.02.02.00.00.00.03231 - 49</t>
  </si>
  <si>
    <t xml:space="preserve">Puerto Salgar </t>
  </si>
  <si>
    <t>0307 - 1.1.02.06.009.02.02.00.00.00.03244 - 49</t>
  </si>
  <si>
    <t xml:space="preserve">Quimbaya </t>
  </si>
  <si>
    <t>0307 - 1.1.02.06.009.02.02.00.00.00.03279 - 49</t>
  </si>
  <si>
    <t xml:space="preserve">Risaralda </t>
  </si>
  <si>
    <t>0307 - 1.1.02.06.009.02.02.00.00.00.03303 - 49</t>
  </si>
  <si>
    <t xml:space="preserve">Salento </t>
  </si>
  <si>
    <t>0307 - 1.1.02.06.009.02.02.00.00.00.03516 - 49</t>
  </si>
  <si>
    <t>0307 - 1.1.02.06.009.02.02.00.00.00.03954 - 133</t>
  </si>
  <si>
    <t>0307 - 1.1.02.06.009.02.02.00.00.00.11111 - 49</t>
  </si>
  <si>
    <t xml:space="preserve">Municipio de Risaralda Caldas </t>
  </si>
  <si>
    <t>0307 - 1.1.02.06.009.02.02.00.00.00.34444 - 49</t>
  </si>
  <si>
    <t>0307 - 1.1.02.07</t>
  </si>
  <si>
    <t>0307 - 1.1.02.07.002</t>
  </si>
  <si>
    <t>0307 - 1.1.02.07.002.01</t>
  </si>
  <si>
    <t>0307 - 1.1.02.07.002.01.02</t>
  </si>
  <si>
    <t>0307 - 1.1.02.07.002.01.02.01 - 179</t>
  </si>
  <si>
    <t>0307 - 1.1.02.07.002.01.02.01 - 20</t>
  </si>
  <si>
    <t>0307 - 1.1.02.07.002.01.02.01 - 35</t>
  </si>
  <si>
    <t>0307 - 1.1.02.07.002.01.02.02 - 179</t>
  </si>
  <si>
    <t>0307 - 1.1.02.07.002.01.02.02 - 20</t>
  </si>
  <si>
    <t>0307 - 1.1.02.07.002.01.02.02 - 35</t>
  </si>
  <si>
    <t>0307 - 1.1.02.07.002.01.03</t>
  </si>
  <si>
    <t>0307 - 1.1.02.07.002.01.03.02</t>
  </si>
  <si>
    <t>0307 - 1.1.02.07.002.01.03.02.01 - 179</t>
  </si>
  <si>
    <t>0307 - 1.1.02.07.002.01.03.02.01 - 20</t>
  </si>
  <si>
    <t>0307 - 1.1.02.07.002.01.03.02.01 - 35</t>
  </si>
  <si>
    <t>0307 - 1.1.02.07.002.01.03.02.02</t>
  </si>
  <si>
    <t>0307 - 1.1.02.07.002.01.03.02.02.02 - 179</t>
  </si>
  <si>
    <t>0307 - 1.1.02.07.002.01.03.02.02.02 - 20</t>
  </si>
  <si>
    <t>0307 - 1.1.02.07.002.01.03.02.02.02 - 35</t>
  </si>
  <si>
    <t>0307 - 1.1.02.07.002.02</t>
  </si>
  <si>
    <t>0307 - 1.1.02.07.002.02.01 - 20</t>
  </si>
  <si>
    <t>0307 - 1.1.02.07.002.02.01 - 205</t>
  </si>
  <si>
    <t>0307 - 1.1.02.07.002.02.01 - 35</t>
  </si>
  <si>
    <t>0307 - 1.2.03</t>
  </si>
  <si>
    <t>0307 - 1.2.03.03</t>
  </si>
  <si>
    <t>0307 - 1.2.03.03.01 - 20</t>
  </si>
  <si>
    <t>0307 - 1.2.05</t>
  </si>
  <si>
    <t>0307 - 1.2.05.02</t>
  </si>
  <si>
    <t>0307 - 1.2.05.02.002 - 04</t>
  </si>
  <si>
    <t>0307 - 1.2.05.02.003 - 176</t>
  </si>
  <si>
    <t>0307 - 1.2.05.02.004 - 05</t>
  </si>
  <si>
    <t>0307 - 1.2.05.02.005 - 33</t>
  </si>
  <si>
    <t>0307 - 1.2.05.02.006 - 34</t>
  </si>
  <si>
    <t>0307 - 1.2.05.02.007 - 39</t>
  </si>
  <si>
    <t>0307 - 1.2.05.02.008 - 41</t>
  </si>
  <si>
    <t>0307 - 1.2.05.02.009 - 06</t>
  </si>
  <si>
    <t>0307 - 1.2.05.02.010 - 178</t>
  </si>
  <si>
    <t>0307 - 1.2.05.02.011 - 136</t>
  </si>
  <si>
    <t>DEPOSITOS DESAHOOROO FONPET CON SITUACION</t>
  </si>
  <si>
    <t>0307 - 1.2.05.02.012 - 42</t>
  </si>
  <si>
    <t>0307 - 1.2.05.02.013 - 27</t>
  </si>
  <si>
    <t>0307 - 1.2.05.02.014 - 20</t>
  </si>
  <si>
    <t>0307 - 1.2.09</t>
  </si>
  <si>
    <t>0307 - 1.2.09.05 - 50</t>
  </si>
  <si>
    <t>0307 - 12100200243 - 227</t>
  </si>
  <si>
    <t>0307 - 12100200268 - 264</t>
  </si>
  <si>
    <t xml:space="preserve">SUPERAVIT CONVENIO 047/22 RESGUARDO INDIGENA KARABIJUA </t>
  </si>
  <si>
    <t>SUPERÁVIT KARABIJUA</t>
  </si>
  <si>
    <t>0307 - 1.2.12</t>
  </si>
  <si>
    <t>0307 - 1.2.12.03</t>
  </si>
  <si>
    <t>0307 - 1.2.12.03.001 - 135</t>
  </si>
  <si>
    <t>0307 - 1.2.13</t>
  </si>
  <si>
    <t>0307 - 1.2.13.01 - 20</t>
  </si>
  <si>
    <t>0314 - 1.1</t>
  </si>
  <si>
    <t>0314 - 1.1.02</t>
  </si>
  <si>
    <t>0314 - 1.1.02.06</t>
  </si>
  <si>
    <t>0314 - 1.1.02.06.001</t>
  </si>
  <si>
    <t>0314 - 1.1.02.06.001.01</t>
  </si>
  <si>
    <t>0314 - 1.1.02.06.006</t>
  </si>
  <si>
    <t>0314 - 1.1.02.06.006.06</t>
  </si>
  <si>
    <t>0314 - 1.1.02.06.006.06.00</t>
  </si>
  <si>
    <t>0314 - 1.1.02.06.006.06.00.00</t>
  </si>
  <si>
    <t>0314 - 1.1.02.06.006.06.00.00.00</t>
  </si>
  <si>
    <t>0314 - 1.1.02.06.006.06.00.00.00.00.00</t>
  </si>
  <si>
    <t>0314 - 1.1.02.06.006.06.04663 - 81</t>
  </si>
  <si>
    <t>U.A.E. de Alimentación Escolar - Alimentos para Aprender - UAPA</t>
  </si>
  <si>
    <t>0314 - 1.2.05</t>
  </si>
  <si>
    <t>0314 - 1.2.05.02</t>
  </si>
  <si>
    <t>0314 - 120502028 - 21</t>
  </si>
  <si>
    <t>0314 - 120502028 - 81</t>
  </si>
  <si>
    <t>0314 - 12100200207 - 91</t>
  </si>
  <si>
    <t>0314 - 1.2.13</t>
  </si>
  <si>
    <t>0314 - 1.2.13.01 - 204</t>
  </si>
  <si>
    <t>0318 - 1.1</t>
  </si>
  <si>
    <t>0318 - 1.1.01</t>
  </si>
  <si>
    <t>0318 - 1.1.01.01</t>
  </si>
  <si>
    <t>0318 - 1.1.01.01.101</t>
  </si>
  <si>
    <t>0318 - 1.1.01.01.101.01 - 246</t>
  </si>
  <si>
    <t>IMPUESTO A GANADORES - SSF - REGIMEN SUBSIADO</t>
  </si>
  <si>
    <t>0318 - 1.1.01.01.101.02 - 246</t>
  </si>
  <si>
    <t>0318 - 1.1.01.01.101.03 - 247</t>
  </si>
  <si>
    <t>IMPUESTO A GANADORES - SSF- OTROS GASTOS EN SALUD</t>
  </si>
  <si>
    <t>0318 - 1.1.01.01.101.04 - 247</t>
  </si>
  <si>
    <t>0318 - 1.1.01.01.101.05 - 182</t>
  </si>
  <si>
    <t>0318 - 1.1.01.01.101.05 - 248</t>
  </si>
  <si>
    <t>IMPUESTO A GANADORES - SSF - COLCIENCIAS</t>
  </si>
  <si>
    <t>0318 - 1.1.01.01.101.06 - 182</t>
  </si>
  <si>
    <t>0318 - 1.1.01.01.101.06 - 248</t>
  </si>
  <si>
    <t>0318 - 1.1.01.02</t>
  </si>
  <si>
    <t>0318 - 1.1.01.02.101</t>
  </si>
  <si>
    <t>0318 - 1.1.01.02.101.01 - 249</t>
  </si>
  <si>
    <t>LOTERÍAS FORÁNEAS - SSF - REGIMEN SUBSIDIADO</t>
  </si>
  <si>
    <t>0318 - 1.1.01.02.101.02 - 250</t>
  </si>
  <si>
    <t>LOTERÍAS FORÁNEAS - SSF - OTROS GASTOS EN SALUD</t>
  </si>
  <si>
    <t>0318 - 1.1.01.02.101.03 - 182</t>
  </si>
  <si>
    <t>0318 - 1.1.01.02.101.03 - 251</t>
  </si>
  <si>
    <t>LOTERÍAS FORÁNEAS - SSF - COLCIENCIAS</t>
  </si>
  <si>
    <t>0318 - 1.1.01.02.103</t>
  </si>
  <si>
    <t>0318 - 1.1.01.02.103.01 - 154</t>
  </si>
  <si>
    <t>IVA Cedido Sobre Licores, Vinos, Aperitivos y Similares</t>
  </si>
  <si>
    <t>0318 - 1.1.01.02.103.03 - 155</t>
  </si>
  <si>
    <t>0318 - 1.1.01.02.104</t>
  </si>
  <si>
    <t>0318 - 1.1.01.02.104.02</t>
  </si>
  <si>
    <t>0318 - 1.1.01.02.104.02.01</t>
  </si>
  <si>
    <t>0318 - 1.1.01.02.104.02.01.01 - 240</t>
  </si>
  <si>
    <t>IMPUESTO AL CONSUMO LICO - REGIMEN SUBSIDIADO</t>
  </si>
  <si>
    <t>0318 - 1.1.01.02.104.02.01.01 - 241</t>
  </si>
  <si>
    <t>IMPUESTO AL CONSUMO LICO - PRESTACION DE SERVICIOS</t>
  </si>
  <si>
    <t>0318 - 1.1.01.02.104.02.01.01 - 242</t>
  </si>
  <si>
    <t>IMPUESTO AL CONSUMO LICO - OTROS GASTOS EN SALUD</t>
  </si>
  <si>
    <t>0318 - 1.1.01.02.104.02.01.02 - 240</t>
  </si>
  <si>
    <t>0318 - 1.1.01.02.104.02.01.02 - 241</t>
  </si>
  <si>
    <t>0318 - 1.1.01.02.104.02.01.02 - 242</t>
  </si>
  <si>
    <t>0318 - 1.1.01.02.104.02.02</t>
  </si>
  <si>
    <t>0318 - 1.1.01.02.104.02.02.01 - 240</t>
  </si>
  <si>
    <t>0318 - 1.1.01.02.104.02.02.01 - 241</t>
  </si>
  <si>
    <t>0318 - 1.1.01.02.104.02.02.01 - 242</t>
  </si>
  <si>
    <t>0318 - 1.1.01.02.104.02.02.02 - 240</t>
  </si>
  <si>
    <t>0318 - 1.1.01.02.104.02.02.02 - 241</t>
  </si>
  <si>
    <t>0318 - 1.1.01.02.104.02.02.02 - 242</t>
  </si>
  <si>
    <t>0318 - 1.1.01.02.105</t>
  </si>
  <si>
    <t>0318 - 1.1.01.02.105.01 - 243</t>
  </si>
  <si>
    <t>IMPUESTO CERVEZA - REGIMEN SUBSIDIADO</t>
  </si>
  <si>
    <t>0318 - 1.1.01.02.105.01 - 244</t>
  </si>
  <si>
    <t>IMPUESTO CERVEZA - PRESTACION DE SERVICIOS</t>
  </si>
  <si>
    <t>0318 - 1.1.01.02.105.01 - 245</t>
  </si>
  <si>
    <t>IMPUESTO CERVEZA - OTROS GASTOS SALUD</t>
  </si>
  <si>
    <t>0318 - 1.1.01.02.105.02 - 243</t>
  </si>
  <si>
    <t>0318 - 1.1.01.02.105.02 - 244</t>
  </si>
  <si>
    <t>0318 - 1.1.01.02.105.02 - 245</t>
  </si>
  <si>
    <t>0318 - 1.1.01.02.106</t>
  </si>
  <si>
    <t>0318 - 1.1.01.02.106.01</t>
  </si>
  <si>
    <t>0318 - 1.1.01.02.106.01.01 - 252</t>
  </si>
  <si>
    <t>Componente específico del impuesto al consumo de cigarrillos y tabaco - Nacionales</t>
  </si>
  <si>
    <t>CIGARRILLO Y TABACO (LEY 1393 DE 2010)</t>
  </si>
  <si>
    <t>0318 - 1.1.01.02.106.02</t>
  </si>
  <si>
    <t>0318 - 1.1.01.02.106.02.02 - 252</t>
  </si>
  <si>
    <t>0318 - 1.1.02</t>
  </si>
  <si>
    <t>0318 - 1.1.02.02</t>
  </si>
  <si>
    <t>0318 - 1.1.02.02.101</t>
  </si>
  <si>
    <t>0318 - 1.1.02.02.101.01 - 63</t>
  </si>
  <si>
    <t>0318 - 1.1.02.02.101.02 - 63</t>
  </si>
  <si>
    <t>0318 - 1.1.02.05</t>
  </si>
  <si>
    <t>0318 - 1.1.02.05.002</t>
  </si>
  <si>
    <t>0318 - 11020500209 - 63</t>
  </si>
  <si>
    <t>0318 - 1.1.02.06</t>
  </si>
  <si>
    <t>0318 - 1.1.02.06.001</t>
  </si>
  <si>
    <t>0318 - 1.1.02.06.001.02</t>
  </si>
  <si>
    <t>0318 - 1.1.02.06.001.02.02 - 61</t>
  </si>
  <si>
    <t>0318 - 1.1.02.06.001.02.04 - 171</t>
  </si>
  <si>
    <t>0318 - 1.1.02.06.006</t>
  </si>
  <si>
    <t>0318 - 1.1.02.06.006.01</t>
  </si>
  <si>
    <t>0318 - 1.1.02.06.006.01.01 - 110</t>
  </si>
  <si>
    <t>0318 - 1.1.02.06.006.01.02 - 111</t>
  </si>
  <si>
    <t>0318 - 1.1.02.06.006.01.03 - 113</t>
  </si>
  <si>
    <t>0318 - 1.1.02.06.006.01.03 - 114</t>
  </si>
  <si>
    <t>0318 - 1.1.02.06.006.01.12 - 180</t>
  </si>
  <si>
    <t>0318 - 1.1.02.07</t>
  </si>
  <si>
    <t>0318 - 1.1.02.07.001</t>
  </si>
  <si>
    <t>0318 - 1.1.02.07.001.03</t>
  </si>
  <si>
    <t>0318 - 1.1.02.07.001.03.01 - 154</t>
  </si>
  <si>
    <t>0318 - 1.1.02.07.001.03.02 - 154</t>
  </si>
  <si>
    <t>0318 - 1.1.02.07.001.03.03 - 72</t>
  </si>
  <si>
    <t>0318 - 1.1.02.07.001.03.04 - 72</t>
  </si>
  <si>
    <t>0318 - 1.1.02.07.001.03.05 - 181</t>
  </si>
  <si>
    <t>COLCIENCIAS SIN SITUACIONES DE FONDOS SSF</t>
  </si>
  <si>
    <t>0318 - 1.1.02.07.001.03.05 - 182</t>
  </si>
  <si>
    <t>0318 - 1.1.02.07.001.03.06 - 181</t>
  </si>
  <si>
    <t>0318 - 1.1.02.07.001.03.06 - 182</t>
  </si>
  <si>
    <t>0318 - 1.1.02.07.001.04</t>
  </si>
  <si>
    <t>0318 - 1.1.02.07.001.04.01 - 154</t>
  </si>
  <si>
    <t>0318 - 1.1.02.07.001.04.02 - 72</t>
  </si>
  <si>
    <t>0318 - 1.1.02.07.001.04.03 - 181</t>
  </si>
  <si>
    <t>0318 - 1.1.02.07.001.04.03 - 182</t>
  </si>
  <si>
    <t>0318 - 1.1.02.07.001.05</t>
  </si>
  <si>
    <t>0318 - 1.1.02.07.001.05.01 - 154</t>
  </si>
  <si>
    <t>0318 - 1.1.02.07.001.05.02 - 72</t>
  </si>
  <si>
    <t>0318 - 1.1.02.07.001.05.03 - 181</t>
  </si>
  <si>
    <t>0318 - 1.1.02.07.001.05.03 - 182</t>
  </si>
  <si>
    <t>0318 - 1.1.02.07.001.09</t>
  </si>
  <si>
    <t>0318 - 1.1.02.07.001.09.01 - 253</t>
  </si>
  <si>
    <t>JUEGOS NOVEDOSOS - SUPER ASTRO 68% - REGIMEN SUBSI</t>
  </si>
  <si>
    <t>0318 - 1.1.02.07.001.09.03 - 255</t>
  </si>
  <si>
    <t>JUEGOS NOVEDOSOS 25% - OTROS GASTOS EN SALUD</t>
  </si>
  <si>
    <t>0318 - 1.1.02.07.001.09.05 - 182</t>
  </si>
  <si>
    <t>0318 - 1.1.02.07.001.09.05 - 254</t>
  </si>
  <si>
    <t>JUEGOS NOVEDOSOS - SUPER ASTRO 7% - COLCIENCIAS</t>
  </si>
  <si>
    <t>0318 - 1102070010907 - 181</t>
  </si>
  <si>
    <t xml:space="preserve">RECURSOS FONPET COLJUEGOS ADRES </t>
  </si>
  <si>
    <t>0318 - 1102070010907 - 265</t>
  </si>
  <si>
    <t>Recursos fonpet / adres res coljuego de Oct/18</t>
  </si>
  <si>
    <t>0318 - 1.1.02.07.002</t>
  </si>
  <si>
    <t>0318 - 1.1.02.07.002.01</t>
  </si>
  <si>
    <t>0318 - 1.1.02.07.002.01.02</t>
  </si>
  <si>
    <t>0318 - 1.1.02.07.002.01.02.01 - 237</t>
  </si>
  <si>
    <t>MONOPOLIO DE LICORES - REGIMEN SUBSIDIADO</t>
  </si>
  <si>
    <t>0318 - 1.1.02.07.002.01.02.01 - 238</t>
  </si>
  <si>
    <t>MONOPOLIO DE LICORES - PRESTACION DE SERVICIOS</t>
  </si>
  <si>
    <t>0318 - 1.1.02.07.002.01.02.01 - 239</t>
  </si>
  <si>
    <t>MONOPOLIO DE LICORES - OTROS GASTOS EN SALUD</t>
  </si>
  <si>
    <t>0318 - 1.1.02.07.002.01.02.02 - 237</t>
  </si>
  <si>
    <t>0318 - 1.1.02.07.002.01.02.02 - 238</t>
  </si>
  <si>
    <t>0318 - 1.1.02.07.002.01.02.02 - 239</t>
  </si>
  <si>
    <t>0318 - 1.1.02.07.002.01.03</t>
  </si>
  <si>
    <t>0318 - 1.1.02.07.002.01.03.02</t>
  </si>
  <si>
    <t>0318 - 1.1.02.07.002.01.03.02.01 - 237</t>
  </si>
  <si>
    <t>0318 - 1.1.02.07.002.01.03.02.01 - 238</t>
  </si>
  <si>
    <t>0318 - 1.1.02.07.002.01.03.02.01 - 239</t>
  </si>
  <si>
    <t>0318 - 1.1.02.07.002.01.03.02.02</t>
  </si>
  <si>
    <t>0318 - 1.1.02.07.002.01.03.02.02.02 - 237</t>
  </si>
  <si>
    <t>0318 - 1.1.02.07.002.01.03.02.02.02 - 238</t>
  </si>
  <si>
    <t>0318 - 1.1.02.07.002.01.03.02.02.02 - 239</t>
  </si>
  <si>
    <t>0318 - 1.1.02.07.002.02</t>
  </si>
  <si>
    <t>0318 - 1.1.02.07.002.02.01 - 237</t>
  </si>
  <si>
    <t>0318 - 1.1.02.07.002.02.01 - 238</t>
  </si>
  <si>
    <t>0318 - 1.1.02.07.002.02.01 - 239</t>
  </si>
  <si>
    <t>0318 - 1.2.05</t>
  </si>
  <si>
    <t>0318 - 1.2.05.02</t>
  </si>
  <si>
    <t>0318 - 1.2.05.02.015 - 63</t>
  </si>
  <si>
    <t>0318 - 1.2.05.02.016 - 58</t>
  </si>
  <si>
    <t>0318 - 1.2.05.02.017 - 171</t>
  </si>
  <si>
    <t>0318 - 1.2.05.02.018 - 61</t>
  </si>
  <si>
    <t>0318 - 1.2.08</t>
  </si>
  <si>
    <t>0318 - 1.2.08.04</t>
  </si>
  <si>
    <t>0318 - 1.2.08.04.001</t>
  </si>
  <si>
    <t>0318 - 1.2.08.04.001.02 - 154</t>
  </si>
  <si>
    <t>0318 - 120804004 - 154</t>
  </si>
  <si>
    <t>Premios de juegos novedosos</t>
  </si>
  <si>
    <t>06 - 1.1</t>
  </si>
  <si>
    <t>06 - 1.1.02</t>
  </si>
  <si>
    <t>06 - 1.1.02.06</t>
  </si>
  <si>
    <t>06 - 1.2.05</t>
  </si>
  <si>
    <t>06 - 1.2.05.02</t>
  </si>
  <si>
    <t>08 - 1.2</t>
  </si>
  <si>
    <t>08 - 12100200206 - 89</t>
  </si>
  <si>
    <t>09 - 1.2</t>
  </si>
  <si>
    <t>09 - 12100200205 - 09</t>
  </si>
  <si>
    <t>09 - 12100200206 - 89</t>
  </si>
  <si>
    <t>09 - 12100200218 - 157</t>
  </si>
  <si>
    <t>09 - 12100200221 - 95</t>
  </si>
  <si>
    <t>09 - 12100200226 - 199</t>
  </si>
  <si>
    <t>09 - 12100200258 - 227</t>
  </si>
  <si>
    <t>09 - 12100200260 - 230</t>
  </si>
  <si>
    <t>09 - 12100200261 - 229</t>
  </si>
  <si>
    <t>09 - 12100200268 - 256</t>
  </si>
  <si>
    <t>SUPERÁVIT CONVENIO 047/22 RESGU INDIGENA KARABIJUA</t>
  </si>
  <si>
    <t>NOM_INGRESO EQUIVALENTE</t>
  </si>
  <si>
    <t>READY</t>
  </si>
  <si>
    <t>OK</t>
  </si>
  <si>
    <t>ING. EJEC.</t>
  </si>
  <si>
    <t>REC DE K</t>
  </si>
  <si>
    <t>REC DEL BALANCE</t>
  </si>
  <si>
    <t>TOTAL INGRESO EFECTIVO</t>
  </si>
  <si>
    <t xml:space="preserve">GOBERNACION DEL QUINDIO </t>
  </si>
  <si>
    <t>FUENTE Y USOS</t>
  </si>
  <si>
    <t>SECRETARIA DE HACIENDA - DIRECCION FINANCIERA</t>
  </si>
  <si>
    <t>AREA DE PRESUPUESTO - INFORME  2024</t>
  </si>
  <si>
    <t>FUENTE</t>
  </si>
  <si>
    <t>CONCEPTO</t>
  </si>
  <si>
    <t>TOTAL</t>
  </si>
  <si>
    <t>DESTINACIÓN ESPECIFICA INVERSION</t>
  </si>
  <si>
    <t>DESTINACIÓN ESPECIFICA FUNCIONAMIENTO</t>
  </si>
  <si>
    <t>I.C.L.D.</t>
  </si>
  <si>
    <t>Impuesto Sobre Vehículos Automotores Libre Destinación</t>
  </si>
  <si>
    <t>Intereses Impuesto Vehículos Automotores Vigencia Anterior</t>
  </si>
  <si>
    <t>Según el nuevo clasificador estas recuperaciones son ingresos corrientes</t>
  </si>
  <si>
    <t>Sanciones Impuesto Vehículos Automotores Vigencia Anterior</t>
  </si>
  <si>
    <t>Impuesto al Registro Libre Destinacion</t>
  </si>
  <si>
    <t>Impuesto de Registro - FONPET 20%</t>
  </si>
  <si>
    <t>Impuesto de Registro TURISMO 4%</t>
  </si>
  <si>
    <t>Impuesto de Registro PROYECTA 6%</t>
  </si>
  <si>
    <t xml:space="preserve">Impuesto al Registro Ley 1450 Art 25 Pago de Bonos Pensionales 10%  </t>
  </si>
  <si>
    <t>Impuesto al Consumo de Licores de Producción  Deporte</t>
  </si>
  <si>
    <t xml:space="preserve">Impuesto al Consumo de Licores </t>
  </si>
  <si>
    <t xml:space="preserve">Impuesto al Consumo de Cerveza </t>
  </si>
  <si>
    <t>Impuesto al Consumo de Cigarrillo de Fabricación Extranjera</t>
  </si>
  <si>
    <t>Degüello Ganado Mayor Libre Destinación</t>
  </si>
  <si>
    <t>Sobretasa a la Gasolina libre destinación</t>
  </si>
  <si>
    <t>Estampilla Pro-Desarrollo Inversión</t>
  </si>
  <si>
    <t>Estampilla Pro-Desarrollo (20% pensiones)</t>
  </si>
  <si>
    <t>Infraestructura Sanitaria Educativa y Deporteva PROYECTA 30%</t>
  </si>
  <si>
    <t>Estampilla Pro-Cultura (20%) Pensiones</t>
  </si>
  <si>
    <t>Estampilla Pro-Cultura (10% Seguridad Social)</t>
  </si>
  <si>
    <t>Estampilla Pro-Cultura (10% Bibliotecas)</t>
  </si>
  <si>
    <t>Estampilla Pro-Cultura (50% Concertación)</t>
  </si>
  <si>
    <t>Estampilla Pro-Cultura (10% Estímulos)</t>
  </si>
  <si>
    <t>Estampilla Pro-Adulto Mayor Inversión</t>
  </si>
  <si>
    <t>Estampilla Pro-Adulto Mayor  (20% pensiones)</t>
  </si>
  <si>
    <t>Estampilla Prohospital</t>
  </si>
  <si>
    <t>Otras Tasas y Tarifas</t>
  </si>
  <si>
    <t>Tasa Prodeporte</t>
  </si>
  <si>
    <t>Administración Centro de Convenciones</t>
  </si>
  <si>
    <t>Casa Delegada</t>
  </si>
  <si>
    <t>ARRE</t>
  </si>
  <si>
    <t>Cuotas Partes Pensionales C.S.F.</t>
  </si>
  <si>
    <t>Esto es ingreso de destinacion especifica y se destina para pago de cuotas partes y bonos pensionales sentencia de la corte</t>
  </si>
  <si>
    <t>Cuotas Partes Pensionales S.S.F.</t>
  </si>
  <si>
    <t>Venta de Servicios Secretaria de Salud</t>
  </si>
  <si>
    <t>Monopolio Salud y Educación 14%</t>
  </si>
  <si>
    <t>Monopolio Deporte 3%</t>
  </si>
  <si>
    <t>Monopolio Deporte 10% Alcohol Potable</t>
  </si>
  <si>
    <t>Monopolio Libre destinación 46%</t>
  </si>
  <si>
    <t>Cuota de Fiscalización</t>
  </si>
  <si>
    <t>Otros Convenios Interadministrativos Institucionales</t>
  </si>
  <si>
    <t>Sobretasa al ACPM</t>
  </si>
  <si>
    <t>Sobretasa Deuda</t>
  </si>
  <si>
    <t>Sanciones Administrativas</t>
  </si>
  <si>
    <t>Sanciones Fiscales</t>
  </si>
  <si>
    <t>Sanciones Contractuales</t>
  </si>
  <si>
    <t>Sanciones Disciplinarias</t>
  </si>
  <si>
    <t>IVA telefonía Celular - Cultura</t>
  </si>
  <si>
    <t>TOTAL INGRESOS CORRIENTES</t>
  </si>
  <si>
    <t>Recuperación de Cartera Cuotas Partes Pensionales</t>
  </si>
  <si>
    <t>Desahorro FONPET Pensiones</t>
  </si>
  <si>
    <t xml:space="preserve">Intereses Provenientes de Recursos de Libre Destinación </t>
  </si>
  <si>
    <t>Intereses Estampilla Pro-Desarrollo Inversión</t>
  </si>
  <si>
    <t>Intereses Estampilla Pro-Desarrollo (20%) Pensiones</t>
  </si>
  <si>
    <t>Intereses Estampilla Pro-Cultura (20%) Pensiones</t>
  </si>
  <si>
    <t>Intereses Estampilla Pro-Cultura (10% Seguridad Social)</t>
  </si>
  <si>
    <t>Intereses Estampilla Pro-Cultura (10% Bibliotecas)</t>
  </si>
  <si>
    <t>Intereses Estampilla Pro-Cultura (50% Concertación)</t>
  </si>
  <si>
    <t>Intereses Estampilla Pro-Cultura (10% Estímulos)</t>
  </si>
  <si>
    <t>Intereses Estampilla Pro-Adulto Mayor Inversión</t>
  </si>
  <si>
    <t>Intereses Estampilla Pro-Adulto Mayor (20%) Pensiones</t>
  </si>
  <si>
    <t>Intereses Rendimientos Fondo de Seguridad Obras</t>
  </si>
  <si>
    <t xml:space="preserve">Intereses Rendimientos SGP Agua Potable y Saneamiento Básico </t>
  </si>
  <si>
    <t>Intereses Rendimientos Desahorro FONPET</t>
  </si>
  <si>
    <t>Excedentes de Establecimientos Públicos</t>
  </si>
  <si>
    <t>TOTAL RECURSOS DE CAPITAL</t>
  </si>
  <si>
    <t>FONDOS ESPECIALES</t>
  </si>
  <si>
    <t>FONDO EDUCATIVO DEPARTAMENTAL</t>
  </si>
  <si>
    <t>Sistema General de Participaciones Educación - Prestación de Servicios</t>
  </si>
  <si>
    <t>Sistema General de Participaciones Educación - Aportes Patronales (S.S.F)</t>
  </si>
  <si>
    <t>Proyectos Educativos de Conectividad</t>
  </si>
  <si>
    <t>Necesidades Educativas Especiales</t>
  </si>
  <si>
    <t>Convenio PAE Alimentación Escolar</t>
  </si>
  <si>
    <t>Rendimientos por operaciones financieras Calidad</t>
  </si>
  <si>
    <t>Rendimientos por operaciones financieras PAE</t>
  </si>
  <si>
    <t>TOTAL FONDO EDUCATIVO DEPARTAMENTAL</t>
  </si>
  <si>
    <t>FONDO DEPARTAMENTAL DE SALUD</t>
  </si>
  <si>
    <t xml:space="preserve">Sistema General de Participaciones - Salud – Pública </t>
  </si>
  <si>
    <t>Sistema General de Participaciones - Salud - Subsidio a la Oferta</t>
  </si>
  <si>
    <t>Monopolio</t>
  </si>
  <si>
    <t>Impuesto al Consumo de Cerveza Salud</t>
  </si>
  <si>
    <t xml:space="preserve">Ingreso por Apuestas Permanentes </t>
  </si>
  <si>
    <t>Juegos Novedosos Superastro</t>
  </si>
  <si>
    <t>Rifas Departamentales</t>
  </si>
  <si>
    <t>Impuesto al Consumo de Vinos Aperitivos y Similares</t>
  </si>
  <si>
    <t>Loterías Foráneas</t>
  </si>
  <si>
    <t>Ingreso Productos de Lotería</t>
  </si>
  <si>
    <t>Impuestos a Ganadores</t>
  </si>
  <si>
    <t>Fondo de Estupefacientes</t>
  </si>
  <si>
    <t>Cigarrillos y Tabaco</t>
  </si>
  <si>
    <t>Ad valorem</t>
  </si>
  <si>
    <t>Premios Caducos</t>
  </si>
  <si>
    <t>Aportes de la Nación</t>
  </si>
  <si>
    <t>TOTAL FONDO LOCAL DE SALUD</t>
  </si>
  <si>
    <t xml:space="preserve">AGUA POTABLE Y SANEAMIENTO BÁSICO </t>
  </si>
  <si>
    <t xml:space="preserve">SGP Sector Aguas Potable y Saneamiento Básico </t>
  </si>
  <si>
    <t>TOTAL AGUA POTABLE Y SANEAMIENTO BÁSICO</t>
  </si>
  <si>
    <t>FONDO DE SEGURIDAD</t>
  </si>
  <si>
    <t>Contribución de Seguridad, 5% Obras Viales</t>
  </si>
  <si>
    <t>TOTAL FONDO DE SEGURIDAD</t>
  </si>
  <si>
    <t>TOTAL INGRESOS FONDOS ESPECIALES</t>
  </si>
  <si>
    <t xml:space="preserve">TOTAL INGRESOS </t>
  </si>
  <si>
    <t>Nomina Abrazar</t>
  </si>
  <si>
    <t xml:space="preserve">     Indeportes  1% I.C.L.D.</t>
  </si>
  <si>
    <t xml:space="preserve">     Adquisición de tierras ley 99/93- 1% I.C.L.D.</t>
  </si>
  <si>
    <t xml:space="preserve">     RAP región Administrativa de Planificación</t>
  </si>
  <si>
    <t xml:space="preserve">     Trasferencia PROYECTA</t>
  </si>
  <si>
    <t xml:space="preserve">     Transferencia FONPET del 10%</t>
  </si>
  <si>
    <t xml:space="preserve">LIMITES DE LA LEY 617/00- </t>
  </si>
  <si>
    <t>VALOR</t>
  </si>
  <si>
    <t>PORCENTAJE</t>
  </si>
  <si>
    <t xml:space="preserve">I.C.L.D.                              =                                                                                                              </t>
  </si>
  <si>
    <t xml:space="preserve">MAX. FUNCIONAMIENTO (70%) =                                                     </t>
  </si>
  <si>
    <t xml:space="preserve">INVERSION, D.P. Y OTROS  (30%) =                                               </t>
  </si>
  <si>
    <t>INVERSION, D.P. Y OTROS:</t>
  </si>
  <si>
    <t xml:space="preserve">   Deuda Pública</t>
  </si>
  <si>
    <t xml:space="preserve">SE corrige porque el año entrante solo se paga intereses de acpm de los 15 mil
</t>
  </si>
  <si>
    <t xml:space="preserve">   Asamblea (Func.)</t>
  </si>
  <si>
    <t xml:space="preserve">se corrige con un incremento del 10% en el ipc
</t>
  </si>
  <si>
    <t xml:space="preserve">   Contraloría (Func.)</t>
  </si>
  <si>
    <t>Según la metodología del Ministerio de Hacienda se deben restar (Ley tierras, fonpet, rap y rodenanzas)</t>
  </si>
  <si>
    <t xml:space="preserve">Según Capacitación de la Contraloría Genral de la República, TAMBIEN se restan descuentos de Ley y acto administrativo (Ordenanzas) Minuto 54 a 1:02 del siguiente video:
https://drive.google.com/file/d/1XyY56pDJ9isQwbeCIhSrtiPa_Zr_Vvgt/view?usp=sharing
</t>
  </si>
  <si>
    <t xml:space="preserve">   Inversión (R.O)</t>
  </si>
  <si>
    <t>DISTRIBUCION PRESUPUESTAL DE GASTOS</t>
  </si>
  <si>
    <t xml:space="preserve">   Asamblea Departamental</t>
  </si>
  <si>
    <t xml:space="preserve">   Contraloría Departamental RO</t>
  </si>
  <si>
    <t xml:space="preserve">   Contraloría Departamental Cuota de Fiscalizacion</t>
  </si>
  <si>
    <t>Acuerdo de Pago Fonpet 2024</t>
  </si>
  <si>
    <t xml:space="preserve">  Funcionamiento Gobernación Administracion Central RO</t>
  </si>
  <si>
    <t xml:space="preserve"> Funcionamiento Educacion RO pago universidad</t>
  </si>
  <si>
    <t xml:space="preserve"> Funcionamiento Salud RO</t>
  </si>
  <si>
    <t xml:space="preserve"> Funcionamiento Salud Destinado</t>
  </si>
  <si>
    <t xml:space="preserve">   Gobernación Destinado a Funcionamiento</t>
  </si>
  <si>
    <t xml:space="preserve">Transfrencias de Capital Ro </t>
  </si>
  <si>
    <t>Transferencias de Capital</t>
  </si>
  <si>
    <t>GASTOS DE FUNCIONAMIENTO:</t>
  </si>
  <si>
    <t>DEUDA PUBLICA</t>
  </si>
  <si>
    <t xml:space="preserve">   Con Recursos ACPM</t>
  </si>
  <si>
    <t xml:space="preserve">   Con Recursos RO</t>
  </si>
  <si>
    <t>INVERSIÓN</t>
  </si>
  <si>
    <t xml:space="preserve">   Inversión Con Recursos Ordinarios</t>
  </si>
  <si>
    <t xml:space="preserve">   I.C.D.E.</t>
  </si>
  <si>
    <t xml:space="preserve">   Fondos Especiales</t>
  </si>
  <si>
    <t>INVERSION:</t>
  </si>
  <si>
    <t xml:space="preserve">                              TOTAL</t>
  </si>
  <si>
    <t>LIMITE EFECTIVAMENTE CALCULADO PARA EL AÑO 2024</t>
  </si>
  <si>
    <t xml:space="preserve">Funcionamiento </t>
  </si>
  <si>
    <t>Funcionamiento salud</t>
  </si>
  <si>
    <t>Funcionamiento educacion</t>
  </si>
  <si>
    <t>Acuerdo de pago</t>
  </si>
  <si>
    <t>Contraloria</t>
  </si>
  <si>
    <t>Asamblea</t>
  </si>
  <si>
    <t>funcionamiento destinado</t>
  </si>
  <si>
    <t>Total Funcionamiento RO</t>
  </si>
  <si>
    <t>Deuda</t>
  </si>
  <si>
    <t>Total Funcionamiento y deuda</t>
  </si>
  <si>
    <t xml:space="preserve">Inversion </t>
  </si>
  <si>
    <t>ley de tierras</t>
  </si>
  <si>
    <t>indeportes</t>
  </si>
  <si>
    <t>rap</t>
  </si>
  <si>
    <t>proyecta</t>
  </si>
  <si>
    <t>fonpet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</si>
</sst>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_ ;_ * \-#,##0_ ;_ * &quot;-&quot;??_ ;_ @_ "/>
    <numFmt numFmtId="165" formatCode="_-* #,##0_-;\-* #,##0_-;_-* &quot;-&quot;??_-;_-@_-"/>
    <numFmt numFmtId="166" formatCode="_(* #,##0.00_);_(* \(#,##0.00\);_(* &quot;-&quot;??_);_(@_)"/>
    <numFmt numFmtId="167" formatCode="_-[$$-240A]\ * #,##0_-;\-[$$-240A]\ * #,##0_-;_-[$$-240A]\ * &quot;-&quot;??_-;_-@_-"/>
    <numFmt numFmtId="168" formatCode="_(* #,##0_);_(* \(#,##0\);_(* &quot;-&quot;??_);_(@_)"/>
    <numFmt numFmtId="169" formatCode="_-&quot;$&quot;\ * #,##0_-;\-&quot;$&quot;\ * #,##0_-;_-&quot;$&quot;\ * &quot;-&quot;??_-;_-@_-"/>
    <numFmt numFmtId="170" formatCode="0.00000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u val="singleAccounting"/>
      <sz val="1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8DB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7" tint="0.39997558519241921"/>
      </top>
      <bottom/>
      <diagonal/>
    </border>
    <border>
      <left style="thin">
        <color indexed="64"/>
      </left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/>
      <diagonal/>
    </border>
    <border>
      <left style="thin">
        <color indexed="64"/>
      </left>
      <right style="thin">
        <color theme="7" tint="0.39997558519241921"/>
      </right>
      <top style="thin">
        <color theme="7" tint="0.39997558519241921"/>
      </top>
      <bottom style="thin">
        <color indexed="64"/>
      </bottom>
      <diagonal/>
    </border>
    <border>
      <left/>
      <right/>
      <top style="thin">
        <color theme="7" tint="0.39997558519241921"/>
      </top>
      <bottom style="thin">
        <color indexed="64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 style="thin">
        <color indexed="64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64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indexed="64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3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7" tint="0.39997558519241921"/>
      </top>
      <bottom/>
      <diagonal/>
    </border>
    <border>
      <left style="thin">
        <color theme="3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3" tint="0.59999389629810485"/>
      </right>
      <top style="thin">
        <color theme="7" tint="0.39997558519241921"/>
      </top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indexed="64"/>
      </left>
      <right/>
      <top/>
      <bottom style="thin">
        <color theme="7" tint="0.39997558519241921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7" tint="0.39997558519241921"/>
      </right>
      <top/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 style="double">
        <color indexed="64"/>
      </left>
      <right/>
      <top style="thin">
        <color theme="7" tint="0.39997558519241921"/>
      </top>
      <bottom style="thin">
        <color theme="3" tint="0.59999389629810485"/>
      </bottom>
      <diagonal/>
    </border>
    <border>
      <left/>
      <right/>
      <top style="thin">
        <color theme="7" tint="0.39997558519241921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9" fillId="0" borderId="0" applyFont="0" applyFill="0" applyBorder="0" applyAlignment="0" applyProtection="0"/>
  </cellStyleXfs>
  <cellXfs count="163">
    <xf numFmtId="0" fontId="0" fillId="0" borderId="0" xfId="0"/>
    <xf numFmtId="43" fontId="16" fillId="33" borderId="0" xfId="1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0" fillId="35" borderId="0" xfId="0" applyFill="1"/>
    <xf numFmtId="0" fontId="0" fillId="34" borderId="0" xfId="0" applyFill="1"/>
    <xf numFmtId="43" fontId="16" fillId="0" borderId="0" xfId="1" applyFont="1"/>
    <xf numFmtId="0" fontId="18" fillId="0" borderId="0" xfId="0" applyFont="1"/>
    <xf numFmtId="0" fontId="0" fillId="33" borderId="0" xfId="0" applyFill="1"/>
    <xf numFmtId="0" fontId="16" fillId="33" borderId="0" xfId="0" applyFont="1" applyFill="1"/>
    <xf numFmtId="0" fontId="0" fillId="34" borderId="0" xfId="0" applyFill="1" applyAlignment="1">
      <alignment horizontal="left" vertical="center"/>
    </xf>
    <xf numFmtId="43" fontId="0" fillId="0" borderId="0" xfId="1" applyFont="1"/>
    <xf numFmtId="43" fontId="0" fillId="0" borderId="0" xfId="1" applyFont="1" applyFill="1"/>
    <xf numFmtId="0" fontId="16" fillId="35" borderId="0" xfId="0" applyFont="1" applyFill="1"/>
    <xf numFmtId="16" fontId="0" fillId="33" borderId="0" xfId="0" applyNumberFormat="1" applyFill="1"/>
    <xf numFmtId="0" fontId="19" fillId="0" borderId="0" xfId="0" applyFont="1" applyAlignment="1">
      <alignment horizontal="center" vertical="center" wrapText="1"/>
    </xf>
    <xf numFmtId="0" fontId="16" fillId="34" borderId="0" xfId="0" applyFont="1" applyFill="1"/>
    <xf numFmtId="43" fontId="0" fillId="33" borderId="0" xfId="1" applyFont="1" applyFill="1"/>
    <xf numFmtId="0" fontId="0" fillId="0" borderId="0" xfId="0" applyAlignment="1">
      <alignment horizontal="left" vertical="center"/>
    </xf>
    <xf numFmtId="43" fontId="16" fillId="0" borderId="0" xfId="1" applyFont="1" applyFill="1"/>
    <xf numFmtId="43" fontId="0" fillId="0" borderId="0" xfId="0" applyNumberFormat="1"/>
    <xf numFmtId="43" fontId="16" fillId="0" borderId="0" xfId="0" applyNumberFormat="1" applyFont="1"/>
    <xf numFmtId="43" fontId="20" fillId="0" borderId="0" xfId="1" applyFont="1"/>
    <xf numFmtId="43" fontId="21" fillId="0" borderId="0" xfId="1" applyFont="1"/>
    <xf numFmtId="3" fontId="23" fillId="0" borderId="12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43" fontId="24" fillId="0" borderId="0" xfId="1" applyFont="1" applyAlignment="1">
      <alignment vertical="center"/>
    </xf>
    <xf numFmtId="3" fontId="23" fillId="0" borderId="0" xfId="0" applyNumberFormat="1" applyFont="1" applyAlignment="1">
      <alignment vertical="center"/>
    </xf>
    <xf numFmtId="164" fontId="25" fillId="36" borderId="13" xfId="35" applyNumberFormat="1" applyFont="1" applyFill="1" applyBorder="1" applyAlignment="1">
      <alignment horizontal="center" vertical="center" wrapText="1"/>
    </xf>
    <xf numFmtId="164" fontId="25" fillId="36" borderId="14" xfId="35" applyNumberFormat="1" applyFont="1" applyFill="1" applyBorder="1" applyAlignment="1">
      <alignment horizontal="center" vertical="center" wrapText="1"/>
    </xf>
    <xf numFmtId="164" fontId="25" fillId="36" borderId="15" xfId="35" applyNumberFormat="1" applyFont="1" applyFill="1" applyBorder="1" applyAlignment="1">
      <alignment horizontal="center" vertical="center" wrapText="1"/>
    </xf>
    <xf numFmtId="164" fontId="25" fillId="36" borderId="16" xfId="35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43" fontId="24" fillId="0" borderId="0" xfId="1" applyFont="1" applyAlignment="1">
      <alignment vertical="center" wrapText="1"/>
    </xf>
    <xf numFmtId="3" fontId="23" fillId="37" borderId="17" xfId="0" applyNumberFormat="1" applyFont="1" applyFill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165" fontId="26" fillId="38" borderId="19" xfId="1" applyNumberFormat="1" applyFont="1" applyFill="1" applyBorder="1" applyAlignment="1">
      <alignment vertical="center" wrapText="1"/>
    </xf>
    <xf numFmtId="3" fontId="23" fillId="0" borderId="20" xfId="0" applyNumberFormat="1" applyFont="1" applyBorder="1" applyAlignment="1">
      <alignment vertical="center"/>
    </xf>
    <xf numFmtId="3" fontId="23" fillId="0" borderId="21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3" fillId="38" borderId="20" xfId="0" applyNumberFormat="1" applyFont="1" applyFill="1" applyBorder="1" applyAlignment="1">
      <alignment vertical="center"/>
    </xf>
    <xf numFmtId="3" fontId="23" fillId="39" borderId="0" xfId="0" applyNumberFormat="1" applyFont="1" applyFill="1" applyAlignment="1">
      <alignment vertical="center"/>
    </xf>
    <xf numFmtId="3" fontId="27" fillId="0" borderId="0" xfId="0" applyNumberFormat="1" applyFont="1" applyAlignment="1">
      <alignment vertical="center"/>
    </xf>
    <xf numFmtId="43" fontId="27" fillId="0" borderId="0" xfId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39" borderId="0" xfId="0" applyNumberFormat="1" applyFont="1" applyFill="1" applyAlignment="1">
      <alignment vertical="center"/>
    </xf>
    <xf numFmtId="3" fontId="28" fillId="0" borderId="0" xfId="0" applyNumberFormat="1" applyFont="1" applyAlignment="1">
      <alignment vertical="center"/>
    </xf>
    <xf numFmtId="3" fontId="24" fillId="38" borderId="0" xfId="0" applyNumberFormat="1" applyFont="1" applyFill="1" applyAlignment="1">
      <alignment vertical="center"/>
    </xf>
    <xf numFmtId="10" fontId="23" fillId="0" borderId="0" xfId="44" applyNumberFormat="1" applyFont="1" applyAlignment="1">
      <alignment vertical="center"/>
    </xf>
    <xf numFmtId="3" fontId="23" fillId="0" borderId="24" xfId="0" applyNumberFormat="1" applyFont="1" applyBorder="1" applyAlignment="1">
      <alignment vertical="center"/>
    </xf>
    <xf numFmtId="3" fontId="23" fillId="0" borderId="25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 wrapText="1"/>
    </xf>
    <xf numFmtId="167" fontId="25" fillId="36" borderId="19" xfId="45" applyNumberFormat="1" applyFont="1" applyFill="1" applyBorder="1" applyAlignment="1" applyProtection="1">
      <alignment vertical="center"/>
    </xf>
    <xf numFmtId="167" fontId="25" fillId="36" borderId="20" xfId="45" applyNumberFormat="1" applyFont="1" applyFill="1" applyBorder="1" applyAlignment="1" applyProtection="1">
      <alignment vertical="center"/>
    </xf>
    <xf numFmtId="3" fontId="23" fillId="0" borderId="27" xfId="0" applyNumberFormat="1" applyFont="1" applyBorder="1" applyAlignment="1">
      <alignment vertical="center"/>
    </xf>
    <xf numFmtId="164" fontId="25" fillId="0" borderId="27" xfId="45" applyNumberFormat="1" applyFont="1" applyFill="1" applyBorder="1" applyAlignment="1">
      <alignment horizontal="center" vertical="center" wrapText="1"/>
    </xf>
    <xf numFmtId="168" fontId="23" fillId="0" borderId="28" xfId="45" applyNumberFormat="1" applyFont="1" applyFill="1" applyBorder="1" applyAlignment="1" applyProtection="1">
      <alignment vertical="center"/>
    </xf>
    <xf numFmtId="3" fontId="23" fillId="0" borderId="29" xfId="0" applyNumberFormat="1" applyFont="1" applyBorder="1" applyAlignment="1">
      <alignment vertical="center"/>
    </xf>
    <xf numFmtId="3" fontId="23" fillId="0" borderId="30" xfId="0" applyNumberFormat="1" applyFont="1" applyBorder="1" applyAlignment="1">
      <alignment vertical="center"/>
    </xf>
    <xf numFmtId="168" fontId="25" fillId="0" borderId="31" xfId="45" applyNumberFormat="1" applyFont="1" applyFill="1" applyBorder="1" applyAlignment="1" applyProtection="1">
      <alignment vertical="center"/>
    </xf>
    <xf numFmtId="10" fontId="24" fillId="0" borderId="0" xfId="44" applyNumberFormat="1" applyFont="1" applyAlignment="1">
      <alignment vertical="center"/>
    </xf>
    <xf numFmtId="169" fontId="25" fillId="36" borderId="19" xfId="43" applyNumberFormat="1" applyFont="1" applyFill="1" applyBorder="1" applyAlignment="1" applyProtection="1">
      <alignment vertical="center"/>
    </xf>
    <xf numFmtId="169" fontId="25" fillId="36" borderId="20" xfId="43" applyNumberFormat="1" applyFont="1" applyFill="1" applyBorder="1" applyAlignment="1" applyProtection="1">
      <alignment vertical="center"/>
    </xf>
    <xf numFmtId="164" fontId="25" fillId="0" borderId="0" xfId="45" applyNumberFormat="1" applyFont="1" applyFill="1" applyBorder="1" applyAlignment="1">
      <alignment horizontal="center" vertical="center" wrapText="1"/>
    </xf>
    <xf numFmtId="168" fontId="23" fillId="0" borderId="32" xfId="45" applyNumberFormat="1" applyFont="1" applyFill="1" applyBorder="1" applyAlignment="1" applyProtection="1">
      <alignment vertical="center"/>
    </xf>
    <xf numFmtId="3" fontId="23" fillId="0" borderId="33" xfId="0" applyNumberFormat="1" applyFont="1" applyBorder="1" applyAlignment="1">
      <alignment vertical="center"/>
    </xf>
    <xf numFmtId="165" fontId="26" fillId="40" borderId="19" xfId="1" applyNumberFormat="1" applyFont="1" applyFill="1" applyBorder="1" applyAlignment="1">
      <alignment vertical="center" wrapText="1"/>
    </xf>
    <xf numFmtId="169" fontId="25" fillId="36" borderId="19" xfId="43" applyNumberFormat="1" applyFont="1" applyFill="1" applyBorder="1" applyAlignment="1" applyProtection="1">
      <alignment vertical="center" wrapText="1"/>
    </xf>
    <xf numFmtId="3" fontId="27" fillId="0" borderId="35" xfId="0" applyNumberFormat="1" applyFont="1" applyBorder="1" applyAlignment="1">
      <alignment vertical="center"/>
    </xf>
    <xf numFmtId="3" fontId="27" fillId="0" borderId="36" xfId="0" applyNumberFormat="1" applyFont="1" applyBorder="1" applyAlignment="1">
      <alignment vertical="center"/>
    </xf>
    <xf numFmtId="43" fontId="27" fillId="0" borderId="36" xfId="1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vertical="center"/>
    </xf>
    <xf numFmtId="169" fontId="25" fillId="36" borderId="39" xfId="43" applyNumberFormat="1" applyFont="1" applyFill="1" applyBorder="1" applyAlignment="1" applyProtection="1">
      <alignment horizontal="center" vertical="center" wrapText="1"/>
    </xf>
    <xf numFmtId="164" fontId="25" fillId="0" borderId="0" xfId="45" applyNumberFormat="1" applyFont="1" applyFill="1" applyBorder="1" applyAlignment="1">
      <alignment vertical="center"/>
    </xf>
    <xf numFmtId="1" fontId="23" fillId="0" borderId="0" xfId="45" applyNumberFormat="1" applyFont="1" applyFill="1" applyBorder="1" applyAlignment="1">
      <alignment horizontal="center" vertical="center"/>
    </xf>
    <xf numFmtId="164" fontId="23" fillId="0" borderId="0" xfId="45" applyNumberFormat="1" applyFont="1" applyFill="1" applyBorder="1" applyAlignment="1">
      <alignment vertical="center"/>
    </xf>
    <xf numFmtId="165" fontId="26" fillId="39" borderId="40" xfId="1" applyNumberFormat="1" applyFont="1" applyFill="1" applyBorder="1" applyAlignment="1">
      <alignment wrapText="1"/>
    </xf>
    <xf numFmtId="43" fontId="26" fillId="39" borderId="40" xfId="1" applyFont="1" applyFill="1" applyBorder="1" applyAlignment="1">
      <alignment vertical="center" wrapText="1"/>
    </xf>
    <xf numFmtId="165" fontId="26" fillId="41" borderId="40" xfId="1" applyNumberFormat="1" applyFont="1" applyFill="1" applyBorder="1" applyAlignment="1">
      <alignment wrapText="1"/>
    </xf>
    <xf numFmtId="43" fontId="26" fillId="41" borderId="40" xfId="1" applyFont="1" applyFill="1" applyBorder="1" applyAlignment="1">
      <alignment vertical="center" wrapText="1"/>
    </xf>
    <xf numFmtId="164" fontId="23" fillId="0" borderId="0" xfId="44" applyNumberFormat="1" applyFont="1" applyFill="1" applyBorder="1" applyAlignment="1">
      <alignment vertical="center"/>
    </xf>
    <xf numFmtId="10" fontId="23" fillId="0" borderId="0" xfId="44" applyNumberFormat="1" applyFont="1" applyFill="1" applyBorder="1" applyAlignment="1">
      <alignment vertical="center"/>
    </xf>
    <xf numFmtId="43" fontId="23" fillId="0" borderId="41" xfId="1" applyFont="1" applyFill="1" applyBorder="1" applyAlignment="1">
      <alignment horizontal="center" vertical="center"/>
    </xf>
    <xf numFmtId="43" fontId="23" fillId="0" borderId="0" xfId="1" applyFont="1" applyFill="1" applyBorder="1" applyAlignment="1">
      <alignment horizontal="center" vertical="center"/>
    </xf>
    <xf numFmtId="164" fontId="23" fillId="0" borderId="0" xfId="45" applyNumberFormat="1" applyFont="1" applyFill="1" applyBorder="1" applyAlignment="1">
      <alignment vertical="center" wrapText="1"/>
    </xf>
    <xf numFmtId="169" fontId="25" fillId="36" borderId="0" xfId="43" applyNumberFormat="1" applyFont="1" applyFill="1" applyBorder="1" applyAlignment="1" applyProtection="1">
      <alignment horizontal="center" vertical="center" wrapText="1"/>
    </xf>
    <xf numFmtId="164" fontId="23" fillId="0" borderId="0" xfId="35" applyNumberFormat="1" applyFont="1" applyFill="1" applyBorder="1" applyAlignment="1">
      <alignment vertical="center"/>
    </xf>
    <xf numFmtId="165" fontId="26" fillId="0" borderId="19" xfId="1" applyNumberFormat="1" applyFont="1" applyFill="1" applyBorder="1" applyAlignment="1">
      <alignment vertical="center" wrapText="1"/>
    </xf>
    <xf numFmtId="10" fontId="23" fillId="0" borderId="20" xfId="44" applyNumberFormat="1" applyFont="1" applyFill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165" fontId="26" fillId="0" borderId="25" xfId="1" applyNumberFormat="1" applyFont="1" applyFill="1" applyBorder="1" applyAlignment="1">
      <alignment vertical="center" wrapText="1"/>
    </xf>
    <xf numFmtId="10" fontId="23" fillId="0" borderId="25" xfId="44" applyNumberFormat="1" applyFont="1" applyFill="1" applyBorder="1" applyAlignment="1">
      <alignment vertical="center" wrapText="1"/>
    </xf>
    <xf numFmtId="9" fontId="23" fillId="0" borderId="0" xfId="44" applyFont="1" applyFill="1" applyBorder="1" applyAlignment="1">
      <alignment horizontal="center" vertical="center"/>
    </xf>
    <xf numFmtId="165" fontId="26" fillId="41" borderId="19" xfId="1" applyNumberFormat="1" applyFont="1" applyFill="1" applyBorder="1" applyAlignment="1">
      <alignment vertical="center" wrapText="1"/>
    </xf>
    <xf numFmtId="1" fontId="23" fillId="0" borderId="0" xfId="45" applyNumberFormat="1" applyFont="1" applyFill="1" applyBorder="1" applyAlignment="1">
      <alignment horizontal="center" vertical="center" wrapText="1"/>
    </xf>
    <xf numFmtId="165" fontId="26" fillId="41" borderId="25" xfId="1" applyNumberFormat="1" applyFont="1" applyFill="1" applyBorder="1" applyAlignment="1">
      <alignment vertical="center" wrapText="1"/>
    </xf>
    <xf numFmtId="43" fontId="23" fillId="0" borderId="0" xfId="1" applyFont="1" applyFill="1" applyBorder="1" applyAlignment="1">
      <alignment horizontal="center" vertical="center" wrapText="1"/>
    </xf>
    <xf numFmtId="1" fontId="30" fillId="0" borderId="0" xfId="45" applyNumberFormat="1" applyFont="1" applyFill="1" applyBorder="1" applyAlignment="1">
      <alignment horizontal="center" vertical="center"/>
    </xf>
    <xf numFmtId="0" fontId="25" fillId="36" borderId="25" xfId="0" applyFont="1" applyFill="1" applyBorder="1" applyAlignment="1">
      <alignment horizontal="center" vertical="center" wrapText="1"/>
    </xf>
    <xf numFmtId="169" fontId="25" fillId="36" borderId="25" xfId="43" applyNumberFormat="1" applyFont="1" applyFill="1" applyBorder="1" applyAlignment="1">
      <alignment horizontal="center" vertical="center" wrapText="1"/>
    </xf>
    <xf numFmtId="43" fontId="23" fillId="0" borderId="0" xfId="1" applyFont="1" applyFill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165" fontId="26" fillId="0" borderId="20" xfId="1" applyNumberFormat="1" applyFont="1" applyFill="1" applyBorder="1" applyAlignment="1">
      <alignment vertical="center" wrapText="1"/>
    </xf>
    <xf numFmtId="1" fontId="23" fillId="0" borderId="12" xfId="45" applyNumberFormat="1" applyFont="1" applyFill="1" applyBorder="1" applyAlignment="1">
      <alignment horizontal="center" vertical="center"/>
    </xf>
    <xf numFmtId="0" fontId="23" fillId="38" borderId="25" xfId="0" applyFont="1" applyFill="1" applyBorder="1" applyAlignment="1">
      <alignment vertical="center" wrapText="1"/>
    </xf>
    <xf numFmtId="165" fontId="26" fillId="42" borderId="41" xfId="1" applyNumberFormat="1" applyFont="1" applyFill="1" applyBorder="1" applyAlignment="1">
      <alignment vertical="center" wrapText="1"/>
    </xf>
    <xf numFmtId="165" fontId="26" fillId="42" borderId="25" xfId="1" applyNumberFormat="1" applyFont="1" applyFill="1" applyBorder="1" applyAlignment="1">
      <alignment vertical="center" wrapText="1"/>
    </xf>
    <xf numFmtId="165" fontId="26" fillId="0" borderId="25" xfId="1" applyNumberFormat="1" applyFont="1" applyFill="1" applyBorder="1" applyAlignment="1">
      <alignment wrapText="1"/>
    </xf>
    <xf numFmtId="0" fontId="23" fillId="38" borderId="20" xfId="0" applyFont="1" applyFill="1" applyBorder="1" applyAlignment="1">
      <alignment vertical="center" wrapText="1"/>
    </xf>
    <xf numFmtId="165" fontId="26" fillId="0" borderId="0" xfId="1" applyNumberFormat="1" applyFont="1" applyFill="1" applyBorder="1" applyAlignment="1">
      <alignment wrapText="1"/>
    </xf>
    <xf numFmtId="165" fontId="26" fillId="42" borderId="19" xfId="1" applyNumberFormat="1" applyFont="1" applyFill="1" applyBorder="1" applyAlignment="1">
      <alignment vertical="center" wrapText="1"/>
    </xf>
    <xf numFmtId="165" fontId="23" fillId="0" borderId="12" xfId="44" applyNumberFormat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6" fillId="38" borderId="25" xfId="1" applyNumberFormat="1" applyFont="1" applyFill="1" applyBorder="1" applyAlignment="1">
      <alignment vertical="center" wrapText="1"/>
    </xf>
    <xf numFmtId="165" fontId="26" fillId="39" borderId="19" xfId="1" applyNumberFormat="1" applyFont="1" applyFill="1" applyBorder="1" applyAlignment="1">
      <alignment vertical="center" wrapText="1"/>
    </xf>
    <xf numFmtId="43" fontId="23" fillId="0" borderId="12" xfId="1" applyFont="1" applyFill="1" applyBorder="1" applyAlignment="1">
      <alignment horizontal="center" vertical="center"/>
    </xf>
    <xf numFmtId="165" fontId="26" fillId="39" borderId="25" xfId="1" applyNumberFormat="1" applyFont="1" applyFill="1" applyBorder="1" applyAlignment="1">
      <alignment vertical="center" wrapText="1"/>
    </xf>
    <xf numFmtId="43" fontId="23" fillId="0" borderId="45" xfId="1" applyFont="1" applyFill="1" applyBorder="1" applyAlignment="1">
      <alignment horizontal="center" vertical="center"/>
    </xf>
    <xf numFmtId="43" fontId="30" fillId="0" borderId="0" xfId="1" applyFont="1" applyFill="1" applyBorder="1" applyAlignment="1">
      <alignment horizontal="center" vertical="center"/>
    </xf>
    <xf numFmtId="0" fontId="25" fillId="36" borderId="20" xfId="0" applyFont="1" applyFill="1" applyBorder="1" applyAlignment="1">
      <alignment horizontal="center" vertical="center" wrapText="1"/>
    </xf>
    <xf numFmtId="169" fontId="25" fillId="36" borderId="20" xfId="43" applyNumberFormat="1" applyFont="1" applyFill="1" applyBorder="1" applyAlignment="1">
      <alignment horizontal="center" vertical="center" wrapText="1"/>
    </xf>
    <xf numFmtId="164" fontId="25" fillId="0" borderId="0" xfId="45" applyNumberFormat="1" applyFont="1" applyFill="1" applyBorder="1" applyAlignment="1">
      <alignment vertical="center" wrapText="1"/>
    </xf>
    <xf numFmtId="1" fontId="25" fillId="0" borderId="0" xfId="45" applyNumberFormat="1" applyFont="1" applyFill="1" applyBorder="1" applyAlignment="1">
      <alignment horizontal="center" vertical="center"/>
    </xf>
    <xf numFmtId="43" fontId="25" fillId="0" borderId="0" xfId="1" applyFont="1" applyFill="1" applyBorder="1" applyAlignment="1">
      <alignment horizontal="center" vertical="center"/>
    </xf>
    <xf numFmtId="164" fontId="23" fillId="0" borderId="19" xfId="45" applyNumberFormat="1" applyFont="1" applyFill="1" applyBorder="1" applyAlignment="1">
      <alignment vertical="center" wrapText="1"/>
    </xf>
    <xf numFmtId="164" fontId="23" fillId="0" borderId="20" xfId="45" applyNumberFormat="1" applyFont="1" applyFill="1" applyBorder="1" applyAlignment="1">
      <alignment vertical="center"/>
    </xf>
    <xf numFmtId="3" fontId="23" fillId="0" borderId="37" xfId="0" applyNumberFormat="1" applyFont="1" applyBorder="1" applyAlignment="1">
      <alignment vertical="center"/>
    </xf>
    <xf numFmtId="164" fontId="23" fillId="0" borderId="25" xfId="45" applyNumberFormat="1" applyFont="1" applyFill="1" applyBorder="1" applyAlignment="1">
      <alignment vertical="center"/>
    </xf>
    <xf numFmtId="170" fontId="25" fillId="0" borderId="0" xfId="44" applyNumberFormat="1" applyFont="1" applyFill="1" applyBorder="1" applyAlignment="1">
      <alignment horizontal="center" vertical="center"/>
    </xf>
    <xf numFmtId="43" fontId="27" fillId="0" borderId="0" xfId="1" applyFont="1" applyFill="1" applyBorder="1" applyAlignment="1">
      <alignment horizontal="center" vertical="center"/>
    </xf>
    <xf numFmtId="166" fontId="23" fillId="0" borderId="35" xfId="45" applyFont="1" applyFill="1" applyBorder="1" applyAlignment="1">
      <alignment vertical="center"/>
    </xf>
    <xf numFmtId="9" fontId="0" fillId="0" borderId="0" xfId="44" applyFont="1"/>
    <xf numFmtId="10" fontId="0" fillId="0" borderId="0" xfId="44" applyNumberFormat="1" applyFont="1"/>
    <xf numFmtId="43" fontId="16" fillId="0" borderId="0" xfId="1" applyFont="1" applyAlignment="1">
      <alignment horizontal="center"/>
    </xf>
    <xf numFmtId="43" fontId="0" fillId="38" borderId="0" xfId="1" applyFont="1" applyFill="1"/>
    <xf numFmtId="43" fontId="0" fillId="44" borderId="0" xfId="1" applyFont="1" applyFill="1"/>
    <xf numFmtId="164" fontId="25" fillId="36" borderId="36" xfId="37" applyNumberFormat="1" applyFont="1" applyFill="1" applyBorder="1" applyAlignment="1">
      <alignment horizontal="center" vertical="center" wrapText="1"/>
    </xf>
    <xf numFmtId="164" fontId="23" fillId="0" borderId="44" xfId="45" applyNumberFormat="1" applyFont="1" applyFill="1" applyBorder="1" applyAlignment="1">
      <alignment horizontal="center" vertical="center" wrapText="1"/>
    </xf>
    <xf numFmtId="164" fontId="25" fillId="36" borderId="0" xfId="35" applyNumberFormat="1" applyFont="1" applyFill="1" applyBorder="1" applyAlignment="1">
      <alignment horizontal="center" vertical="center"/>
    </xf>
    <xf numFmtId="164" fontId="23" fillId="0" borderId="46" xfId="45" applyNumberFormat="1" applyFont="1" applyFill="1" applyBorder="1" applyAlignment="1">
      <alignment horizontal="center" vertical="center" wrapText="1"/>
    </xf>
    <xf numFmtId="164" fontId="25" fillId="0" borderId="47" xfId="45" applyNumberFormat="1" applyFont="1" applyFill="1" applyBorder="1" applyAlignment="1">
      <alignment horizontal="center" vertical="center" wrapText="1"/>
    </xf>
    <xf numFmtId="3" fontId="25" fillId="43" borderId="0" xfId="0" applyNumberFormat="1" applyFont="1" applyFill="1" applyAlignment="1">
      <alignment horizontal="center" vertical="center" wrapText="1"/>
    </xf>
    <xf numFmtId="169" fontId="25" fillId="36" borderId="39" xfId="43" applyNumberFormat="1" applyFont="1" applyFill="1" applyBorder="1" applyAlignment="1" applyProtection="1">
      <alignment horizontal="center" vertical="center" wrapText="1"/>
    </xf>
    <xf numFmtId="169" fontId="25" fillId="36" borderId="37" xfId="43" applyNumberFormat="1" applyFont="1" applyFill="1" applyBorder="1" applyAlignment="1" applyProtection="1">
      <alignment horizontal="center" vertical="center" wrapText="1"/>
    </xf>
    <xf numFmtId="3" fontId="27" fillId="0" borderId="0" xfId="0" applyNumberFormat="1" applyFont="1" applyAlignment="1">
      <alignment horizontal="center" vertical="center"/>
    </xf>
    <xf numFmtId="164" fontId="25" fillId="0" borderId="0" xfId="45" applyNumberFormat="1" applyFont="1" applyFill="1" applyBorder="1" applyAlignment="1">
      <alignment horizontal="center" vertical="center" wrapText="1"/>
    </xf>
    <xf numFmtId="164" fontId="23" fillId="0" borderId="39" xfId="45" applyNumberFormat="1" applyFont="1" applyFill="1" applyBorder="1" applyAlignment="1">
      <alignment horizontal="center" vertical="center" wrapText="1"/>
    </xf>
    <xf numFmtId="164" fontId="23" fillId="0" borderId="0" xfId="45" applyNumberFormat="1" applyFont="1" applyFill="1" applyBorder="1" applyAlignment="1">
      <alignment horizontal="center" vertical="center" wrapText="1"/>
    </xf>
    <xf numFmtId="164" fontId="23" fillId="0" borderId="42" xfId="45" applyNumberFormat="1" applyFont="1" applyFill="1" applyBorder="1" applyAlignment="1">
      <alignment horizontal="center" vertical="center" wrapText="1"/>
    </xf>
    <xf numFmtId="164" fontId="23" fillId="0" borderId="43" xfId="45" applyNumberFormat="1" applyFont="1" applyFill="1" applyBorder="1" applyAlignment="1">
      <alignment horizontal="center" vertical="center" wrapText="1"/>
    </xf>
    <xf numFmtId="164" fontId="25" fillId="36" borderId="26" xfId="45" applyNumberFormat="1" applyFont="1" applyFill="1" applyBorder="1" applyAlignment="1">
      <alignment horizontal="center" vertical="center" wrapText="1"/>
    </xf>
    <xf numFmtId="164" fontId="25" fillId="36" borderId="23" xfId="45" applyNumberFormat="1" applyFont="1" applyFill="1" applyBorder="1" applyAlignment="1">
      <alignment horizontal="center" vertical="center" wrapText="1"/>
    </xf>
    <xf numFmtId="164" fontId="25" fillId="36" borderId="0" xfId="45" applyNumberFormat="1" applyFont="1" applyFill="1" applyBorder="1" applyAlignment="1">
      <alignment horizontal="center" vertical="center" wrapText="1"/>
    </xf>
    <xf numFmtId="164" fontId="25" fillId="36" borderId="34" xfId="45" applyNumberFormat="1" applyFont="1" applyFill="1" applyBorder="1" applyAlignment="1">
      <alignment horizontal="center" vertical="center" wrapText="1"/>
    </xf>
    <xf numFmtId="164" fontId="25" fillId="36" borderId="18" xfId="45" applyNumberFormat="1" applyFont="1" applyFill="1" applyBorder="1" applyAlignment="1">
      <alignment horizontal="center" vertical="center" wrapText="1"/>
    </xf>
    <xf numFmtId="164" fontId="22" fillId="36" borderId="10" xfId="35" applyNumberFormat="1" applyFont="1" applyFill="1" applyBorder="1" applyAlignment="1">
      <alignment horizontal="center" vertical="center"/>
    </xf>
    <xf numFmtId="164" fontId="22" fillId="36" borderId="11" xfId="35" applyNumberFormat="1" applyFont="1" applyFill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 wrapText="1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5" xr:uid="{0E19E675-372A-40A4-A7F6-890E324914CD}"/>
    <cellStyle name="Moneda" xfId="43" builtinId="4"/>
    <cellStyle name="Neutral" xfId="9" builtinId="28" customBuiltin="1"/>
    <cellStyle name="Normal" xfId="0" builtinId="0"/>
    <cellStyle name="Notas" xfId="16" builtinId="10" customBuiltin="1"/>
    <cellStyle name="Porcentaje" xfId="44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66FFCC"/>
      <color rgb="FFFF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98ba2bb68872b2/Escritorio/plan%20financiero%20por%20y%20para%20la%20gente/Plan_Financiero_2023_Tri_23.9%20INGRESOS%20CCPET%202024%20Plan%20de%20desarrollo.xlsx" TargetMode="External"/><Relationship Id="rId1" Type="http://schemas.openxmlformats.org/officeDocument/2006/relationships/externalLinkPath" Target="Plan_Financiero_2023_Tri_23.9%20INGRESOS%20CCPET%202024%20Plan%20de%20desarrol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HACIENDA05.DQUINDIO/Desktop/Tu%20y%20Yo%20PC%20Tri/Tu%20y%20Yo%202020/Presupuesto%202021/Proyecciones%20Plan%20Financiero%202021%20Codefis%20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5-2021"/>
      <sheetName val="MX6"/>
      <sheetName val="Gráficas"/>
      <sheetName val="Tablas Plan F"/>
      <sheetName val="Historico Plan Financiero 2023"/>
      <sheetName val="Historico Plan Financiero 2024"/>
      <sheetName val="F Y U 2024 Presupuesto"/>
      <sheetName val="F Y U 2024 Presupuesto OK RED"/>
      <sheetName val="F Y U 2024 Presupuesto OK R (2)"/>
      <sheetName val="F Y U 2025"/>
      <sheetName val="Capacidad de Endeudamiento"/>
      <sheetName val="F Y U 2024 Presupuesto 15.09"/>
      <sheetName val="CCPET Ingre 2024"/>
      <sheetName val="CCPET Ingre 2024 (2)"/>
      <sheetName val="Tablas"/>
      <sheetName val="350 C.P  2024"/>
      <sheetName val="Salud 2024 "/>
      <sheetName val="Vicios Salud"/>
      <sheetName val="Ingresos 2023"/>
      <sheetName val="Recaudo Julio Dic 2022"/>
      <sheetName val="Ingresos 2022"/>
      <sheetName val="F Y U 2023 Prespupuesto"/>
      <sheetName val="Historico Plan Finan 15-23"/>
      <sheetName val="INVERSION 2023"/>
      <sheetName val="350 C.P  INCREMENTO SALARIAL"/>
      <sheetName val="Plan Financiero Ingresos"/>
      <sheetName val="F y U 2022 Presupuesto"/>
      <sheetName val="Inversion Incremento Salarial"/>
      <sheetName val="F y U 2022 Incremento Salarial"/>
      <sheetName val="Inversion "/>
      <sheetName val="Salud 2024"/>
      <sheetName val="Historico Plan Financiero 2 (2)"/>
      <sheetName val="Salud 2023"/>
      <sheetName val="Tablas Anteproyecto"/>
      <sheetName val="Plan Financiero MFMP"/>
      <sheetName val="MFMP Plan Financiero"/>
      <sheetName val="MFMP Plan Financiero GASTOS"/>
      <sheetName val="Hoja1"/>
      <sheetName val="Superávit Primario MFMP"/>
      <sheetName val="MFMP Superávit Primario"/>
      <sheetName val="Capacidad de Endeudamiento MFMP"/>
      <sheetName val="MFMP Endeudamiento con incremen"/>
      <sheetName val="Techos Funcionamiento"/>
      <sheetName val="350 C.P"/>
      <sheetName val="Sicodis"/>
      <sheetName val="Historico Gastos 2015-2021"/>
      <sheetName val="IPC"/>
      <sheetName val="Crecimiento 2021"/>
      <sheetName val="LEY 617"/>
      <sheetName val="F y U 2021"/>
      <sheetName val="Historico mes a mes"/>
      <sheetName val="F y U 2022"/>
      <sheetName val="Asamblea"/>
      <sheetName val="Deuda Nueva"/>
      <sheetName val="Deuda 2022"/>
      <sheetName val="Monopolio 2019"/>
      <sheetName val="2019"/>
      <sheetName val="Calculos Ingreso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>
            <v>32803405726.496998</v>
          </cell>
        </row>
        <row r="8">
          <cell r="C8">
            <v>1478804174.8069999</v>
          </cell>
        </row>
        <row r="9">
          <cell r="C9">
            <v>7607895046.5239992</v>
          </cell>
        </row>
        <row r="10">
          <cell r="C10">
            <v>17264812461.007198</v>
          </cell>
        </row>
        <row r="11">
          <cell r="C11">
            <v>5754937487.0024004</v>
          </cell>
        </row>
        <row r="12">
          <cell r="C12">
            <v>1150987497.40048</v>
          </cell>
        </row>
        <row r="13">
          <cell r="C13">
            <v>1726481246.1007199</v>
          </cell>
        </row>
        <row r="14">
          <cell r="C14">
            <v>2877468743.5012002</v>
          </cell>
        </row>
        <row r="15">
          <cell r="C15">
            <v>233082586.1124</v>
          </cell>
        </row>
        <row r="16">
          <cell r="C16">
            <v>4661651722.2480001</v>
          </cell>
        </row>
        <row r="17">
          <cell r="C17">
            <v>21471736599.75</v>
          </cell>
        </row>
        <row r="18">
          <cell r="C18">
            <v>14173023328.161156</v>
          </cell>
        </row>
        <row r="19">
          <cell r="C19">
            <v>763018206.50000012</v>
          </cell>
        </row>
        <row r="20">
          <cell r="C20">
            <v>11867811379.982378</v>
          </cell>
        </row>
        <row r="21">
          <cell r="C21">
            <v>7519722989.9869995</v>
          </cell>
        </row>
        <row r="24">
          <cell r="C24">
            <v>633364290</v>
          </cell>
        </row>
        <row r="25">
          <cell r="C25">
            <v>316682145</v>
          </cell>
        </row>
        <row r="28">
          <cell r="C28">
            <v>316682145</v>
          </cell>
        </row>
        <row r="29">
          <cell r="C29">
            <v>5998097768.9099998</v>
          </cell>
        </row>
        <row r="30">
          <cell r="C30">
            <v>1498528901.0899999</v>
          </cell>
        </row>
        <row r="31">
          <cell r="C31">
            <v>12506483101.200001</v>
          </cell>
        </row>
        <row r="32">
          <cell r="C32">
            <v>40000000</v>
          </cell>
        </row>
        <row r="33">
          <cell r="C33">
            <v>2082325780.6400001</v>
          </cell>
        </row>
        <row r="34">
          <cell r="C34">
            <v>210000000</v>
          </cell>
        </row>
        <row r="35">
          <cell r="C35">
            <v>40000000</v>
          </cell>
        </row>
        <row r="36">
          <cell r="C36">
            <v>726529895</v>
          </cell>
        </row>
        <row r="37">
          <cell r="C37">
            <v>8000000000</v>
          </cell>
        </row>
        <row r="38">
          <cell r="C38">
            <v>30000000</v>
          </cell>
        </row>
        <row r="39">
          <cell r="C39">
            <v>5174317732.3821764</v>
          </cell>
        </row>
        <row r="40">
          <cell r="C40">
            <v>1108109699.2247519</v>
          </cell>
        </row>
        <row r="41">
          <cell r="C41">
            <v>672672</v>
          </cell>
        </row>
        <row r="42">
          <cell r="C42">
            <v>17001329692.112865</v>
          </cell>
        </row>
        <row r="43">
          <cell r="C43">
            <v>681192695</v>
          </cell>
        </row>
        <row r="44">
          <cell r="C44">
            <v>500000000</v>
          </cell>
        </row>
        <row r="45">
          <cell r="C45">
            <v>697955589.80284882</v>
          </cell>
        </row>
        <row r="46">
          <cell r="C46">
            <v>2871109596.5971518</v>
          </cell>
        </row>
        <row r="47">
          <cell r="C47">
            <v>217043900.544</v>
          </cell>
        </row>
        <row r="48">
          <cell r="C48">
            <v>1000000</v>
          </cell>
        </row>
        <row r="49">
          <cell r="C49">
            <v>1000000</v>
          </cell>
        </row>
        <row r="50">
          <cell r="C50">
            <v>77643037.524000004</v>
          </cell>
        </row>
        <row r="51">
          <cell r="C51">
            <v>103859422</v>
          </cell>
        </row>
        <row r="54">
          <cell r="C54">
            <v>200000000</v>
          </cell>
        </row>
        <row r="55">
          <cell r="C55">
            <v>9000000000</v>
          </cell>
        </row>
        <row r="56">
          <cell r="C56">
            <v>10000000</v>
          </cell>
        </row>
        <row r="57">
          <cell r="C57">
            <v>300000000</v>
          </cell>
        </row>
        <row r="58">
          <cell r="C58">
            <v>20000000</v>
          </cell>
        </row>
        <row r="59">
          <cell r="C59">
            <v>5000000</v>
          </cell>
        </row>
        <row r="60">
          <cell r="C60">
            <v>2000000</v>
          </cell>
        </row>
        <row r="61">
          <cell r="C61">
            <v>1000000</v>
          </cell>
        </row>
        <row r="62">
          <cell r="C62">
            <v>1000000</v>
          </cell>
        </row>
        <row r="63">
          <cell r="C63">
            <v>5000000</v>
          </cell>
        </row>
        <row r="64">
          <cell r="C64">
            <v>1000000</v>
          </cell>
        </row>
        <row r="65">
          <cell r="C65">
            <v>20000000</v>
          </cell>
        </row>
        <row r="66">
          <cell r="C66">
            <v>5000000</v>
          </cell>
        </row>
        <row r="67">
          <cell r="C67">
            <v>30000000</v>
          </cell>
        </row>
        <row r="68">
          <cell r="C68">
            <v>7000000</v>
          </cell>
        </row>
        <row r="69">
          <cell r="C69">
            <v>10000000</v>
          </cell>
        </row>
        <row r="70">
          <cell r="C70">
            <v>200000000</v>
          </cell>
        </row>
        <row r="76">
          <cell r="C76">
            <v>173431997000</v>
          </cell>
        </row>
        <row r="77">
          <cell r="C77">
            <v>33454400000.000004</v>
          </cell>
        </row>
        <row r="78">
          <cell r="C78">
            <v>684320000</v>
          </cell>
        </row>
        <row r="79">
          <cell r="C79">
            <v>1559043000</v>
          </cell>
        </row>
        <row r="80">
          <cell r="C80">
            <v>9901550847</v>
          </cell>
        </row>
        <row r="81">
          <cell r="C81">
            <v>248000000</v>
          </cell>
        </row>
        <row r="82">
          <cell r="C82">
            <v>10000000</v>
          </cell>
        </row>
        <row r="87">
          <cell r="C87">
            <v>5409654548.4800005</v>
          </cell>
        </row>
        <row r="88">
          <cell r="C88">
            <v>2148091556.8000002</v>
          </cell>
        </row>
        <row r="89">
          <cell r="C89">
            <v>3000000</v>
          </cell>
        </row>
        <row r="90">
          <cell r="C90">
            <v>1000000</v>
          </cell>
        </row>
        <row r="91">
          <cell r="C91">
            <v>1000000</v>
          </cell>
        </row>
        <row r="92">
          <cell r="C92">
            <v>2000000</v>
          </cell>
        </row>
        <row r="93">
          <cell r="C93">
            <v>13674982578.438608</v>
          </cell>
        </row>
        <row r="94">
          <cell r="C94">
            <v>4294347319.9500003</v>
          </cell>
        </row>
        <row r="95">
          <cell r="C95">
            <v>6555522914</v>
          </cell>
        </row>
        <row r="96">
          <cell r="C96">
            <v>1039155856.4800001</v>
          </cell>
        </row>
        <row r="97">
          <cell r="C97">
            <v>32160192.400000002</v>
          </cell>
        </row>
        <row r="98">
          <cell r="C98">
            <v>2874685228.7195997</v>
          </cell>
        </row>
        <row r="99">
          <cell r="C99">
            <v>935707770.20000005</v>
          </cell>
        </row>
        <row r="100">
          <cell r="C100">
            <v>2710325520</v>
          </cell>
        </row>
        <row r="101">
          <cell r="C101">
            <v>1496246629</v>
          </cell>
        </row>
        <row r="102">
          <cell r="C102">
            <v>300000000</v>
          </cell>
        </row>
        <row r="103">
          <cell r="C103">
            <v>15500000000</v>
          </cell>
        </row>
        <row r="104">
          <cell r="C104">
            <v>5061794045.771841</v>
          </cell>
        </row>
        <row r="105">
          <cell r="C105">
            <v>2166182721.9200001</v>
          </cell>
        </row>
        <row r="106">
          <cell r="C106">
            <v>2874685228.7195997</v>
          </cell>
        </row>
        <row r="107">
          <cell r="C107">
            <v>3963289433</v>
          </cell>
        </row>
        <row r="111">
          <cell r="C111">
            <v>4052617319</v>
          </cell>
        </row>
        <row r="115">
          <cell r="C115">
            <v>2461968309.9450002</v>
          </cell>
        </row>
      </sheetData>
      <sheetData sheetId="7">
        <row r="9">
          <cell r="F9">
            <v>7607895000</v>
          </cell>
        </row>
      </sheetData>
      <sheetData sheetId="8">
        <row r="10">
          <cell r="F10">
            <v>17264812000</v>
          </cell>
        </row>
        <row r="17">
          <cell r="F17">
            <v>21471737000</v>
          </cell>
        </row>
        <row r="42">
          <cell r="F42">
            <v>17001330000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25">
          <cell r="F25">
            <v>10015793400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C"/>
      <sheetName val="Vig 15-19 "/>
      <sheetName val="Vig 15-19  (2)"/>
      <sheetName val="Hoja2"/>
      <sheetName val="Proyecciones"/>
      <sheetName val="Proyecciones (2)"/>
      <sheetName val="Plan Financiero 2021"/>
      <sheetName val="F y U 2021"/>
      <sheetName val="F y U 2021 (2)"/>
      <sheetName val="Cumplimiento Art 350 CP"/>
      <sheetName val="Cumplimiento Art 350 CP (2)"/>
      <sheetName val="Resumen Inversion 2021"/>
      <sheetName val="Deuda"/>
      <sheetName val="Ejecucion Ingresos 2020"/>
      <sheetName val="Ejecucion Gastos 2020"/>
      <sheetName val="Funcionamiento icld"/>
      <sheetName val="Hoja1"/>
      <sheetName val="SENTENC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0">
          <cell r="A100" t="str">
            <v>Rendimientos por Operaciones Financieras. (SGP - Salud Pública )</v>
          </cell>
        </row>
        <row r="101">
          <cell r="A101" t="str">
            <v>Rendimientos por Operaciones Financieras. (SGP - Oferta)</v>
          </cell>
        </row>
        <row r="102">
          <cell r="A102" t="str">
            <v>Rendimientos por Operaciones Financieras. (Fondo Estupefacientes )</v>
          </cell>
        </row>
        <row r="103">
          <cell r="A103" t="str">
            <v>Rendimientos por Operaciones Financieras. (Rentas Cedidas )</v>
          </cell>
        </row>
        <row r="127">
          <cell r="A127" t="str">
            <v>IVA Cedido Sobre Licores, Vinos, Aperitivos y Similares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9B91D-8714-4A67-ACBC-82D9232494CA}">
  <sheetPr filterMode="1"/>
  <dimension ref="A1:V522"/>
  <sheetViews>
    <sheetView tabSelected="1" workbookViewId="0">
      <pane xSplit="2" ySplit="2" topLeftCell="L41" activePane="bottomRight" state="frozen"/>
      <selection pane="topRight" activeCell="C1" sqref="C1"/>
      <selection pane="bottomLeft" activeCell="A3" sqref="A3"/>
      <selection pane="bottomRight" activeCell="O2" sqref="O2"/>
    </sheetView>
  </sheetViews>
  <sheetFormatPr baseColWidth="10" defaultRowHeight="14.4" x14ac:dyDescent="0.3"/>
  <cols>
    <col min="1" max="1" width="13.33203125" bestFit="1" customWidth="1"/>
    <col min="2" max="2" width="51.21875" customWidth="1"/>
    <col min="3" max="5" width="22" hidden="1" customWidth="1"/>
    <col min="6" max="6" width="22" style="11" hidden="1" customWidth="1"/>
    <col min="7" max="7" width="22" hidden="1" customWidth="1"/>
    <col min="8" max="8" width="18.6640625" bestFit="1" customWidth="1"/>
    <col min="9" max="10" width="105.77734375" style="7" hidden="1" customWidth="1"/>
    <col min="11" max="11" width="112.88671875" style="7" hidden="1" customWidth="1"/>
    <col min="12" max="12" width="105.77734375" style="7" hidden="1" customWidth="1"/>
    <col min="13" max="13" width="6.44140625" hidden="1" customWidth="1"/>
    <col min="14" max="14" width="8" bestFit="1" customWidth="1"/>
    <col min="15" max="15" width="17.5546875" style="11" bestFit="1" customWidth="1"/>
    <col min="16" max="16" width="33.109375" bestFit="1" customWidth="1"/>
    <col min="17" max="18" width="0" hidden="1" customWidth="1"/>
    <col min="19" max="19" width="20.109375" bestFit="1" customWidth="1"/>
    <col min="20" max="21" width="0" hidden="1" customWidth="1"/>
    <col min="22" max="22" width="21.21875" bestFit="1" customWidth="1"/>
  </cols>
  <sheetData>
    <row r="1" spans="1:22" x14ac:dyDescent="0.3">
      <c r="C1" s="3">
        <v>2021</v>
      </c>
      <c r="D1" s="3">
        <v>2022</v>
      </c>
      <c r="E1" s="3"/>
      <c r="F1" s="138">
        <v>2023</v>
      </c>
      <c r="G1" s="3"/>
      <c r="H1" s="3">
        <v>2024</v>
      </c>
      <c r="P1" s="3">
        <v>2025</v>
      </c>
      <c r="S1" s="3">
        <v>2026</v>
      </c>
      <c r="V1" s="3">
        <v>2027</v>
      </c>
    </row>
    <row r="2" spans="1:22" x14ac:dyDescent="0.3">
      <c r="A2" s="16" t="s">
        <v>3</v>
      </c>
      <c r="B2" s="9" t="s">
        <v>6</v>
      </c>
      <c r="C2" s="3" t="s">
        <v>24</v>
      </c>
      <c r="D2" s="3" t="s">
        <v>24</v>
      </c>
      <c r="E2" s="3"/>
      <c r="F2" s="138" t="s">
        <v>24</v>
      </c>
      <c r="G2" s="3"/>
      <c r="H2" s="3" t="s">
        <v>8</v>
      </c>
    </row>
    <row r="3" spans="1:22" x14ac:dyDescent="0.3">
      <c r="A3" s="5">
        <v>1</v>
      </c>
      <c r="B3" s="8" t="s">
        <v>1026</v>
      </c>
      <c r="C3" s="11">
        <f>+SUMIFS('2021'!Z:Z,'2021'!D:D,CRUCE!A3,'2021'!AT:AT,CRUCE!B3)</f>
        <v>79047883.269999996</v>
      </c>
      <c r="D3" s="11">
        <f>+SUMIFS('2022'!Y:Y,'2022'!D:D,CRUCE!A3,'2022'!AS:AS,CRUCE!B3)</f>
        <v>141557350.18000001</v>
      </c>
      <c r="E3" s="136">
        <f>+(D3-C3)/C3</f>
        <v>0.7907797694783234</v>
      </c>
      <c r="F3" s="11">
        <f>+F20*2</f>
        <v>232732433.36000001</v>
      </c>
      <c r="G3" s="136">
        <f t="shared" ref="G3:G67" si="0">+(F3-D3)/D3</f>
        <v>0.64408582856393226</v>
      </c>
      <c r="H3" s="11">
        <f>+SUMIFS('2024'!J:J,'2024'!D:D,CRUCE!A3,'2024'!AT:AT,CRUCE!B3)</f>
        <v>655332208.02999997</v>
      </c>
      <c r="I3" s="7" t="str">
        <f>+$A3&amp;$B3&amp;C3</f>
        <v>1Impuesto de Registro - Cámaras de Comercio ( 20% FONPET)79047883,27</v>
      </c>
      <c r="J3" s="7" t="str">
        <f>+$A3&amp;$B3&amp;D3</f>
        <v>1Impuesto de Registro - Cámaras de Comercio ( 20% FONPET)141557350,18</v>
      </c>
      <c r="K3" s="7" t="str">
        <f>+$A3&amp;$B3&amp;F3</f>
        <v>1Impuesto de Registro - Cámaras de Comercio ( 20% FONPET)232732433,36</v>
      </c>
      <c r="L3" s="7" t="str">
        <f t="shared" ref="L3" si="1">+$A3&amp;$B3&amp;H3</f>
        <v>1Impuesto de Registro - Cámaras de Comercio ( 20% FONPET)655332208,03</v>
      </c>
      <c r="M3" t="s">
        <v>1906</v>
      </c>
      <c r="N3" s="136">
        <v>0.08</v>
      </c>
      <c r="O3" s="136"/>
      <c r="P3" s="20">
        <f>+H3+(H3*N3)</f>
        <v>707758784.6724</v>
      </c>
      <c r="Q3" s="136">
        <f>+N3</f>
        <v>0.08</v>
      </c>
      <c r="R3" s="136">
        <f>+Q3</f>
        <v>0.08</v>
      </c>
      <c r="S3" s="20">
        <f>+P3+(P3*R3)</f>
        <v>764379487.44619203</v>
      </c>
      <c r="T3" s="136">
        <v>0.08</v>
      </c>
      <c r="U3" s="136">
        <f>+R3</f>
        <v>0.08</v>
      </c>
      <c r="V3" s="20">
        <f>+S3+(S3*U3)</f>
        <v>825529846.44188738</v>
      </c>
    </row>
    <row r="4" spans="1:22" x14ac:dyDescent="0.3">
      <c r="A4" s="5">
        <v>1</v>
      </c>
      <c r="B4" s="8" t="s">
        <v>1037</v>
      </c>
      <c r="C4" s="11">
        <f>+SUMIFS('2021'!Z:Z,'2021'!D:D,CRUCE!A4,'2021'!AT:AT,CRUCE!B4)</f>
        <v>2686795155.4099998</v>
      </c>
      <c r="D4" s="11">
        <f>+SUMIFS('2022'!Y:Y,'2022'!D:D,CRUCE!A4,'2022'!AS:AS,CRUCE!B4)</f>
        <v>4500222401.1999998</v>
      </c>
      <c r="E4" s="136">
        <f t="shared" ref="E4:E67" si="2">+(D4-C4)/C4</f>
        <v>0.67494064150687905</v>
      </c>
      <c r="F4" s="11">
        <f>+F22*2</f>
        <v>4681223787.1599998</v>
      </c>
      <c r="G4" s="136">
        <f t="shared" si="0"/>
        <v>4.0220542414022779E-2</v>
      </c>
      <c r="H4" s="11">
        <f>+SUMIFS('2024'!J:J,'2024'!D:D,CRUCE!A4,'2024'!AT:AT,CRUCE!B4)</f>
        <v>5099604791.9700003</v>
      </c>
      <c r="I4" s="7" t="str">
        <f t="shared" ref="I4:I71" si="3">+$A4&amp;$B4&amp;C4</f>
        <v>1Impuesto de Registro - Oficinas de Instrumentos Públicos ( 20% FONPET)2686795155,41</v>
      </c>
      <c r="J4" s="7" t="str">
        <f t="shared" ref="J4:J71" si="4">+$A4&amp;$B4&amp;D4</f>
        <v>1Impuesto de Registro - Oficinas de Instrumentos Públicos ( 20% FONPET)4500222401,2</v>
      </c>
      <c r="K4" s="7" t="str">
        <f t="shared" ref="K4:K71" si="5">+$A4&amp;$B4&amp;F4</f>
        <v>1Impuesto de Registro - Oficinas de Instrumentos Públicos ( 20% FONPET)4681223787,16</v>
      </c>
      <c r="L4" s="7" t="str">
        <f t="shared" ref="L4:L71" si="6">+$A4&amp;$B4&amp;H4</f>
        <v>1Impuesto de Registro - Oficinas de Instrumentos Públicos ( 20% FONPET)5099604791,97</v>
      </c>
      <c r="M4" t="s">
        <v>1906</v>
      </c>
      <c r="N4" s="136">
        <v>0.08</v>
      </c>
      <c r="O4" s="136"/>
      <c r="P4" s="20">
        <f t="shared" ref="P4:P67" si="7">+H4+(H4*N4)</f>
        <v>5507573175.3276005</v>
      </c>
      <c r="Q4" s="136">
        <f>+N4</f>
        <v>0.08</v>
      </c>
      <c r="R4" s="136">
        <f>+Q4</f>
        <v>0.08</v>
      </c>
      <c r="S4" s="20">
        <f t="shared" ref="S4:S67" si="8">+P4+(P4*R4)</f>
        <v>5948179029.3538084</v>
      </c>
      <c r="T4" s="136">
        <v>0.08</v>
      </c>
      <c r="U4" s="136">
        <f>+R4</f>
        <v>0.08</v>
      </c>
      <c r="V4" s="20">
        <f t="shared" ref="V4:V67" si="9">+S4+(S4*U4)</f>
        <v>6424033351.7021132</v>
      </c>
    </row>
    <row r="5" spans="1:22" hidden="1" x14ac:dyDescent="0.3">
      <c r="A5" s="5">
        <v>1</v>
      </c>
      <c r="B5" s="8" t="s">
        <v>459</v>
      </c>
      <c r="C5" s="11">
        <f>+SUMIFS('2021'!Z:Z,'2021'!D:D,CRUCE!A5,'2021'!AT:AT,CRUCE!B5)</f>
        <v>3491848</v>
      </c>
      <c r="D5" s="11">
        <f>+SUMIFS('2022'!Y:Y,'2022'!D:D,CRUCE!A5,'2022'!AS:AS,CRUCE!B5)</f>
        <v>0</v>
      </c>
      <c r="E5" s="136">
        <f t="shared" si="2"/>
        <v>-1</v>
      </c>
      <c r="F5" s="11">
        <f>+SUMIFS('2023'!Y:Y,'2023'!D:D,CRUCE!A5,'2023'!AS:AS,CRUCE!B5)</f>
        <v>0</v>
      </c>
      <c r="G5" s="136" t="e">
        <f t="shared" si="0"/>
        <v>#DIV/0!</v>
      </c>
      <c r="H5" s="11">
        <f>+SUMIFS('2024'!J:J,'2024'!D:D,CRUCE!A5,'2024'!AT:AT,CRUCE!B5)</f>
        <v>0</v>
      </c>
      <c r="I5" s="7" t="str">
        <f t="shared" si="3"/>
        <v>1Reintegros3491848</v>
      </c>
      <c r="J5" s="7" t="str">
        <f t="shared" si="4"/>
        <v>1Reintegros0</v>
      </c>
      <c r="K5" s="7" t="str">
        <f t="shared" si="5"/>
        <v>1Reintegros0</v>
      </c>
      <c r="L5" s="7" t="str">
        <f t="shared" si="6"/>
        <v>1Reintegros0</v>
      </c>
      <c r="M5" t="s">
        <v>1906</v>
      </c>
      <c r="N5" s="136" t="e">
        <f t="shared" ref="N5:N71" si="10">+(E5+G5)/2</f>
        <v>#DIV/0!</v>
      </c>
      <c r="O5" s="136"/>
      <c r="P5" s="20" t="e">
        <f t="shared" si="7"/>
        <v>#DIV/0!</v>
      </c>
      <c r="Q5" s="136">
        <v>0.02</v>
      </c>
      <c r="R5" s="136">
        <v>0.02</v>
      </c>
      <c r="S5" s="20" t="e">
        <f t="shared" si="8"/>
        <v>#DIV/0!</v>
      </c>
      <c r="T5" s="136">
        <v>0.02</v>
      </c>
      <c r="U5" s="136">
        <v>0.02</v>
      </c>
      <c r="V5" s="20" t="e">
        <f t="shared" si="9"/>
        <v>#DIV/0!</v>
      </c>
    </row>
    <row r="6" spans="1:22" x14ac:dyDescent="0.3">
      <c r="A6" s="5">
        <v>4</v>
      </c>
      <c r="B6" s="8" t="s">
        <v>1121</v>
      </c>
      <c r="C6" s="11">
        <f>+SUMIFS('2021'!Z:Z,'2021'!D:D,CRUCE!A6,'2021'!AT:AT,CRUCE!B6)</f>
        <v>0</v>
      </c>
      <c r="D6" s="11">
        <f>+SUMIFS('2022'!Y:Y,'2022'!D:D,CRUCE!A6,'2022'!AS:AS,CRUCE!B6)</f>
        <v>69803152.939999998</v>
      </c>
      <c r="E6" s="136"/>
      <c r="F6" s="11">
        <f>+SUMIFS('2023'!Y:Y,'2023'!D:D,CRUCE!A6,'2023'!AS:AS,CRUCE!B6)</f>
        <v>336550513.05000001</v>
      </c>
      <c r="G6" s="136">
        <f>+(F6-D6)/D6</f>
        <v>3.8214227993295</v>
      </c>
      <c r="H6" s="11">
        <f>+SUMIFS('2024'!J:J,'2024'!D:D,CRUCE!A6,'2024'!AT:AT,CRUCE!B6)</f>
        <v>20000000</v>
      </c>
      <c r="I6" s="7" t="str">
        <f t="shared" si="3"/>
        <v>4Depósitos Estampilla Prodesarrollo Inversion 50%0</v>
      </c>
      <c r="J6" s="7" t="str">
        <f t="shared" si="4"/>
        <v>4Depósitos Estampilla Prodesarrollo Inversion 50%69803152,94</v>
      </c>
      <c r="K6" s="7" t="str">
        <f t="shared" si="5"/>
        <v>4Depósitos Estampilla Prodesarrollo Inversion 50%336550513,05</v>
      </c>
      <c r="L6" s="7" t="str">
        <f t="shared" si="6"/>
        <v>4Depósitos Estampilla Prodesarrollo Inversion 50%20000000</v>
      </c>
      <c r="M6" t="s">
        <v>1906</v>
      </c>
      <c r="N6" s="136">
        <v>0.02</v>
      </c>
      <c r="O6" s="136"/>
      <c r="P6" s="20">
        <f>+H6*1.02</f>
        <v>20400000</v>
      </c>
      <c r="Q6" s="136">
        <f>+N6</f>
        <v>0.02</v>
      </c>
      <c r="R6" s="136">
        <f>+Q6</f>
        <v>0.02</v>
      </c>
      <c r="S6" s="20">
        <f>+P6*1.02</f>
        <v>20808000</v>
      </c>
      <c r="T6" s="136">
        <v>0.19</v>
      </c>
      <c r="U6" s="136">
        <f>+R6</f>
        <v>0.02</v>
      </c>
      <c r="V6" s="20">
        <f>+S6*1.02</f>
        <v>21224160</v>
      </c>
    </row>
    <row r="7" spans="1:22" hidden="1" x14ac:dyDescent="0.3">
      <c r="A7" s="5">
        <v>4</v>
      </c>
      <c r="B7" s="8" t="s">
        <v>124</v>
      </c>
      <c r="C7" s="11">
        <f>+SUMIFS('2021'!Z:Z,'2021'!D:D,CRUCE!A7,'2021'!AT:AT,CRUCE!B7)</f>
        <v>18961910.350000001</v>
      </c>
      <c r="D7" s="11">
        <f>+SUMIFS('2022'!Y:Y,'2022'!D:D,CRUCE!A7,'2022'!AS:AS,CRUCE!B7)</f>
        <v>0</v>
      </c>
      <c r="E7" s="136">
        <f t="shared" si="2"/>
        <v>-1</v>
      </c>
      <c r="F7" s="11">
        <f>+SUMIFS('2023'!Y:Y,'2023'!D:D,CRUCE!A7,'2023'!AS:AS,CRUCE!B7)</f>
        <v>0</v>
      </c>
      <c r="G7" s="136" t="e">
        <f t="shared" si="0"/>
        <v>#DIV/0!</v>
      </c>
      <c r="H7" s="11">
        <f>+SUMIFS('2024'!J:J,'2024'!D:D,CRUCE!A7,'2024'!AT:AT,CRUCE!B7)</f>
        <v>0</v>
      </c>
      <c r="I7" s="7" t="str">
        <f t="shared" si="3"/>
        <v>4Estampilla pro desarrollo departamental18961910,35</v>
      </c>
      <c r="J7" s="7" t="str">
        <f t="shared" si="4"/>
        <v>4Estampilla pro desarrollo departamental0</v>
      </c>
      <c r="K7" s="7" t="str">
        <f t="shared" si="5"/>
        <v>4Estampilla pro desarrollo departamental0</v>
      </c>
      <c r="L7" s="7" t="str">
        <f t="shared" si="6"/>
        <v>4Estampilla pro desarrollo departamental0</v>
      </c>
      <c r="M7" t="s">
        <v>1906</v>
      </c>
      <c r="N7" s="136" t="e">
        <f t="shared" si="10"/>
        <v>#DIV/0!</v>
      </c>
      <c r="O7" s="136"/>
      <c r="P7" s="20" t="e">
        <f t="shared" si="7"/>
        <v>#DIV/0!</v>
      </c>
      <c r="Q7" s="136">
        <v>0.02</v>
      </c>
      <c r="R7" s="136">
        <v>0.02</v>
      </c>
      <c r="S7" s="20" t="e">
        <f t="shared" si="8"/>
        <v>#DIV/0!</v>
      </c>
      <c r="T7" s="136">
        <v>0.02</v>
      </c>
      <c r="U7" s="136">
        <v>0.02</v>
      </c>
      <c r="V7" s="20" t="e">
        <f t="shared" si="9"/>
        <v>#DIV/0!</v>
      </c>
    </row>
    <row r="8" spans="1:22" x14ac:dyDescent="0.3">
      <c r="A8" s="5">
        <v>4</v>
      </c>
      <c r="B8" s="8" t="s">
        <v>1055</v>
      </c>
      <c r="C8" s="11">
        <f>+SUMIFS('2021'!Z:Z,'2021'!D:D,CRUCE!A8,'2021'!AT:AT,CRUCE!B8)</f>
        <v>5472692270</v>
      </c>
      <c r="D8" s="11">
        <f>+SUMIFS('2022'!Y:Y,'2022'!D:D,CRUCE!A8,'2022'!AS:AS,CRUCE!B8)</f>
        <v>5784402299.9899998</v>
      </c>
      <c r="E8" s="136">
        <v>0.19</v>
      </c>
      <c r="F8" s="11">
        <f>+SUMIFS('2023'!Y:Y,'2023'!D:D,CRUCE!A8,'2023'!AS:AS,CRUCE!B8)</f>
        <v>6908830116.46</v>
      </c>
      <c r="G8" s="136">
        <f t="shared" si="0"/>
        <v>0.19438962889423236</v>
      </c>
      <c r="H8" s="11">
        <f>+SUMIFS('2024'!J:J,'2024'!D:D,CRUCE!A8,'2024'!AT:AT,CRUCE!B8)</f>
        <v>7519723000</v>
      </c>
      <c r="I8" s="7" t="str">
        <f t="shared" si="3"/>
        <v>4Estampilla pro desarrollo departamental (50% inversion)5472692270</v>
      </c>
      <c r="J8" s="7" t="str">
        <f t="shared" si="4"/>
        <v>4Estampilla pro desarrollo departamental (50% inversion)5784402299,99</v>
      </c>
      <c r="K8" s="7" t="str">
        <f t="shared" si="5"/>
        <v>4Estampilla pro desarrollo departamental (50% inversion)6908830116,46</v>
      </c>
      <c r="L8" s="7" t="str">
        <f t="shared" si="6"/>
        <v>4Estampilla pro desarrollo departamental (50% inversion)7519723000</v>
      </c>
      <c r="M8" t="s">
        <v>1906</v>
      </c>
      <c r="N8" s="136">
        <v>0.19</v>
      </c>
      <c r="O8" s="136"/>
      <c r="P8" s="20">
        <f t="shared" si="7"/>
        <v>8948470370</v>
      </c>
      <c r="Q8" s="136">
        <f>+N8</f>
        <v>0.19</v>
      </c>
      <c r="R8" s="136">
        <f>+Q8</f>
        <v>0.19</v>
      </c>
      <c r="S8" s="20">
        <f t="shared" si="8"/>
        <v>10648679740.299999</v>
      </c>
      <c r="T8" s="136">
        <v>0.19</v>
      </c>
      <c r="U8" s="136">
        <f>+R8</f>
        <v>0.19</v>
      </c>
      <c r="V8" s="20">
        <f t="shared" si="9"/>
        <v>12671928890.956999</v>
      </c>
    </row>
    <row r="9" spans="1:22" hidden="1" x14ac:dyDescent="0.3">
      <c r="A9" s="5">
        <v>4</v>
      </c>
      <c r="B9" s="8" t="s">
        <v>459</v>
      </c>
      <c r="C9" s="11">
        <f>+SUMIFS('2021'!Z:Z,'2021'!D:D,CRUCE!A9,'2021'!AT:AT,CRUCE!B9)</f>
        <v>2096027</v>
      </c>
      <c r="D9" s="11">
        <f>+SUMIFS('2022'!Y:Y,'2022'!D:D,CRUCE!A9,'2022'!AS:AS,CRUCE!B9)</f>
        <v>0</v>
      </c>
      <c r="E9" s="136">
        <f t="shared" si="2"/>
        <v>-1</v>
      </c>
      <c r="F9" s="11">
        <f>+SUMIFS('2023'!Y:Y,'2023'!D:D,CRUCE!A9,'2023'!AS:AS,CRUCE!B9)</f>
        <v>0</v>
      </c>
      <c r="G9" s="136" t="e">
        <f t="shared" si="0"/>
        <v>#DIV/0!</v>
      </c>
      <c r="H9" s="11">
        <f>+SUMIFS('2024'!J:J,'2024'!D:D,CRUCE!A9,'2024'!AT:AT,CRUCE!B9)</f>
        <v>0</v>
      </c>
      <c r="I9" s="7" t="str">
        <f t="shared" si="3"/>
        <v>4Reintegros2096027</v>
      </c>
      <c r="J9" s="7" t="str">
        <f t="shared" si="4"/>
        <v>4Reintegros0</v>
      </c>
      <c r="K9" s="7" t="str">
        <f t="shared" si="5"/>
        <v>4Reintegros0</v>
      </c>
      <c r="L9" s="7" t="str">
        <f t="shared" si="6"/>
        <v>4Reintegros0</v>
      </c>
      <c r="M9" t="s">
        <v>1906</v>
      </c>
      <c r="N9" s="136" t="e">
        <f t="shared" si="10"/>
        <v>#DIV/0!</v>
      </c>
      <c r="O9" s="136"/>
      <c r="P9" s="20" t="e">
        <f t="shared" si="7"/>
        <v>#DIV/0!</v>
      </c>
      <c r="Q9" s="136">
        <v>0.02</v>
      </c>
      <c r="R9" s="136">
        <v>0.02</v>
      </c>
      <c r="S9" s="20" t="e">
        <f t="shared" si="8"/>
        <v>#DIV/0!</v>
      </c>
      <c r="T9" s="136">
        <v>0.02</v>
      </c>
      <c r="U9" s="136">
        <v>0.02</v>
      </c>
      <c r="V9" s="20" t="e">
        <f t="shared" si="9"/>
        <v>#DIV/0!</v>
      </c>
    </row>
    <row r="10" spans="1:22" x14ac:dyDescent="0.3">
      <c r="A10" s="5">
        <v>5</v>
      </c>
      <c r="B10" s="8" t="s">
        <v>1125</v>
      </c>
      <c r="C10" s="11">
        <f>+SUMIFS('2021'!Z:Z,'2021'!D:D,CRUCE!A10,'2021'!AT:AT,CRUCE!B10)</f>
        <v>0</v>
      </c>
      <c r="D10" s="11">
        <f>+SUMIFS('2022'!Y:Y,'2022'!D:D,CRUCE!A10,'2022'!AS:AS,CRUCE!B10)</f>
        <v>4007801.64</v>
      </c>
      <c r="E10" s="136" t="e">
        <f t="shared" si="2"/>
        <v>#DIV/0!</v>
      </c>
      <c r="F10" s="11">
        <f>+SUMIFS('2023'!Y:Y,'2023'!D:D,CRUCE!A10,'2023'!AS:AS,CRUCE!B10)</f>
        <v>23502417.239999998</v>
      </c>
      <c r="G10" s="136">
        <f t="shared" si="0"/>
        <v>4.8641667804697031</v>
      </c>
      <c r="H10" s="11">
        <f>+SUMIFS('2024'!J:J,'2024'!D:D,CRUCE!A10,'2024'!AT:AT,CRUCE!B10)</f>
        <v>2000000</v>
      </c>
      <c r="I10" s="7" t="str">
        <f t="shared" si="3"/>
        <v>5Depósitos Estampilla Procultura Pensiones 20%0</v>
      </c>
      <c r="J10" s="7" t="str">
        <f t="shared" si="4"/>
        <v>5Depósitos Estampilla Procultura Pensiones 20%4007801,64</v>
      </c>
      <c r="K10" s="7" t="str">
        <f t="shared" si="5"/>
        <v>5Depósitos Estampilla Procultura Pensiones 20%23502417,24</v>
      </c>
      <c r="L10" s="7" t="str">
        <f t="shared" si="6"/>
        <v>5Depósitos Estampilla Procultura Pensiones 20%2000000</v>
      </c>
      <c r="M10" t="s">
        <v>1906</v>
      </c>
      <c r="N10" s="136">
        <v>0.02</v>
      </c>
      <c r="O10" s="136"/>
      <c r="P10" s="20">
        <f>+H10*1.02</f>
        <v>2040000</v>
      </c>
      <c r="Q10" s="136">
        <f>+N10</f>
        <v>0.02</v>
      </c>
      <c r="R10" s="136">
        <f>+Q10</f>
        <v>0.02</v>
      </c>
      <c r="S10" s="20">
        <f>+P10*1.02</f>
        <v>2080800</v>
      </c>
      <c r="T10" s="136">
        <v>0.19</v>
      </c>
      <c r="U10" s="136">
        <f>+R10</f>
        <v>0.02</v>
      </c>
      <c r="V10" s="20">
        <f>+S10*1.02</f>
        <v>2122416</v>
      </c>
    </row>
    <row r="11" spans="1:22" hidden="1" x14ac:dyDescent="0.3">
      <c r="A11" s="5">
        <v>5</v>
      </c>
      <c r="B11" s="8" t="s">
        <v>134</v>
      </c>
      <c r="C11" s="11">
        <f>+SUMIFS('2021'!Z:Z,'2021'!D:D,CRUCE!A11,'2021'!AT:AT,CRUCE!B11)</f>
        <v>1723833.62</v>
      </c>
      <c r="D11" s="11">
        <f>+SUMIFS('2022'!Y:Y,'2022'!D:D,CRUCE!A11,'2022'!AS:AS,CRUCE!B11)</f>
        <v>0</v>
      </c>
      <c r="E11" s="136">
        <f t="shared" si="2"/>
        <v>-1</v>
      </c>
      <c r="F11" s="11">
        <f>+SUMIFS('2023'!Y:Y,'2023'!D:D,CRUCE!A11,'2023'!AS:AS,CRUCE!B11)</f>
        <v>0</v>
      </c>
      <c r="G11" s="136" t="e">
        <f t="shared" si="0"/>
        <v>#DIV/0!</v>
      </c>
      <c r="H11" s="11">
        <f>+SUMIFS('2024'!J:J,'2024'!D:D,CRUCE!A11,'2024'!AT:AT,CRUCE!B11)</f>
        <v>0</v>
      </c>
      <c r="I11" s="7" t="str">
        <f t="shared" si="3"/>
        <v>5Estampilla pro cultura1723833,62</v>
      </c>
      <c r="J11" s="7" t="str">
        <f t="shared" si="4"/>
        <v>5Estampilla pro cultura0</v>
      </c>
      <c r="K11" s="7" t="str">
        <f t="shared" si="5"/>
        <v>5Estampilla pro cultura0</v>
      </c>
      <c r="L11" s="7" t="str">
        <f t="shared" si="6"/>
        <v>5Estampilla pro cultura0</v>
      </c>
      <c r="M11" t="s">
        <v>1906</v>
      </c>
      <c r="N11" s="136" t="e">
        <f t="shared" si="10"/>
        <v>#DIV/0!</v>
      </c>
      <c r="O11" s="136"/>
      <c r="P11" s="20" t="e">
        <f t="shared" si="7"/>
        <v>#DIV/0!</v>
      </c>
      <c r="Q11" s="136">
        <v>0.19</v>
      </c>
      <c r="R11" s="136">
        <v>0.19</v>
      </c>
      <c r="S11" s="20" t="e">
        <f t="shared" si="8"/>
        <v>#DIV/0!</v>
      </c>
      <c r="T11" s="136">
        <v>0.19</v>
      </c>
      <c r="U11" s="136">
        <v>0.19</v>
      </c>
      <c r="V11" s="20" t="e">
        <f t="shared" si="9"/>
        <v>#DIV/0!</v>
      </c>
    </row>
    <row r="12" spans="1:22" x14ac:dyDescent="0.3">
      <c r="A12" s="5">
        <v>5</v>
      </c>
      <c r="B12" s="8" t="s">
        <v>1062</v>
      </c>
      <c r="C12" s="11">
        <f>+SUMIFS('2021'!Z:Z,'2021'!D:D,CRUCE!A12,'2021'!AT:AT,CRUCE!B12)</f>
        <v>357904740</v>
      </c>
      <c r="D12" s="11">
        <f>+SUMIFS('2022'!Y:Y,'2022'!D:D,CRUCE!A12,'2022'!AS:AS,CRUCE!B12)</f>
        <v>487203300</v>
      </c>
      <c r="E12" s="136">
        <f t="shared" si="2"/>
        <v>0.36126529087041431</v>
      </c>
      <c r="F12" s="11">
        <f>+SUMIFS('2023'!Y:Y,'2023'!D:D,CRUCE!A12,'2023'!AS:AS,CRUCE!B12)</f>
        <v>688079435.36000001</v>
      </c>
      <c r="G12" s="136">
        <f t="shared" si="0"/>
        <v>0.4123045458846441</v>
      </c>
      <c r="H12" s="11">
        <f>+SUMIFS('2024'!J:J,'2024'!D:D,CRUCE!A12,'2024'!AT:AT,CRUCE!B12)</f>
        <v>633364000</v>
      </c>
      <c r="I12" s="7" t="str">
        <f t="shared" si="3"/>
        <v>5Estampilla pro cultura (20% Pensiones)357904740</v>
      </c>
      <c r="J12" s="7" t="str">
        <f t="shared" si="4"/>
        <v>5Estampilla pro cultura (20% Pensiones)487203300</v>
      </c>
      <c r="K12" s="7" t="str">
        <f t="shared" si="5"/>
        <v>5Estampilla pro cultura (20% Pensiones)688079435,36</v>
      </c>
      <c r="L12" s="7" t="str">
        <f t="shared" si="6"/>
        <v>5Estampilla pro cultura (20% Pensiones)633364000</v>
      </c>
      <c r="M12" t="s">
        <v>1906</v>
      </c>
      <c r="N12" s="136">
        <v>0.19</v>
      </c>
      <c r="O12" s="136"/>
      <c r="P12" s="20">
        <f t="shared" si="7"/>
        <v>753703160</v>
      </c>
      <c r="Q12" s="136">
        <f t="shared" ref="Q12:Q13" si="11">+N12</f>
        <v>0.19</v>
      </c>
      <c r="R12" s="136">
        <f t="shared" ref="R12:R13" si="12">+Q12</f>
        <v>0.19</v>
      </c>
      <c r="S12" s="20">
        <f t="shared" si="8"/>
        <v>896906760.39999998</v>
      </c>
      <c r="T12" s="136">
        <v>0.08</v>
      </c>
      <c r="U12" s="136">
        <f t="shared" ref="U12:U13" si="13">+R12</f>
        <v>0.19</v>
      </c>
      <c r="V12" s="20">
        <f t="shared" si="9"/>
        <v>1067319044.8759999</v>
      </c>
    </row>
    <row r="13" spans="1:22" x14ac:dyDescent="0.3">
      <c r="A13" s="5">
        <v>6</v>
      </c>
      <c r="B13" s="8" t="s">
        <v>1135</v>
      </c>
      <c r="C13" s="11">
        <f>+SUMIFS('2021'!Z:Z,'2021'!D:D,CRUCE!A13,'2021'!AT:AT,CRUCE!B13)</f>
        <v>0</v>
      </c>
      <c r="D13" s="11">
        <f>+SUMIFS('2022'!Y:Y,'2022'!D:D,CRUCE!A13,'2022'!AS:AS,CRUCE!B13)</f>
        <v>57150560.700000003</v>
      </c>
      <c r="E13" s="136" t="e">
        <f t="shared" si="2"/>
        <v>#DIV/0!</v>
      </c>
      <c r="F13" s="11">
        <f>+SUMIFS('2023'!Y:Y,'2023'!D:D,CRUCE!A13,'2023'!AS:AS,CRUCE!B13)</f>
        <v>151535498.49000001</v>
      </c>
      <c r="G13" s="136">
        <f t="shared" si="0"/>
        <v>1.6515137670381597</v>
      </c>
      <c r="H13" s="11">
        <f>+SUMIFS('2024'!J:J,'2024'!D:D,CRUCE!A13,'2024'!AT:AT,CRUCE!B13)</f>
        <v>20000000</v>
      </c>
      <c r="I13" s="7" t="str">
        <f t="shared" si="3"/>
        <v>6Depósitos Estampilla Proadulto Mayor Inversion 80%0</v>
      </c>
      <c r="J13" s="7" t="str">
        <f t="shared" si="4"/>
        <v>6Depósitos Estampilla Proadulto Mayor Inversion 80%57150560,7</v>
      </c>
      <c r="K13" s="7" t="str">
        <f t="shared" si="5"/>
        <v>6Depósitos Estampilla Proadulto Mayor Inversion 80%151535498,49</v>
      </c>
      <c r="L13" s="7" t="str">
        <f t="shared" si="6"/>
        <v>6Depósitos Estampilla Proadulto Mayor Inversion 80%20000000</v>
      </c>
      <c r="M13" t="s">
        <v>1906</v>
      </c>
      <c r="N13" s="136">
        <v>0.02</v>
      </c>
      <c r="O13" s="136"/>
      <c r="P13" s="20">
        <f>+H13*1.02</f>
        <v>20400000</v>
      </c>
      <c r="Q13" s="136">
        <f t="shared" si="11"/>
        <v>0.02</v>
      </c>
      <c r="R13" s="136">
        <f t="shared" si="12"/>
        <v>0.02</v>
      </c>
      <c r="S13" s="20">
        <f>+P13*1.02</f>
        <v>20808000</v>
      </c>
      <c r="T13" s="136">
        <v>0.08</v>
      </c>
      <c r="U13" s="136">
        <f t="shared" si="13"/>
        <v>0.02</v>
      </c>
      <c r="V13" s="20">
        <f>+S13*1.02</f>
        <v>21224160</v>
      </c>
    </row>
    <row r="14" spans="1:22" hidden="1" x14ac:dyDescent="0.3">
      <c r="A14" s="5">
        <v>6</v>
      </c>
      <c r="B14" s="8" t="s">
        <v>119</v>
      </c>
      <c r="C14" s="11">
        <f>+SUMIFS('2021'!Z:Z,'2021'!D:D,CRUCE!A14,'2021'!AT:AT,CRUCE!B14)</f>
        <v>14259553.98</v>
      </c>
      <c r="D14" s="11">
        <f>+SUMIFS('2022'!Y:Y,'2022'!D:D,CRUCE!A14,'2022'!AS:AS,CRUCE!B14)</f>
        <v>0</v>
      </c>
      <c r="E14" s="136">
        <f t="shared" si="2"/>
        <v>-1</v>
      </c>
      <c r="F14" s="11">
        <f>+SUMIFS('2023'!Y:Y,'2023'!D:D,CRUCE!A14,'2023'!AS:AS,CRUCE!B14)</f>
        <v>0</v>
      </c>
      <c r="G14" s="136" t="e">
        <f t="shared" si="0"/>
        <v>#DIV/0!</v>
      </c>
      <c r="H14" s="11">
        <f>+SUMIFS('2024'!J:J,'2024'!D:D,CRUCE!A14,'2024'!AT:AT,CRUCE!B14)</f>
        <v>0</v>
      </c>
      <c r="I14" s="7" t="str">
        <f t="shared" si="3"/>
        <v>6Estampilla para el bienestar del adulto mayor14259553,98</v>
      </c>
      <c r="J14" s="7" t="str">
        <f t="shared" si="4"/>
        <v>6Estampilla para el bienestar del adulto mayor0</v>
      </c>
      <c r="K14" s="7" t="str">
        <f t="shared" si="5"/>
        <v>6Estampilla para el bienestar del adulto mayor0</v>
      </c>
      <c r="L14" s="7" t="str">
        <f t="shared" si="6"/>
        <v>6Estampilla para el bienestar del adulto mayor0</v>
      </c>
      <c r="M14" t="s">
        <v>1906</v>
      </c>
      <c r="N14" s="136" t="e">
        <f t="shared" si="10"/>
        <v>#DIV/0!</v>
      </c>
      <c r="O14" s="136"/>
      <c r="P14" s="20" t="e">
        <f t="shared" si="7"/>
        <v>#DIV/0!</v>
      </c>
      <c r="Q14" s="136">
        <v>0.05</v>
      </c>
      <c r="R14" s="136">
        <v>0.05</v>
      </c>
      <c r="S14" s="20" t="e">
        <f t="shared" si="8"/>
        <v>#DIV/0!</v>
      </c>
      <c r="T14" s="136">
        <v>0.05</v>
      </c>
      <c r="U14" s="136">
        <v>0.05</v>
      </c>
      <c r="V14" s="20" t="e">
        <f t="shared" si="9"/>
        <v>#DIV/0!</v>
      </c>
    </row>
    <row r="15" spans="1:22" x14ac:dyDescent="0.3">
      <c r="A15" s="5">
        <v>6</v>
      </c>
      <c r="B15" s="8" t="s">
        <v>1050</v>
      </c>
      <c r="C15" s="11">
        <f>+SUMIFS('2021'!Z:Z,'2021'!D:D,CRUCE!A15,'2021'!AT:AT,CRUCE!B15)</f>
        <v>3422079359.2399998</v>
      </c>
      <c r="D15" s="11">
        <f>+SUMIFS('2022'!Y:Y,'2022'!D:D,CRUCE!A15,'2022'!AS:AS,CRUCE!B15)</f>
        <v>4613921360.6999998</v>
      </c>
      <c r="E15" s="136">
        <f t="shared" si="2"/>
        <v>0.34828005909386417</v>
      </c>
      <c r="F15" s="11">
        <f>+SUMIFS('2023'!Y:Y,'2023'!D:D,CRUCE!A15,'2023'!AS:AS,CRUCE!B15)</f>
        <v>6814706610.4300003</v>
      </c>
      <c r="G15" s="136">
        <f t="shared" si="0"/>
        <v>0.47698802768413656</v>
      </c>
      <c r="H15" s="11">
        <f>+SUMIFS('2024'!J:J,'2024'!D:D,CRUCE!A15,'2024'!AT:AT,CRUCE!B15)</f>
        <v>5998098000</v>
      </c>
      <c r="I15" s="7" t="str">
        <f t="shared" si="3"/>
        <v>6Estampilla para el bienestar del adulto mayor (80% Inversion)3422079359,24</v>
      </c>
      <c r="J15" s="7" t="str">
        <f t="shared" si="4"/>
        <v>6Estampilla para el bienestar del adulto mayor (80% Inversion)4613921360,7</v>
      </c>
      <c r="K15" s="7" t="str">
        <f t="shared" si="5"/>
        <v>6Estampilla para el bienestar del adulto mayor (80% Inversion)6814706610,43</v>
      </c>
      <c r="L15" s="7" t="str">
        <f t="shared" si="6"/>
        <v>6Estampilla para el bienestar del adulto mayor (80% Inversion)5998098000</v>
      </c>
      <c r="M15" t="s">
        <v>1906</v>
      </c>
      <c r="N15" s="136">
        <v>0.19</v>
      </c>
      <c r="O15" s="136"/>
      <c r="P15" s="20">
        <f t="shared" si="7"/>
        <v>7137736620</v>
      </c>
      <c r="Q15" s="136">
        <f>+N15</f>
        <v>0.19</v>
      </c>
      <c r="R15" s="136">
        <f>+Q15</f>
        <v>0.19</v>
      </c>
      <c r="S15" s="20">
        <f t="shared" si="8"/>
        <v>8493906577.8000002</v>
      </c>
      <c r="T15" s="136">
        <v>0.05</v>
      </c>
      <c r="U15" s="136">
        <f>+R15</f>
        <v>0.19</v>
      </c>
      <c r="V15" s="20">
        <f t="shared" si="9"/>
        <v>10107748827.582001</v>
      </c>
    </row>
    <row r="16" spans="1:22" hidden="1" x14ac:dyDescent="0.3">
      <c r="A16" s="5">
        <v>6</v>
      </c>
      <c r="B16" s="8" t="s">
        <v>459</v>
      </c>
      <c r="C16" s="11">
        <f>+SUMIFS('2021'!Z:Z,'2021'!D:D,CRUCE!A16,'2021'!AT:AT,CRUCE!B16)</f>
        <v>0</v>
      </c>
      <c r="D16" s="11">
        <f>+SUMIFS('2022'!Y:Y,'2022'!D:D,CRUCE!A16,'2022'!AS:AS,CRUCE!B16)</f>
        <v>0</v>
      </c>
      <c r="E16" s="136" t="e">
        <f t="shared" si="2"/>
        <v>#DIV/0!</v>
      </c>
      <c r="F16" s="11">
        <f>+SUMIFS('2023'!Y:Y,'2023'!D:D,CRUCE!A16,'2023'!AS:AS,CRUCE!B16)</f>
        <v>92056063.709999993</v>
      </c>
      <c r="G16" s="136" t="e">
        <f t="shared" si="0"/>
        <v>#DIV/0!</v>
      </c>
      <c r="H16" s="11">
        <f>+SUMIFS('2024'!J:J,'2024'!D:D,CRUCE!A16,'2024'!AT:AT,CRUCE!B16)</f>
        <v>0</v>
      </c>
      <c r="I16" s="7" t="str">
        <f t="shared" si="3"/>
        <v>6Reintegros0</v>
      </c>
      <c r="J16" s="7" t="str">
        <f t="shared" si="4"/>
        <v>6Reintegros0</v>
      </c>
      <c r="K16" s="7" t="str">
        <f t="shared" si="5"/>
        <v>6Reintegros92056063,71</v>
      </c>
      <c r="L16" s="7" t="str">
        <f t="shared" si="6"/>
        <v>6Reintegros0</v>
      </c>
      <c r="M16" t="s">
        <v>1906</v>
      </c>
      <c r="N16" s="136" t="e">
        <f t="shared" si="10"/>
        <v>#DIV/0!</v>
      </c>
      <c r="O16" s="136"/>
      <c r="P16" s="20" t="e">
        <f t="shared" si="7"/>
        <v>#DIV/0!</v>
      </c>
      <c r="Q16" s="136">
        <v>0.05</v>
      </c>
      <c r="R16" s="136">
        <v>0.05</v>
      </c>
      <c r="S16" s="20" t="e">
        <f t="shared" si="8"/>
        <v>#DIV/0!</v>
      </c>
      <c r="T16" s="136">
        <v>0.05</v>
      </c>
      <c r="U16" s="136">
        <v>0.05</v>
      </c>
      <c r="V16" s="20" t="e">
        <f t="shared" si="9"/>
        <v>#DIV/0!</v>
      </c>
    </row>
    <row r="17" spans="1:22" hidden="1" x14ac:dyDescent="0.3">
      <c r="A17" s="5">
        <v>7</v>
      </c>
      <c r="B17" s="8" t="s">
        <v>1322</v>
      </c>
      <c r="C17" s="11">
        <f>+SUMIFS('2021'!Z:Z,'2021'!D:D,CRUCE!A17,'2021'!AT:AT,CRUCE!B17)</f>
        <v>0</v>
      </c>
      <c r="D17" s="11">
        <f>+SUMIFS('2022'!Y:Y,'2022'!D:D,CRUCE!A17,'2022'!AS:AS,CRUCE!B17)</f>
        <v>0</v>
      </c>
      <c r="E17" s="136" t="e">
        <f t="shared" si="2"/>
        <v>#DIV/0!</v>
      </c>
      <c r="F17" s="11">
        <f>+SUMIFS('2023'!Y:Y,'2023'!D:D,CRUCE!A17,'2023'!AS:AS,CRUCE!B17)</f>
        <v>82977100</v>
      </c>
      <c r="G17" s="136" t="e">
        <f t="shared" si="0"/>
        <v>#DIV/0!</v>
      </c>
      <c r="H17" s="11">
        <f>+SUMIFS('2024'!J:J,'2024'!D:D,CRUCE!A17,'2024'!AT:AT,CRUCE!B17)</f>
        <v>0</v>
      </c>
      <c r="I17" s="7" t="str">
        <f t="shared" si="3"/>
        <v>7Estampilla pro Universidad del Quindío0</v>
      </c>
      <c r="J17" s="7" t="str">
        <f t="shared" si="4"/>
        <v>7Estampilla pro Universidad del Quindío0</v>
      </c>
      <c r="K17" s="7" t="str">
        <f t="shared" si="5"/>
        <v>7Estampilla pro Universidad del Quindío82977100</v>
      </c>
      <c r="L17" s="7" t="str">
        <f t="shared" si="6"/>
        <v>7Estampilla pro Universidad del Quindío0</v>
      </c>
      <c r="M17" t="s">
        <v>1906</v>
      </c>
      <c r="N17" s="136" t="e">
        <f t="shared" si="10"/>
        <v>#DIV/0!</v>
      </c>
      <c r="O17" s="136"/>
      <c r="P17" s="20" t="e">
        <f t="shared" si="7"/>
        <v>#DIV/0!</v>
      </c>
      <c r="Q17" s="136">
        <v>0.05</v>
      </c>
      <c r="R17" s="136">
        <v>0.05</v>
      </c>
      <c r="S17" s="20" t="e">
        <f t="shared" si="8"/>
        <v>#DIV/0!</v>
      </c>
      <c r="T17" s="136">
        <v>0.05</v>
      </c>
      <c r="U17" s="136">
        <v>0.05</v>
      </c>
      <c r="V17" s="20" t="e">
        <f t="shared" si="9"/>
        <v>#DIV/0!</v>
      </c>
    </row>
    <row r="18" spans="1:22" x14ac:dyDescent="0.3">
      <c r="A18" s="5">
        <v>8</v>
      </c>
      <c r="B18" s="8" t="s">
        <v>131</v>
      </c>
      <c r="C18" s="11">
        <f>+SUMIFS('2021'!Z:Z,'2021'!D:D,CRUCE!A18,'2021'!AT:AT,CRUCE!B18)</f>
        <v>10666478200</v>
      </c>
      <c r="D18" s="11">
        <f>+SUMIFS('2022'!Y:Y,'2022'!D:D,CRUCE!A18,'2022'!AS:AS,CRUCE!B18)</f>
        <v>0</v>
      </c>
      <c r="E18" s="136">
        <f t="shared" si="2"/>
        <v>-1</v>
      </c>
      <c r="F18" s="11">
        <f>+SUMIFS('2023'!Y:Y,'2023'!D:D,CRUCE!A18,'2023'!AS:AS,CRUCE!B18)</f>
        <v>18452887929.009998</v>
      </c>
      <c r="G18" s="136" t="e">
        <f t="shared" si="0"/>
        <v>#DIV/0!</v>
      </c>
      <c r="H18" s="11">
        <f>+SUMIFS('2024'!J:J,'2024'!D:D,CRUCE!A18,'2024'!AT:AT,CRUCE!B18)</f>
        <v>12506483000</v>
      </c>
      <c r="I18" s="7" t="str">
        <f t="shared" si="3"/>
        <v>8Estampilla pro Hospital Departamental Universitario del Quindío San Juan de Dios10666478200</v>
      </c>
      <c r="J18" s="7" t="str">
        <f t="shared" si="4"/>
        <v>8Estampilla pro Hospital Departamental Universitario del Quindío San Juan de Dios0</v>
      </c>
      <c r="K18" s="7" t="str">
        <f t="shared" si="5"/>
        <v>8Estampilla pro Hospital Departamental Universitario del Quindío San Juan de Dios18452887929,01</v>
      </c>
      <c r="L18" s="7" t="str">
        <f t="shared" si="6"/>
        <v>8Estampilla pro Hospital Departamental Universitario del Quindío San Juan de Dios12506483000</v>
      </c>
      <c r="M18" t="s">
        <v>1906</v>
      </c>
      <c r="N18" s="136">
        <v>0.19</v>
      </c>
      <c r="O18" s="136"/>
      <c r="P18" s="20">
        <f t="shared" si="7"/>
        <v>14882714770</v>
      </c>
      <c r="Q18" s="136">
        <f>+N18</f>
        <v>0.19</v>
      </c>
      <c r="R18" s="136">
        <f>+Q18</f>
        <v>0.19</v>
      </c>
      <c r="S18" s="20">
        <f t="shared" si="8"/>
        <v>17710430576.299999</v>
      </c>
      <c r="T18" s="136">
        <v>0.05</v>
      </c>
      <c r="U18" s="136">
        <f>+R18</f>
        <v>0.19</v>
      </c>
      <c r="V18" s="20">
        <f t="shared" si="9"/>
        <v>21075412385.796997</v>
      </c>
    </row>
    <row r="19" spans="1:22" hidden="1" x14ac:dyDescent="0.3">
      <c r="A19" s="5">
        <v>9</v>
      </c>
      <c r="B19" s="8" t="s">
        <v>459</v>
      </c>
      <c r="C19" s="11">
        <f>+SUMIFS('2021'!Z:Z,'2021'!D:D,CRUCE!A19,'2021'!AT:AT,CRUCE!B19)</f>
        <v>80000000</v>
      </c>
      <c r="D19" s="11">
        <f>+SUMIFS('2022'!Y:Y,'2022'!D:D,CRUCE!A19,'2022'!AS:AS,CRUCE!B19)</f>
        <v>0</v>
      </c>
      <c r="E19" s="136">
        <f t="shared" si="2"/>
        <v>-1</v>
      </c>
      <c r="F19" s="11">
        <f>+SUMIFS('2023'!Y:Y,'2023'!D:D,CRUCE!A19,'2023'!AS:AS,CRUCE!B19)</f>
        <v>0</v>
      </c>
      <c r="G19" s="136" t="e">
        <f t="shared" si="0"/>
        <v>#DIV/0!</v>
      </c>
      <c r="H19" s="11">
        <f>+SUMIFS('2024'!J:J,'2024'!D:D,CRUCE!A19,'2024'!AT:AT,CRUCE!B19)</f>
        <v>0</v>
      </c>
      <c r="I19" s="7" t="str">
        <f t="shared" si="3"/>
        <v>9Reintegros80000000</v>
      </c>
      <c r="J19" s="7" t="str">
        <f t="shared" si="4"/>
        <v>9Reintegros0</v>
      </c>
      <c r="K19" s="7" t="str">
        <f t="shared" si="5"/>
        <v>9Reintegros0</v>
      </c>
      <c r="L19" s="7" t="str">
        <f t="shared" si="6"/>
        <v>9Reintegros0</v>
      </c>
      <c r="M19" t="s">
        <v>1906</v>
      </c>
      <c r="N19" s="136" t="e">
        <f t="shared" si="10"/>
        <v>#DIV/0!</v>
      </c>
      <c r="O19" s="136"/>
      <c r="P19" s="20" t="e">
        <f t="shared" si="7"/>
        <v>#DIV/0!</v>
      </c>
      <c r="Q19" s="136">
        <v>0.05</v>
      </c>
      <c r="R19" s="136">
        <v>0.05</v>
      </c>
      <c r="S19" s="20" t="e">
        <f t="shared" si="8"/>
        <v>#DIV/0!</v>
      </c>
      <c r="T19" s="136">
        <v>0.05</v>
      </c>
      <c r="U19" s="136">
        <v>0.05</v>
      </c>
      <c r="V19" s="20" t="e">
        <f t="shared" si="9"/>
        <v>#DIV/0!</v>
      </c>
    </row>
    <row r="20" spans="1:22" hidden="1" x14ac:dyDescent="0.3">
      <c r="A20" s="5">
        <v>9</v>
      </c>
      <c r="B20" s="8" t="s">
        <v>624</v>
      </c>
      <c r="C20" s="11">
        <f>+SUMIFS('2021'!Z:Z,'2021'!D:D,CRUCE!A20,'2021'!AT:AT,CRUCE!B20)</f>
        <v>207017358.94</v>
      </c>
      <c r="D20" s="11">
        <f>+SUMIFS('2022'!Y:Y,'2022'!D:D,CRUCE!A20,'2022'!AS:AS,CRUCE!B20)</f>
        <v>1632453843.9400001</v>
      </c>
      <c r="E20" s="136">
        <f t="shared" si="2"/>
        <v>6.8855891713560862</v>
      </c>
      <c r="F20" s="11">
        <f>+SUMIFS('2023'!Y:Y,'2023'!D:D,CRUCE!A20,'2023'!AS:AS,CRUCE!B20)</f>
        <v>116366216.68000001</v>
      </c>
      <c r="G20" s="136">
        <f t="shared" si="0"/>
        <v>-0.92871699428931787</v>
      </c>
      <c r="H20" s="11">
        <f>+SUMIFS('2024'!J:J,'2024'!D:D,CRUCE!A20,'2024'!AT:AT,CRUCE!B20)</f>
        <v>0</v>
      </c>
      <c r="I20" s="7" t="str">
        <f t="shared" si="3"/>
        <v>9Superávit S.G.P. Educación207017358,94</v>
      </c>
      <c r="J20" s="7" t="str">
        <f t="shared" si="4"/>
        <v>9Superávit S.G.P. Educación1632453843,94</v>
      </c>
      <c r="K20" s="7" t="str">
        <f t="shared" si="5"/>
        <v>9Superávit S.G.P. Educación116366216,68</v>
      </c>
      <c r="L20" s="7" t="str">
        <f t="shared" si="6"/>
        <v>9Superávit S.G.P. Educación0</v>
      </c>
      <c r="M20" t="s">
        <v>1906</v>
      </c>
      <c r="N20" s="136">
        <f t="shared" si="10"/>
        <v>2.978436088533384</v>
      </c>
      <c r="O20" s="136"/>
      <c r="P20" s="20">
        <f t="shared" si="7"/>
        <v>0</v>
      </c>
      <c r="Q20" s="136">
        <v>0.05</v>
      </c>
      <c r="R20" s="136">
        <v>0.05</v>
      </c>
      <c r="S20" s="20">
        <f t="shared" si="8"/>
        <v>0</v>
      </c>
      <c r="T20" s="136">
        <v>0.05</v>
      </c>
      <c r="U20" s="136">
        <v>0.05</v>
      </c>
      <c r="V20" s="20">
        <f t="shared" si="9"/>
        <v>0</v>
      </c>
    </row>
    <row r="21" spans="1:22" x14ac:dyDescent="0.3">
      <c r="A21" s="5">
        <v>13</v>
      </c>
      <c r="B21" s="8" t="s">
        <v>1028</v>
      </c>
      <c r="C21" s="11">
        <f>+SUMIFS('2021'!Z:Z,'2021'!D:D,CRUCE!A21,'2021'!AT:AT,CRUCE!B21)</f>
        <v>58990957.659999996</v>
      </c>
      <c r="D21" s="11">
        <f>+SUMIFS('2022'!Y:Y,'2022'!D:D,CRUCE!A21,'2022'!AS:AS,CRUCE!B21)</f>
        <v>70778674.959999993</v>
      </c>
      <c r="E21" s="136">
        <f t="shared" si="2"/>
        <v>0.1998224434317481</v>
      </c>
      <c r="F21" s="11">
        <f>+SUMIFS('2023'!Y:Y,'2023'!D:D,CRUCE!A21,'2023'!AS:AS,CRUCE!B21)</f>
        <v>73513268.079999998</v>
      </c>
      <c r="G21" s="136">
        <f t="shared" si="0"/>
        <v>3.8635833766956479E-2</v>
      </c>
      <c r="H21" s="11">
        <f>+SUMIFS('2024'!J:J,'2024'!D:D,CRUCE!A21,'2024'!AT:AT,CRUCE!B21)</f>
        <v>327666907</v>
      </c>
      <c r="I21" s="7" t="str">
        <f t="shared" si="3"/>
        <v>13Impuesto de Registro - Cámaras de Comercio (10% Cuotas Partes Pensionales)58990957,66</v>
      </c>
      <c r="J21" s="7" t="str">
        <f t="shared" si="4"/>
        <v>13Impuesto de Registro - Cámaras de Comercio (10% Cuotas Partes Pensionales)70778674,96</v>
      </c>
      <c r="K21" s="7" t="str">
        <f t="shared" si="5"/>
        <v>13Impuesto de Registro - Cámaras de Comercio (10% Cuotas Partes Pensionales)73513268,08</v>
      </c>
      <c r="L21" s="7" t="str">
        <f t="shared" si="6"/>
        <v>13Impuesto de Registro - Cámaras de Comercio (10% Cuotas Partes Pensionales)327666907</v>
      </c>
      <c r="M21" t="s">
        <v>1906</v>
      </c>
      <c r="N21" s="136">
        <v>0.08</v>
      </c>
      <c r="O21" s="136"/>
      <c r="P21" s="20">
        <f t="shared" si="7"/>
        <v>353880259.56</v>
      </c>
      <c r="Q21" s="136">
        <f t="shared" ref="Q21:Q22" si="14">+N21</f>
        <v>0.08</v>
      </c>
      <c r="R21" s="136">
        <f t="shared" ref="R21:R22" si="15">+Q21</f>
        <v>0.08</v>
      </c>
      <c r="S21" s="20">
        <f t="shared" si="8"/>
        <v>382190680.32480001</v>
      </c>
      <c r="T21" s="136">
        <v>0.05</v>
      </c>
      <c r="U21" s="136">
        <f t="shared" ref="U21:U22" si="16">+R21</f>
        <v>0.08</v>
      </c>
      <c r="V21" s="20">
        <f t="shared" si="9"/>
        <v>412765934.75078404</v>
      </c>
    </row>
    <row r="22" spans="1:22" x14ac:dyDescent="0.3">
      <c r="A22" s="5">
        <v>13</v>
      </c>
      <c r="B22" s="8" t="s">
        <v>1039</v>
      </c>
      <c r="C22" s="11">
        <f>+SUMIFS('2021'!Z:Z,'2021'!D:D,CRUCE!A22,'2021'!AT:AT,CRUCE!B22)</f>
        <v>2005071011.5</v>
      </c>
      <c r="D22" s="11">
        <f>+SUMIFS('2022'!Y:Y,'2022'!D:D,CRUCE!A22,'2022'!AS:AS,CRUCE!B22)</f>
        <v>2250111200.5999999</v>
      </c>
      <c r="E22" s="136">
        <f t="shared" si="2"/>
        <v>0.12221022980960887</v>
      </c>
      <c r="F22" s="11">
        <f>+SUMIFS('2023'!Y:Y,'2023'!D:D,CRUCE!A22,'2023'!AS:AS,CRUCE!B22)</f>
        <v>2340611893.5799999</v>
      </c>
      <c r="G22" s="136">
        <f t="shared" si="0"/>
        <v>4.0220542414022779E-2</v>
      </c>
      <c r="H22" s="11">
        <f>+SUMIFS('2024'!J:J,'2024'!D:D,CRUCE!A22,'2024'!AT:AT,CRUCE!B22)</f>
        <v>2549802093</v>
      </c>
      <c r="I22" s="7" t="str">
        <f t="shared" si="3"/>
        <v>13Impuesto de Registro - Oficinas de Instrumentos Públicos (10% Cuotas Partes Pensionales)2005071011,5</v>
      </c>
      <c r="J22" s="7" t="str">
        <f t="shared" si="4"/>
        <v>13Impuesto de Registro - Oficinas de Instrumentos Públicos (10% Cuotas Partes Pensionales)2250111200,6</v>
      </c>
      <c r="K22" s="7" t="str">
        <f t="shared" si="5"/>
        <v>13Impuesto de Registro - Oficinas de Instrumentos Públicos (10% Cuotas Partes Pensionales)2340611893,58</v>
      </c>
      <c r="L22" s="7" t="str">
        <f t="shared" si="6"/>
        <v>13Impuesto de Registro - Oficinas de Instrumentos Públicos (10% Cuotas Partes Pensionales)2549802093</v>
      </c>
      <c r="M22" t="s">
        <v>1906</v>
      </c>
      <c r="N22" s="136">
        <v>0.08</v>
      </c>
      <c r="O22" s="136"/>
      <c r="P22" s="20">
        <f t="shared" si="7"/>
        <v>2753786260.4400001</v>
      </c>
      <c r="Q22" s="136">
        <f t="shared" si="14"/>
        <v>0.08</v>
      </c>
      <c r="R22" s="136">
        <f t="shared" si="15"/>
        <v>0.08</v>
      </c>
      <c r="S22" s="20">
        <f t="shared" si="8"/>
        <v>2974089161.2751999</v>
      </c>
      <c r="T22" s="136">
        <v>0.05</v>
      </c>
      <c r="U22" s="136">
        <f t="shared" si="16"/>
        <v>0.08</v>
      </c>
      <c r="V22" s="20">
        <f t="shared" si="9"/>
        <v>3212016294.1772161</v>
      </c>
    </row>
    <row r="23" spans="1:22" hidden="1" x14ac:dyDescent="0.3">
      <c r="A23" s="5">
        <v>13</v>
      </c>
      <c r="B23" s="8" t="s">
        <v>459</v>
      </c>
      <c r="C23" s="11">
        <f>+SUMIFS('2021'!Z:Z,'2021'!D:D,CRUCE!A23,'2021'!AT:AT,CRUCE!B23)</f>
        <v>1668507</v>
      </c>
      <c r="D23" s="11">
        <f>+SUMIFS('2022'!Y:Y,'2022'!D:D,CRUCE!A23,'2022'!AS:AS,CRUCE!B23)</f>
        <v>0</v>
      </c>
      <c r="E23" s="136">
        <f t="shared" si="2"/>
        <v>-1</v>
      </c>
      <c r="F23" s="11">
        <f>+SUMIFS('2023'!Y:Y,'2023'!D:D,CRUCE!A23,'2023'!AS:AS,CRUCE!B23)</f>
        <v>0</v>
      </c>
      <c r="G23" s="136" t="e">
        <f t="shared" si="0"/>
        <v>#DIV/0!</v>
      </c>
      <c r="H23" s="11">
        <f>+SUMIFS('2024'!J:J,'2024'!D:D,CRUCE!A23,'2024'!AT:AT,CRUCE!B23)</f>
        <v>0</v>
      </c>
      <c r="I23" s="7" t="str">
        <f t="shared" si="3"/>
        <v>13Reintegros1668507</v>
      </c>
      <c r="J23" s="7" t="str">
        <f t="shared" si="4"/>
        <v>13Reintegros0</v>
      </c>
      <c r="K23" s="7" t="str">
        <f t="shared" si="5"/>
        <v>13Reintegros0</v>
      </c>
      <c r="L23" s="7" t="str">
        <f t="shared" si="6"/>
        <v>13Reintegros0</v>
      </c>
      <c r="M23" t="s">
        <v>1906</v>
      </c>
      <c r="N23" s="136" t="e">
        <f t="shared" si="10"/>
        <v>#DIV/0!</v>
      </c>
      <c r="O23" s="136"/>
      <c r="P23" s="20" t="e">
        <f t="shared" si="7"/>
        <v>#DIV/0!</v>
      </c>
      <c r="Q23" s="136">
        <v>0.05</v>
      </c>
      <c r="R23" s="136">
        <v>0.05</v>
      </c>
      <c r="S23" s="20" t="e">
        <f t="shared" si="8"/>
        <v>#DIV/0!</v>
      </c>
      <c r="T23" s="136">
        <v>0.05</v>
      </c>
      <c r="U23" s="136">
        <v>0.05</v>
      </c>
      <c r="V23" s="20" t="e">
        <f t="shared" si="9"/>
        <v>#DIV/0!</v>
      </c>
    </row>
    <row r="24" spans="1:22" hidden="1" x14ac:dyDescent="0.3">
      <c r="A24" s="5">
        <v>18</v>
      </c>
      <c r="B24" s="8" t="s">
        <v>151</v>
      </c>
      <c r="C24" s="11">
        <f>+SUMIFS('2021'!Z:Z,'2021'!D:D,CRUCE!A24,'2021'!AT:AT,CRUCE!B24)</f>
        <v>47361.47</v>
      </c>
      <c r="D24" s="11">
        <f>+SUMIFS('2022'!Y:Y,'2022'!D:D,CRUCE!A24,'2022'!AS:AS,CRUCE!B24)</f>
        <v>0</v>
      </c>
      <c r="E24" s="136">
        <f t="shared" si="2"/>
        <v>-1</v>
      </c>
      <c r="F24" s="11">
        <f>+SUMIFS('2023'!Y:Y,'2023'!D:D,CRUCE!A24,'2023'!AS:AS,CRUCE!B24)</f>
        <v>0</v>
      </c>
      <c r="G24" s="136" t="e">
        <f t="shared" si="0"/>
        <v>#DIV/0!</v>
      </c>
      <c r="H24" s="11">
        <f>+SUMIFS('2024'!J:J,'2024'!D:D,CRUCE!A24,'2024'!AT:AT,CRUCE!B24)</f>
        <v>0</v>
      </c>
      <c r="I24" s="7" t="str">
        <f t="shared" si="3"/>
        <v>18Cuota de fiscalización y auditaje47361,47</v>
      </c>
      <c r="J24" s="7" t="str">
        <f t="shared" si="4"/>
        <v>18Cuota de fiscalización y auditaje0</v>
      </c>
      <c r="K24" s="7" t="str">
        <f t="shared" si="5"/>
        <v>18Cuota de fiscalización y auditaje0</v>
      </c>
      <c r="L24" s="7" t="str">
        <f t="shared" si="6"/>
        <v>18Cuota de fiscalización y auditaje0</v>
      </c>
      <c r="M24" t="s">
        <v>1906</v>
      </c>
      <c r="N24" s="136" t="e">
        <f t="shared" si="10"/>
        <v>#DIV/0!</v>
      </c>
      <c r="O24" s="136"/>
      <c r="P24" s="20" t="e">
        <f t="shared" si="7"/>
        <v>#DIV/0!</v>
      </c>
      <c r="Q24" s="136">
        <v>0.05</v>
      </c>
      <c r="R24" s="136">
        <v>0.05</v>
      </c>
      <c r="S24" s="20" t="e">
        <f t="shared" si="8"/>
        <v>#DIV/0!</v>
      </c>
      <c r="T24" s="136">
        <v>0.05</v>
      </c>
      <c r="U24" s="136">
        <v>0.05</v>
      </c>
      <c r="V24" s="20" t="e">
        <f t="shared" si="9"/>
        <v>#DIV/0!</v>
      </c>
    </row>
    <row r="25" spans="1:22" x14ac:dyDescent="0.3">
      <c r="A25" s="5">
        <v>18</v>
      </c>
      <c r="B25" s="8" t="s">
        <v>164</v>
      </c>
      <c r="C25" s="11">
        <f>+SUMIFS('2021'!Z:Z,'2021'!D:D,CRUCE!A25,'2021'!AT:AT,CRUCE!B25)</f>
        <v>25815251</v>
      </c>
      <c r="D25" s="11">
        <f>+SUMIFS('2022'!Y:Y,'2022'!D:D,CRUCE!A25,'2022'!AS:AS,CRUCE!B25)</f>
        <v>23353968</v>
      </c>
      <c r="E25" s="136">
        <f t="shared" si="2"/>
        <v>-9.5342206821851155E-2</v>
      </c>
      <c r="F25" s="11">
        <f>+SUMIFS('2023'!Y:Y,'2023'!D:D,CRUCE!A25,'2023'!AS:AS,CRUCE!B25)</f>
        <v>9049805.9000000004</v>
      </c>
      <c r="G25" s="136">
        <f t="shared" si="0"/>
        <v>-0.61249386399775829</v>
      </c>
      <c r="H25" s="11">
        <f>+SUMIFS('2024'!J:J,'2024'!D:D,CRUCE!A25,'2024'!AT:AT,CRUCE!B25)</f>
        <v>9565289</v>
      </c>
      <c r="I25" s="7" t="str">
        <f t="shared" si="3"/>
        <v>18E.S.E. Hospital La Misericordia - Calarcá25815251</v>
      </c>
      <c r="J25" s="7" t="str">
        <f t="shared" si="4"/>
        <v>18E.S.E. Hospital La Misericordia - Calarcá23353968</v>
      </c>
      <c r="K25" s="7" t="str">
        <f t="shared" si="5"/>
        <v>18E.S.E. Hospital La Misericordia - Calarcá9049805,9</v>
      </c>
      <c r="L25" s="7" t="str">
        <f t="shared" si="6"/>
        <v>18E.S.E. Hospital La Misericordia - Calarcá9565289</v>
      </c>
      <c r="M25" t="s">
        <v>1906</v>
      </c>
      <c r="N25" s="136">
        <v>0.05</v>
      </c>
      <c r="O25" s="136"/>
      <c r="P25" s="20">
        <f t="shared" si="7"/>
        <v>10043553.449999999</v>
      </c>
      <c r="Q25" s="136">
        <f t="shared" ref="Q25:Q32" si="17">+N25</f>
        <v>0.05</v>
      </c>
      <c r="R25" s="136">
        <f t="shared" ref="R25:R32" si="18">+Q25</f>
        <v>0.05</v>
      </c>
      <c r="S25" s="20">
        <f t="shared" si="8"/>
        <v>10545731.122499999</v>
      </c>
      <c r="T25" s="136">
        <v>0.05</v>
      </c>
      <c r="U25" s="136">
        <f t="shared" ref="U25:U32" si="19">+R25</f>
        <v>0.05</v>
      </c>
      <c r="V25" s="20">
        <f t="shared" si="9"/>
        <v>11073017.678624999</v>
      </c>
    </row>
    <row r="26" spans="1:22" x14ac:dyDescent="0.3">
      <c r="A26" s="5">
        <v>18</v>
      </c>
      <c r="B26" s="8" t="s">
        <v>166</v>
      </c>
      <c r="C26" s="11">
        <f>+SUMIFS('2021'!Z:Z,'2021'!D:D,CRUCE!A26,'2021'!AT:AT,CRUCE!B26)</f>
        <v>19467313</v>
      </c>
      <c r="D26" s="11">
        <f>+SUMIFS('2022'!Y:Y,'2022'!D:D,CRUCE!A26,'2022'!AS:AS,CRUCE!B26)</f>
        <v>15875711</v>
      </c>
      <c r="E26" s="136">
        <f t="shared" si="2"/>
        <v>-0.18449397716058707</v>
      </c>
      <c r="F26" s="11">
        <f>+SUMIFS('2023'!Y:Y,'2023'!D:D,CRUCE!A26,'2023'!AS:AS,CRUCE!B26)</f>
        <v>21768459</v>
      </c>
      <c r="G26" s="136">
        <f t="shared" si="0"/>
        <v>0.37118010021724379</v>
      </c>
      <c r="H26" s="11">
        <f>+SUMIFS('2024'!J:J,'2024'!D:D,CRUCE!A26,'2024'!AT:AT,CRUCE!B26)</f>
        <v>17537611</v>
      </c>
      <c r="I26" s="7" t="str">
        <f t="shared" si="3"/>
        <v>18E.S.E. Hospital Mental - Filandia19467313</v>
      </c>
      <c r="J26" s="7" t="str">
        <f t="shared" si="4"/>
        <v>18E.S.E. Hospital Mental - Filandia15875711</v>
      </c>
      <c r="K26" s="7" t="str">
        <f t="shared" si="5"/>
        <v>18E.S.E. Hospital Mental - Filandia21768459</v>
      </c>
      <c r="L26" s="7" t="str">
        <f t="shared" si="6"/>
        <v>18E.S.E. Hospital Mental - Filandia17537611</v>
      </c>
      <c r="M26" t="s">
        <v>1906</v>
      </c>
      <c r="N26" s="136">
        <v>0.05</v>
      </c>
      <c r="O26" s="136"/>
      <c r="P26" s="20">
        <f t="shared" si="7"/>
        <v>18414491.550000001</v>
      </c>
      <c r="Q26" s="136">
        <f t="shared" si="17"/>
        <v>0.05</v>
      </c>
      <c r="R26" s="136">
        <f t="shared" si="18"/>
        <v>0.05</v>
      </c>
      <c r="S26" s="20">
        <f t="shared" si="8"/>
        <v>19335216.127500001</v>
      </c>
      <c r="T26" s="136">
        <v>0.05</v>
      </c>
      <c r="U26" s="136">
        <f t="shared" si="19"/>
        <v>0.05</v>
      </c>
      <c r="V26" s="20">
        <f t="shared" si="9"/>
        <v>20301976.933875002</v>
      </c>
    </row>
    <row r="27" spans="1:22" x14ac:dyDescent="0.3">
      <c r="A27" s="5">
        <v>18</v>
      </c>
      <c r="B27" s="8" t="s">
        <v>162</v>
      </c>
      <c r="C27" s="11">
        <f>+SUMIFS('2021'!Z:Z,'2021'!D:D,CRUCE!A27,'2021'!AT:AT,CRUCE!B27)</f>
        <v>155952492</v>
      </c>
      <c r="D27" s="11">
        <f>+SUMIFS('2022'!Y:Y,'2022'!D:D,CRUCE!A27,'2022'!AS:AS,CRUCE!B27)</f>
        <v>175503039</v>
      </c>
      <c r="E27" s="136">
        <f t="shared" si="2"/>
        <v>0.12536219684133038</v>
      </c>
      <c r="F27" s="11">
        <f>+SUMIFS('2023'!Y:Y,'2023'!D:D,CRUCE!A27,'2023'!AS:AS,CRUCE!B27)</f>
        <v>194005500</v>
      </c>
      <c r="G27" s="136">
        <f t="shared" si="0"/>
        <v>0.10542530263535778</v>
      </c>
      <c r="H27" s="11">
        <f>+SUMIFS('2024'!J:J,'2024'!D:D,CRUCE!A27,'2024'!AT:AT,CRUCE!B27)</f>
        <v>183024451</v>
      </c>
      <c r="I27" s="7" t="str">
        <f t="shared" si="3"/>
        <v>18E.S.E. Hospital San Juan de Dios - Armenia155952492</v>
      </c>
      <c r="J27" s="7" t="str">
        <f t="shared" si="4"/>
        <v>18E.S.E. Hospital San Juan de Dios - Armenia175503039</v>
      </c>
      <c r="K27" s="7" t="str">
        <f t="shared" si="5"/>
        <v>18E.S.E. Hospital San Juan de Dios - Armenia194005500</v>
      </c>
      <c r="L27" s="7" t="str">
        <f t="shared" si="6"/>
        <v>18E.S.E. Hospital San Juan de Dios - Armenia183024451</v>
      </c>
      <c r="M27" t="s">
        <v>1906</v>
      </c>
      <c r="N27" s="136">
        <v>0.05</v>
      </c>
      <c r="O27" s="136"/>
      <c r="P27" s="20">
        <f t="shared" si="7"/>
        <v>192175673.55000001</v>
      </c>
      <c r="Q27" s="136">
        <f t="shared" si="17"/>
        <v>0.05</v>
      </c>
      <c r="R27" s="136">
        <f t="shared" si="18"/>
        <v>0.05</v>
      </c>
      <c r="S27" s="20">
        <f t="shared" si="8"/>
        <v>201784457.22750002</v>
      </c>
      <c r="T27" s="136">
        <v>0.05</v>
      </c>
      <c r="U27" s="136">
        <f t="shared" si="19"/>
        <v>0.05</v>
      </c>
      <c r="V27" s="20">
        <f t="shared" si="9"/>
        <v>211873680.08887503</v>
      </c>
    </row>
    <row r="28" spans="1:22" x14ac:dyDescent="0.3">
      <c r="A28" s="5">
        <v>18</v>
      </c>
      <c r="B28" s="8" t="s">
        <v>157</v>
      </c>
      <c r="C28" s="11">
        <f>+SUMIFS('2021'!Z:Z,'2021'!D:D,CRUCE!A28,'2021'!AT:AT,CRUCE!B28)</f>
        <v>41853216</v>
      </c>
      <c r="D28" s="11">
        <f>+SUMIFS('2022'!Y:Y,'2022'!D:D,CRUCE!A28,'2022'!AS:AS,CRUCE!B28)</f>
        <v>38261185</v>
      </c>
      <c r="E28" s="136">
        <f t="shared" si="2"/>
        <v>-8.5824491957798413E-2</v>
      </c>
      <c r="F28" s="11">
        <f>+SUMIFS('2023'!Y:Y,'2023'!D:D,CRUCE!A28,'2023'!AS:AS,CRUCE!B28)</f>
        <v>46725184</v>
      </c>
      <c r="G28" s="136">
        <f t="shared" si="0"/>
        <v>0.22121633190399095</v>
      </c>
      <c r="H28" s="11">
        <f>+SUMIFS('2024'!J:J,'2024'!D:D,CRUCE!A28,'2024'!AT:AT,CRUCE!B28)</f>
        <v>56593747</v>
      </c>
      <c r="I28" s="7" t="str">
        <f t="shared" si="3"/>
        <v>18E.S.P. Empresa Sanitaria del Quindío S.A.41853216</v>
      </c>
      <c r="J28" s="7" t="str">
        <f t="shared" si="4"/>
        <v>18E.S.P. Empresa Sanitaria del Quindío S.A.38261185</v>
      </c>
      <c r="K28" s="7" t="str">
        <f t="shared" si="5"/>
        <v>18E.S.P. Empresa Sanitaria del Quindío S.A.46725184</v>
      </c>
      <c r="L28" s="7" t="str">
        <f t="shared" si="6"/>
        <v>18E.S.P. Empresa Sanitaria del Quindío S.A.56593747</v>
      </c>
      <c r="M28" t="s">
        <v>1906</v>
      </c>
      <c r="N28" s="136">
        <v>0.05</v>
      </c>
      <c r="O28" s="136"/>
      <c r="P28" s="20">
        <f t="shared" si="7"/>
        <v>59423434.350000001</v>
      </c>
      <c r="Q28" s="136">
        <f t="shared" si="17"/>
        <v>0.05</v>
      </c>
      <c r="R28" s="136">
        <f t="shared" si="18"/>
        <v>0.05</v>
      </c>
      <c r="S28" s="20">
        <f t="shared" si="8"/>
        <v>62394606.067500003</v>
      </c>
      <c r="T28" s="136">
        <v>0.05</v>
      </c>
      <c r="U28" s="136">
        <f t="shared" si="19"/>
        <v>0.05</v>
      </c>
      <c r="V28" s="20">
        <f t="shared" si="9"/>
        <v>65514336.370875001</v>
      </c>
    </row>
    <row r="29" spans="1:22" x14ac:dyDescent="0.3">
      <c r="A29" s="5">
        <v>18</v>
      </c>
      <c r="B29" s="8" t="s">
        <v>168</v>
      </c>
      <c r="C29" s="11">
        <f>+SUMIFS('2021'!Z:Z,'2021'!D:D,CRUCE!A29,'2021'!AT:AT,CRUCE!B29)</f>
        <v>5009624</v>
      </c>
      <c r="D29" s="11">
        <f>+SUMIFS('2022'!Y:Y,'2022'!D:D,CRUCE!A29,'2022'!AS:AS,CRUCE!B29)</f>
        <v>5506207</v>
      </c>
      <c r="E29" s="136">
        <f t="shared" si="2"/>
        <v>9.9125802655049555E-2</v>
      </c>
      <c r="F29" s="11">
        <f>+SUMIFS('2023'!Y:Y,'2023'!D:D,CRUCE!A29,'2023'!AS:AS,CRUCE!B29)</f>
        <v>3601674.18</v>
      </c>
      <c r="G29" s="136">
        <f t="shared" si="0"/>
        <v>-0.34588834382724803</v>
      </c>
      <c r="H29" s="11">
        <f>+SUMIFS('2024'!J:J,'2024'!D:D,CRUCE!A29,'2024'!AT:AT,CRUCE!B29)</f>
        <v>3779183</v>
      </c>
      <c r="I29" s="7" t="str">
        <f t="shared" si="3"/>
        <v>18Instituto Departamental de Deporte y Recreación del Quindío5009624</v>
      </c>
      <c r="J29" s="7" t="str">
        <f t="shared" si="4"/>
        <v>18Instituto Departamental de Deporte y Recreación del Quindío5506207</v>
      </c>
      <c r="K29" s="7" t="str">
        <f t="shared" si="5"/>
        <v>18Instituto Departamental de Deporte y Recreación del Quindío3601674,18</v>
      </c>
      <c r="L29" s="7" t="str">
        <f t="shared" si="6"/>
        <v>18Instituto Departamental de Deporte y Recreación del Quindío3779183</v>
      </c>
      <c r="M29" t="s">
        <v>1906</v>
      </c>
      <c r="N29" s="136">
        <v>0.05</v>
      </c>
      <c r="O29" s="136"/>
      <c r="P29" s="20">
        <f t="shared" si="7"/>
        <v>3968142.15</v>
      </c>
      <c r="Q29" s="136">
        <f t="shared" si="17"/>
        <v>0.05</v>
      </c>
      <c r="R29" s="136">
        <f t="shared" si="18"/>
        <v>0.05</v>
      </c>
      <c r="S29" s="20">
        <f t="shared" si="8"/>
        <v>4166549.2574999998</v>
      </c>
      <c r="T29" s="136">
        <v>0.05</v>
      </c>
      <c r="U29" s="136">
        <f t="shared" si="19"/>
        <v>0.05</v>
      </c>
      <c r="V29" s="20">
        <f t="shared" si="9"/>
        <v>4374876.7203749996</v>
      </c>
    </row>
    <row r="30" spans="1:22" x14ac:dyDescent="0.3">
      <c r="A30" s="5">
        <v>18</v>
      </c>
      <c r="B30" s="8" t="s">
        <v>170</v>
      </c>
      <c r="C30" s="11">
        <f>+SUMIFS('2021'!Z:Z,'2021'!D:D,CRUCE!A30,'2021'!AT:AT,CRUCE!B30)</f>
        <v>5450081</v>
      </c>
      <c r="D30" s="11">
        <f>+SUMIFS('2022'!Y:Y,'2022'!D:D,CRUCE!A30,'2022'!AS:AS,CRUCE!B30)</f>
        <v>5017380</v>
      </c>
      <c r="E30" s="136">
        <f t="shared" si="2"/>
        <v>-7.9393498922309597E-2</v>
      </c>
      <c r="F30" s="11">
        <f>+SUMIFS('2023'!Y:Y,'2023'!D:D,CRUCE!A30,'2023'!AS:AS,CRUCE!B30)</f>
        <v>8062591</v>
      </c>
      <c r="G30" s="136">
        <f t="shared" si="0"/>
        <v>0.60693250262088982</v>
      </c>
      <c r="H30" s="11">
        <f>+SUMIFS('2024'!J:J,'2024'!D:D,CRUCE!A30,'2024'!AT:AT,CRUCE!B30)</f>
        <v>9067195</v>
      </c>
      <c r="I30" s="7" t="str">
        <f t="shared" si="3"/>
        <v>18Instituto Departamental de Tránsito del Quindío5450081</v>
      </c>
      <c r="J30" s="7" t="str">
        <f t="shared" si="4"/>
        <v>18Instituto Departamental de Tránsito del Quindío5017380</v>
      </c>
      <c r="K30" s="7" t="str">
        <f t="shared" si="5"/>
        <v>18Instituto Departamental de Tránsito del Quindío8062591</v>
      </c>
      <c r="L30" s="7" t="str">
        <f t="shared" si="6"/>
        <v>18Instituto Departamental de Tránsito del Quindío9067195</v>
      </c>
      <c r="M30" t="s">
        <v>1906</v>
      </c>
      <c r="N30" s="136">
        <v>0.05</v>
      </c>
      <c r="O30" s="136"/>
      <c r="P30" s="20">
        <f t="shared" si="7"/>
        <v>9520554.75</v>
      </c>
      <c r="Q30" s="136">
        <f t="shared" si="17"/>
        <v>0.05</v>
      </c>
      <c r="R30" s="136">
        <f t="shared" si="18"/>
        <v>0.05</v>
      </c>
      <c r="S30" s="20">
        <f t="shared" si="8"/>
        <v>9996582.4875000007</v>
      </c>
      <c r="T30" s="136">
        <v>0.05</v>
      </c>
      <c r="U30" s="136">
        <f t="shared" si="19"/>
        <v>0.05</v>
      </c>
      <c r="V30" s="20">
        <f t="shared" si="9"/>
        <v>10496411.611875001</v>
      </c>
    </row>
    <row r="31" spans="1:22" x14ac:dyDescent="0.3">
      <c r="A31" s="5">
        <v>18</v>
      </c>
      <c r="B31" s="8" t="s">
        <v>160</v>
      </c>
      <c r="C31" s="11">
        <f>+SUMIFS('2021'!Z:Z,'2021'!D:D,CRUCE!A31,'2021'!AT:AT,CRUCE!B31)</f>
        <v>30899616</v>
      </c>
      <c r="D31" s="11">
        <f>+SUMIFS('2022'!Y:Y,'2022'!D:D,CRUCE!A31,'2022'!AS:AS,CRUCE!B31)</f>
        <v>27519547</v>
      </c>
      <c r="E31" s="136">
        <f t="shared" si="2"/>
        <v>-0.10938870567194103</v>
      </c>
      <c r="F31" s="11">
        <f>+SUMIFS('2023'!Y:Y,'2023'!D:D,CRUCE!A31,'2023'!AS:AS,CRUCE!B31)</f>
        <v>30773622</v>
      </c>
      <c r="G31" s="136">
        <f t="shared" si="0"/>
        <v>0.11824595077818686</v>
      </c>
      <c r="H31" s="11">
        <f>+SUMIFS('2024'!J:J,'2024'!D:D,CRUCE!A31,'2024'!AT:AT,CRUCE!B31)</f>
        <v>28234243</v>
      </c>
      <c r="I31" s="7" t="str">
        <f t="shared" si="3"/>
        <v>18Lotería del Quindío E.I.C.E.30899616</v>
      </c>
      <c r="J31" s="7" t="str">
        <f t="shared" si="4"/>
        <v>18Lotería del Quindío E.I.C.E.27519547</v>
      </c>
      <c r="K31" s="7" t="str">
        <f t="shared" si="5"/>
        <v>18Lotería del Quindío E.I.C.E.30773622</v>
      </c>
      <c r="L31" s="7" t="str">
        <f t="shared" si="6"/>
        <v>18Lotería del Quindío E.I.C.E.28234243</v>
      </c>
      <c r="M31" t="s">
        <v>1906</v>
      </c>
      <c r="N31" s="136">
        <v>0.05</v>
      </c>
      <c r="O31" s="136"/>
      <c r="P31" s="20">
        <f t="shared" si="7"/>
        <v>29645955.149999999</v>
      </c>
      <c r="Q31" s="136">
        <f t="shared" si="17"/>
        <v>0.05</v>
      </c>
      <c r="R31" s="136">
        <f t="shared" si="18"/>
        <v>0.05</v>
      </c>
      <c r="S31" s="20">
        <f t="shared" si="8"/>
        <v>31128252.907499999</v>
      </c>
      <c r="T31" s="136">
        <v>6.4405521506867291E-3</v>
      </c>
      <c r="U31" s="136">
        <f t="shared" si="19"/>
        <v>0.05</v>
      </c>
      <c r="V31" s="20">
        <f t="shared" si="9"/>
        <v>32684665.552874997</v>
      </c>
    </row>
    <row r="32" spans="1:22" x14ac:dyDescent="0.3">
      <c r="A32" s="5">
        <v>18</v>
      </c>
      <c r="B32" s="8" t="s">
        <v>172</v>
      </c>
      <c r="C32" s="11">
        <f>+SUMIFS('2021'!Z:Z,'2021'!D:D,CRUCE!A32,'2021'!AT:AT,CRUCE!B32)</f>
        <v>12276005</v>
      </c>
      <c r="D32" s="11">
        <f>+SUMIFS('2022'!Y:Y,'2022'!D:D,CRUCE!A32,'2022'!AS:AS,CRUCE!B32)</f>
        <v>10547135</v>
      </c>
      <c r="E32" s="136"/>
      <c r="F32" s="11">
        <f>+SUMIFS('2023'!Y:Y,'2023'!D:D,CRUCE!A32,'2023'!AS:AS,CRUCE!B32)</f>
        <v>15600000</v>
      </c>
      <c r="G32" s="136">
        <f t="shared" si="0"/>
        <v>0.47907464918198167</v>
      </c>
      <c r="H32" s="11">
        <f>+SUMIFS('2024'!J:J,'2024'!D:D,CRUCE!A32,'2024'!AT:AT,CRUCE!B32)</f>
        <v>24663485</v>
      </c>
      <c r="I32" s="7" t="str">
        <f t="shared" si="3"/>
        <v>18Promotora de Vivienda y Desarrollo del Quindío12276005</v>
      </c>
      <c r="J32" s="7" t="str">
        <f t="shared" si="4"/>
        <v>18Promotora de Vivienda y Desarrollo del Quindío10547135</v>
      </c>
      <c r="K32" s="7" t="str">
        <f t="shared" si="5"/>
        <v>18Promotora de Vivienda y Desarrollo del Quindío15600000</v>
      </c>
      <c r="L32" s="7" t="str">
        <f t="shared" si="6"/>
        <v>18Promotora de Vivienda y Desarrollo del Quindío24663485</v>
      </c>
      <c r="M32" t="s">
        <v>1906</v>
      </c>
      <c r="N32" s="136">
        <v>0.05</v>
      </c>
      <c r="O32" s="136"/>
      <c r="P32" s="20">
        <f t="shared" si="7"/>
        <v>25896659.25</v>
      </c>
      <c r="Q32" s="136">
        <f t="shared" si="17"/>
        <v>0.05</v>
      </c>
      <c r="R32" s="136">
        <f t="shared" si="18"/>
        <v>0.05</v>
      </c>
      <c r="S32" s="20">
        <f t="shared" si="8"/>
        <v>27191492.212499999</v>
      </c>
      <c r="T32" s="136">
        <v>0.05</v>
      </c>
      <c r="U32" s="136">
        <f t="shared" si="19"/>
        <v>0.05</v>
      </c>
      <c r="V32" s="20">
        <f t="shared" si="9"/>
        <v>28551066.823124997</v>
      </c>
    </row>
    <row r="33" spans="1:22" hidden="1" x14ac:dyDescent="0.3">
      <c r="A33" s="5">
        <v>18</v>
      </c>
      <c r="B33" s="8" t="s">
        <v>516</v>
      </c>
      <c r="C33" s="11">
        <f>+SUMIFS('2021'!Z:Z,'2021'!D:D,CRUCE!A33,'2021'!AT:AT,CRUCE!B33)</f>
        <v>0</v>
      </c>
      <c r="D33" s="11">
        <f>+SUMIFS('2022'!Y:Y,'2022'!D:D,CRUCE!A33,'2022'!AS:AS,CRUCE!B33)</f>
        <v>0</v>
      </c>
      <c r="E33" s="136" t="e">
        <f t="shared" si="2"/>
        <v>#DIV/0!</v>
      </c>
      <c r="F33" s="11">
        <f>+SUMIFS('2023'!Y:Y,'2023'!D:D,CRUCE!A33,'2023'!AS:AS,CRUCE!B33)</f>
        <v>0</v>
      </c>
      <c r="G33" s="136" t="e">
        <f t="shared" si="0"/>
        <v>#DIV/0!</v>
      </c>
      <c r="H33" s="11">
        <f>+SUMIFS('2024'!J:J,'2024'!D:D,CRUCE!A33,'2024'!AT:AT,CRUCE!B33)</f>
        <v>0</v>
      </c>
      <c r="I33" s="7" t="str">
        <f t="shared" si="3"/>
        <v>18Superávit Impuesto al Consumo 3% Monopolio Indeportes0</v>
      </c>
      <c r="J33" s="7" t="str">
        <f t="shared" si="4"/>
        <v>18Superávit Impuesto al Consumo 3% Monopolio Indeportes0</v>
      </c>
      <c r="K33" s="7" t="str">
        <f t="shared" si="5"/>
        <v>18Superávit Impuesto al Consumo 3% Monopolio Indeportes0</v>
      </c>
      <c r="L33" s="7" t="str">
        <f t="shared" si="6"/>
        <v>18Superávit Impuesto al Consumo 3% Monopolio Indeportes0</v>
      </c>
      <c r="M33" t="s">
        <v>1906</v>
      </c>
      <c r="N33" s="136" t="e">
        <f t="shared" si="10"/>
        <v>#DIV/0!</v>
      </c>
      <c r="O33" s="136"/>
      <c r="P33" s="20" t="e">
        <f t="shared" si="7"/>
        <v>#DIV/0!</v>
      </c>
      <c r="Q33" s="136">
        <v>5.4676076320968443E-2</v>
      </c>
      <c r="R33" s="136">
        <v>5.4676076320968443E-2</v>
      </c>
      <c r="S33" s="20" t="e">
        <f t="shared" si="8"/>
        <v>#DIV/0!</v>
      </c>
      <c r="T33" s="136">
        <v>5.4676076320968443E-2</v>
      </c>
      <c r="U33" s="136">
        <v>5.4676076320968443E-2</v>
      </c>
      <c r="V33" s="20" t="e">
        <f t="shared" si="9"/>
        <v>#DIV/0!</v>
      </c>
    </row>
    <row r="34" spans="1:22" x14ac:dyDescent="0.3">
      <c r="A34" s="5">
        <v>18</v>
      </c>
      <c r="B34" s="8" t="s">
        <v>174</v>
      </c>
      <c r="C34" s="11">
        <f>+SUMIFS('2021'!Z:Z,'2021'!D:D,CRUCE!A34,'2021'!AT:AT,CRUCE!B34)</f>
        <v>264893816</v>
      </c>
      <c r="D34" s="11">
        <f>+SUMIFS('2022'!Y:Y,'2022'!D:D,CRUCE!A34,'2022'!AS:AS,CRUCE!B34)</f>
        <v>278504248</v>
      </c>
      <c r="E34" s="136">
        <f t="shared" si="2"/>
        <v>5.1380708713864423E-2</v>
      </c>
      <c r="F34" s="11">
        <f>+SUMIFS('2023'!Y:Y,'2023'!D:D,CRUCE!A34,'2023'!AS:AS,CRUCE!B34)</f>
        <v>306354675</v>
      </c>
      <c r="G34" s="136">
        <f t="shared" si="0"/>
        <v>0.10000000789934091</v>
      </c>
      <c r="H34" s="11">
        <f>+SUMIFS('2024'!J:J,'2024'!D:D,CRUCE!A34,'2024'!AT:AT,CRUCE!B34)</f>
        <v>348727796</v>
      </c>
      <c r="I34" s="7" t="str">
        <f t="shared" si="3"/>
        <v>18Universidad del Quindío264893816</v>
      </c>
      <c r="J34" s="7" t="str">
        <f t="shared" si="4"/>
        <v>18Universidad del Quindío278504248</v>
      </c>
      <c r="K34" s="7" t="str">
        <f t="shared" si="5"/>
        <v>18Universidad del Quindío306354675</v>
      </c>
      <c r="L34" s="7" t="str">
        <f t="shared" si="6"/>
        <v>18Universidad del Quindío348727796</v>
      </c>
      <c r="M34" t="s">
        <v>1906</v>
      </c>
      <c r="N34" s="136">
        <v>0.05</v>
      </c>
      <c r="O34" s="136"/>
      <c r="P34" s="20">
        <f t="shared" si="7"/>
        <v>366164185.80000001</v>
      </c>
      <c r="Q34" s="136">
        <f>+N34</f>
        <v>0.05</v>
      </c>
      <c r="R34" s="136">
        <f>+Q34</f>
        <v>0.05</v>
      </c>
      <c r="S34" s="20">
        <f t="shared" si="8"/>
        <v>384472395.09000003</v>
      </c>
      <c r="T34" s="136">
        <v>0.08</v>
      </c>
      <c r="U34" s="136">
        <f>+R34</f>
        <v>0.05</v>
      </c>
      <c r="V34" s="20">
        <f t="shared" si="9"/>
        <v>403696014.84450006</v>
      </c>
    </row>
    <row r="35" spans="1:22" hidden="1" x14ac:dyDescent="0.3">
      <c r="A35" s="5">
        <v>20</v>
      </c>
      <c r="B35" s="8" t="s">
        <v>341</v>
      </c>
      <c r="C35" s="11">
        <f>+SUMIFS('2021'!Z:Z,'2021'!D:D,CRUCE!A35,'2021'!AT:AT,CRUCE!B35)</f>
        <v>0</v>
      </c>
      <c r="D35" s="11">
        <f>+SUMIFS('2022'!Y:Y,'2022'!D:D,CRUCE!A35,'2022'!AS:AS,CRUCE!B35)</f>
        <v>1956741</v>
      </c>
      <c r="E35" s="136" t="e">
        <f t="shared" si="2"/>
        <v>#DIV/0!</v>
      </c>
      <c r="F35" s="11">
        <f>+SUMIFS('2023'!Y:Y,'2023'!D:D,CRUCE!A35,'2023'!AS:AS,CRUCE!B35)</f>
        <v>0</v>
      </c>
      <c r="G35" s="136">
        <f t="shared" si="0"/>
        <v>-1</v>
      </c>
      <c r="H35" s="11">
        <f>+SUMIFS('2024'!J:J,'2024'!D:D,CRUCE!A35,'2024'!AT:AT,CRUCE!B35)</f>
        <v>0</v>
      </c>
      <c r="I35" s="7" t="str">
        <f t="shared" si="3"/>
        <v>20Alcalá0</v>
      </c>
      <c r="J35" s="7" t="str">
        <f t="shared" si="4"/>
        <v>20Alcalá1956741</v>
      </c>
      <c r="K35" s="7" t="str">
        <f t="shared" si="5"/>
        <v>20Alcalá0</v>
      </c>
      <c r="L35" s="7" t="str">
        <f t="shared" si="6"/>
        <v>20Alcalá0</v>
      </c>
      <c r="M35" t="s">
        <v>1906</v>
      </c>
      <c r="N35" s="136" t="e">
        <f t="shared" si="10"/>
        <v>#DIV/0!</v>
      </c>
      <c r="O35" s="136"/>
      <c r="P35" s="20" t="e">
        <f t="shared" si="7"/>
        <v>#DIV/0!</v>
      </c>
      <c r="Q35" s="136">
        <v>0.08</v>
      </c>
      <c r="R35" s="136">
        <v>0.08</v>
      </c>
      <c r="S35" s="20" t="e">
        <f t="shared" si="8"/>
        <v>#DIV/0!</v>
      </c>
      <c r="T35" s="136">
        <v>0.08</v>
      </c>
      <c r="U35" s="136">
        <v>0.08</v>
      </c>
      <c r="V35" s="20" t="e">
        <f t="shared" si="9"/>
        <v>#DIV/0!</v>
      </c>
    </row>
    <row r="36" spans="1:22" hidden="1" x14ac:dyDescent="0.3">
      <c r="A36" s="5">
        <v>20</v>
      </c>
      <c r="B36" s="8" t="s">
        <v>325</v>
      </c>
      <c r="C36" s="11">
        <f>+SUMIFS('2021'!Z:Z,'2021'!D:D,CRUCE!A36,'2021'!AT:AT,CRUCE!B36)</f>
        <v>64417383</v>
      </c>
      <c r="D36" s="11">
        <f>+SUMIFS('2022'!Y:Y,'2022'!D:D,CRUCE!A36,'2022'!AS:AS,CRUCE!B36)</f>
        <v>0</v>
      </c>
      <c r="E36" s="136">
        <f t="shared" si="2"/>
        <v>-1</v>
      </c>
      <c r="F36" s="11">
        <f>+SUMIFS('2023'!Y:Y,'2023'!D:D,CRUCE!A36,'2023'!AS:AS,CRUCE!B36)</f>
        <v>0</v>
      </c>
      <c r="G36" s="136" t="e">
        <f t="shared" si="0"/>
        <v>#DIV/0!</v>
      </c>
      <c r="H36" s="11">
        <f>+SUMIFS('2024'!J:J,'2024'!D:D,CRUCE!A36,'2024'!AT:AT,CRUCE!B36)</f>
        <v>0</v>
      </c>
      <c r="I36" s="7" t="str">
        <f t="shared" ref="I36" si="20">+$A36&amp;$B36&amp;C36</f>
        <v>20Armenia64417383</v>
      </c>
      <c r="J36" s="7" t="str">
        <f t="shared" ref="J36" si="21">+$A36&amp;$B36&amp;D36</f>
        <v>20Armenia0</v>
      </c>
      <c r="K36" s="7" t="str">
        <f t="shared" ref="K36" si="22">+$A36&amp;$B36&amp;F36</f>
        <v>20Armenia0</v>
      </c>
      <c r="L36" s="7" t="str">
        <f t="shared" ref="L36" si="23">+$A36&amp;$B36&amp;H36</f>
        <v>20Armenia0</v>
      </c>
      <c r="M36" t="s">
        <v>1906</v>
      </c>
      <c r="N36" s="136" t="e">
        <f t="shared" si="10"/>
        <v>#DIV/0!</v>
      </c>
      <c r="O36" s="136"/>
      <c r="P36" s="20" t="e">
        <f t="shared" si="7"/>
        <v>#DIV/0!</v>
      </c>
      <c r="Q36" s="136">
        <v>0.05</v>
      </c>
      <c r="R36" s="136">
        <v>0.05</v>
      </c>
      <c r="S36" s="20" t="e">
        <f t="shared" si="8"/>
        <v>#DIV/0!</v>
      </c>
      <c r="T36" s="136">
        <v>0.05</v>
      </c>
      <c r="U36" s="136">
        <v>0.05</v>
      </c>
      <c r="V36" s="20" t="e">
        <f t="shared" si="9"/>
        <v>#DIV/0!</v>
      </c>
    </row>
    <row r="37" spans="1:22" hidden="1" x14ac:dyDescent="0.3">
      <c r="A37" s="5">
        <v>20</v>
      </c>
      <c r="B37" s="8" t="s">
        <v>178</v>
      </c>
      <c r="C37" s="11">
        <f>+SUMIFS('2021'!Z:Z,'2021'!D:D,CRUCE!A37,'2021'!AT:AT,CRUCE!B37)</f>
        <v>0</v>
      </c>
      <c r="D37" s="11">
        <f>+SUMIFS('2022'!Y:Y,'2022'!D:D,CRUCE!A37,'2022'!AS:AS,CRUCE!B37)</f>
        <v>0</v>
      </c>
      <c r="E37" s="136" t="e">
        <f t="shared" si="2"/>
        <v>#DIV/0!</v>
      </c>
      <c r="F37" s="11">
        <f>+SUMIFS('2023'!Y:Y,'2023'!D:D,CRUCE!A37,'2023'!AS:AS,CRUCE!B37)</f>
        <v>0</v>
      </c>
      <c r="G37" s="136" t="e">
        <f t="shared" si="0"/>
        <v>#DIV/0!</v>
      </c>
      <c r="H37" s="11">
        <f>+SUMIFS('2024'!J:J,'2024'!D:D,CRUCE!A37,'2024'!AT:AT,CRUCE!B37)</f>
        <v>0</v>
      </c>
      <c r="I37" s="7" t="str">
        <f t="shared" ref="I37:I39" si="24">+$A37&amp;$B37&amp;C37</f>
        <v>20Autorización de manejo de medicamentos de control especial del Estado0</v>
      </c>
      <c r="J37" s="7" t="str">
        <f t="shared" ref="J37:J39" si="25">+$A37&amp;$B37&amp;D37</f>
        <v>20Autorización de manejo de medicamentos de control especial del Estado0</v>
      </c>
      <c r="K37" s="7" t="str">
        <f t="shared" ref="K37:K39" si="26">+$A37&amp;$B37&amp;F37</f>
        <v>20Autorización de manejo de medicamentos de control especial del Estado0</v>
      </c>
      <c r="L37" s="7" t="str">
        <f t="shared" ref="L37:L39" si="27">+$A37&amp;$B37&amp;H37</f>
        <v>20Autorización de manejo de medicamentos de control especial del Estado0</v>
      </c>
      <c r="M37" t="s">
        <v>1906</v>
      </c>
      <c r="N37" s="136" t="e">
        <f t="shared" si="10"/>
        <v>#DIV/0!</v>
      </c>
      <c r="O37" s="136"/>
      <c r="P37" s="20" t="e">
        <f t="shared" si="7"/>
        <v>#DIV/0!</v>
      </c>
      <c r="Q37" s="136">
        <v>0.20438894693963028</v>
      </c>
      <c r="R37" s="136">
        <v>0.20438894693963028</v>
      </c>
      <c r="S37" s="20" t="e">
        <f t="shared" si="8"/>
        <v>#DIV/0!</v>
      </c>
      <c r="T37" s="136">
        <v>0.20438894693963028</v>
      </c>
      <c r="U37" s="136">
        <v>0.20438894693963028</v>
      </c>
      <c r="V37" s="20" t="e">
        <f t="shared" si="9"/>
        <v>#DIV/0!</v>
      </c>
    </row>
    <row r="38" spans="1:22" hidden="1" x14ac:dyDescent="0.3">
      <c r="A38" s="5">
        <v>20</v>
      </c>
      <c r="B38" s="8" t="s">
        <v>298</v>
      </c>
      <c r="C38" s="11">
        <f>+SUMIFS('2021'!Z:Z,'2021'!D:D,CRUCE!A38,'2021'!AT:AT,CRUCE!B38)</f>
        <v>153109812</v>
      </c>
      <c r="D38" s="11">
        <f>+SUMIFS('2022'!Y:Y,'2022'!D:D,CRUCE!A38,'2022'!AS:AS,CRUCE!B38)</f>
        <v>0</v>
      </c>
      <c r="E38" s="136">
        <f t="shared" si="2"/>
        <v>-1</v>
      </c>
      <c r="F38" s="11">
        <f>+SUMIFS('2023'!Y:Y,'2023'!D:D,CRUCE!A38,'2023'!AS:AS,CRUCE!B38)</f>
        <v>0</v>
      </c>
      <c r="G38" s="136" t="e">
        <f t="shared" si="0"/>
        <v>#DIV/0!</v>
      </c>
      <c r="H38" s="11">
        <f>+SUMIFS('2024'!J:J,'2024'!D:D,CRUCE!A38,'2024'!AT:AT,CRUCE!B38)</f>
        <v>0</v>
      </c>
      <c r="I38" s="7" t="str">
        <f t="shared" si="24"/>
        <v>20Banco de Bogotá153109812</v>
      </c>
      <c r="J38" s="7" t="str">
        <f t="shared" si="25"/>
        <v>20Banco de Bogotá0</v>
      </c>
      <c r="K38" s="7" t="str">
        <f t="shared" si="26"/>
        <v>20Banco de Bogotá0</v>
      </c>
      <c r="L38" s="7" t="str">
        <f t="shared" si="27"/>
        <v>20Banco de Bogotá0</v>
      </c>
      <c r="M38" t="s">
        <v>1906</v>
      </c>
      <c r="N38" s="136" t="e">
        <f t="shared" si="10"/>
        <v>#DIV/0!</v>
      </c>
      <c r="O38" s="136"/>
      <c r="P38" s="20" t="e">
        <f t="shared" si="7"/>
        <v>#DIV/0!</v>
      </c>
      <c r="Q38" s="136">
        <v>0.21430004685278459</v>
      </c>
      <c r="R38" s="136">
        <v>0.21430004685278459</v>
      </c>
      <c r="S38" s="20" t="e">
        <f t="shared" si="8"/>
        <v>#DIV/0!</v>
      </c>
      <c r="T38" s="136">
        <v>0.21430004685278459</v>
      </c>
      <c r="U38" s="136">
        <v>0.21430004685278459</v>
      </c>
      <c r="V38" s="20" t="e">
        <f t="shared" si="9"/>
        <v>#DIV/0!</v>
      </c>
    </row>
    <row r="39" spans="1:22" hidden="1" x14ac:dyDescent="0.3">
      <c r="A39" s="5">
        <v>20</v>
      </c>
      <c r="B39" s="8" t="s">
        <v>327</v>
      </c>
      <c r="C39" s="11">
        <f>+SUMIFS('2021'!Z:Z,'2021'!D:D,CRUCE!A39,'2021'!AT:AT,CRUCE!B39)</f>
        <v>5148637</v>
      </c>
      <c r="D39" s="11">
        <f>+SUMIFS('2022'!Y:Y,'2022'!D:D,CRUCE!A39,'2022'!AS:AS,CRUCE!B39)</f>
        <v>3779339</v>
      </c>
      <c r="E39" s="136">
        <f t="shared" si="2"/>
        <v>-0.26595349409950636</v>
      </c>
      <c r="F39" s="11">
        <f>+SUMIFS('2023'!Y:Y,'2023'!D:D,CRUCE!A39,'2023'!AS:AS,CRUCE!B39)</f>
        <v>0</v>
      </c>
      <c r="G39" s="136">
        <f t="shared" si="0"/>
        <v>-1</v>
      </c>
      <c r="H39" s="11">
        <f>+SUMIFS('2024'!J:J,'2024'!D:D,CRUCE!A39,'2024'!AT:AT,CRUCE!B39)</f>
        <v>0</v>
      </c>
      <c r="I39" s="7" t="str">
        <f t="shared" si="24"/>
        <v>20Buenavista - Quindío5148637</v>
      </c>
      <c r="J39" s="7" t="str">
        <f t="shared" si="25"/>
        <v>20Buenavista - Quindío3779339</v>
      </c>
      <c r="K39" s="7" t="str">
        <f t="shared" si="26"/>
        <v>20Buenavista - Quindío0</v>
      </c>
      <c r="L39" s="7" t="str">
        <f t="shared" si="27"/>
        <v>20Buenavista - Quindío0</v>
      </c>
      <c r="M39" t="s">
        <v>1906</v>
      </c>
      <c r="N39" s="136">
        <f t="shared" si="10"/>
        <v>-0.63297674704975315</v>
      </c>
      <c r="O39" s="136"/>
      <c r="P39" s="20">
        <f t="shared" si="7"/>
        <v>0</v>
      </c>
      <c r="Q39" s="136">
        <v>0.05</v>
      </c>
      <c r="R39" s="136">
        <v>0.05</v>
      </c>
      <c r="S39" s="20">
        <f t="shared" si="8"/>
        <v>0</v>
      </c>
      <c r="T39" s="136">
        <v>0.05</v>
      </c>
      <c r="U39" s="136">
        <v>0.05</v>
      </c>
      <c r="V39" s="20">
        <f t="shared" si="9"/>
        <v>0</v>
      </c>
    </row>
    <row r="40" spans="1:22" hidden="1" x14ac:dyDescent="0.3">
      <c r="A40" s="5">
        <v>20</v>
      </c>
      <c r="B40" s="8" t="s">
        <v>329</v>
      </c>
      <c r="C40" s="11">
        <f>+SUMIFS('2021'!Z:Z,'2021'!D:D,CRUCE!A40,'2021'!AT:AT,CRUCE!B40)</f>
        <v>7463837</v>
      </c>
      <c r="D40" s="11">
        <f>+SUMIFS('2022'!Y:Y,'2022'!D:D,CRUCE!A40,'2022'!AS:AS,CRUCE!B40)</f>
        <v>1865610</v>
      </c>
      <c r="E40" s="136">
        <f t="shared" si="2"/>
        <v>-0.75004679228659465</v>
      </c>
      <c r="F40" s="11">
        <f>+SUMIFS('2023'!Y:Y,'2023'!D:D,CRUCE!A40,'2023'!AS:AS,CRUCE!B40)</f>
        <v>0</v>
      </c>
      <c r="G40" s="136">
        <f t="shared" si="0"/>
        <v>-1</v>
      </c>
      <c r="H40" s="11">
        <f>+SUMIFS('2024'!J:J,'2024'!D:D,CRUCE!A40,'2024'!AT:AT,CRUCE!B40)</f>
        <v>0</v>
      </c>
      <c r="I40" s="7" t="str">
        <f t="shared" si="3"/>
        <v>20Circasia7463837</v>
      </c>
      <c r="J40" s="7" t="str">
        <f t="shared" si="4"/>
        <v>20Circasia1865610</v>
      </c>
      <c r="K40" s="7" t="str">
        <f t="shared" si="5"/>
        <v>20Circasia0</v>
      </c>
      <c r="L40" s="7" t="str">
        <f t="shared" si="6"/>
        <v>20Circasia0</v>
      </c>
      <c r="M40" t="s">
        <v>1906</v>
      </c>
      <c r="N40" s="136">
        <f t="shared" si="10"/>
        <v>-0.87502339614329738</v>
      </c>
      <c r="O40" s="136"/>
      <c r="P40" s="20">
        <f t="shared" si="7"/>
        <v>0</v>
      </c>
      <c r="Q40" s="136">
        <v>0.05</v>
      </c>
      <c r="R40" s="136">
        <v>0.05</v>
      </c>
      <c r="S40" s="20">
        <f t="shared" si="8"/>
        <v>0</v>
      </c>
      <c r="T40" s="136">
        <v>0.05</v>
      </c>
      <c r="U40" s="136">
        <v>0.05</v>
      </c>
      <c r="V40" s="20">
        <f t="shared" si="9"/>
        <v>0</v>
      </c>
    </row>
    <row r="41" spans="1:22" x14ac:dyDescent="0.3">
      <c r="A41" s="5">
        <v>20</v>
      </c>
      <c r="B41" s="8" t="s">
        <v>110</v>
      </c>
      <c r="C41" s="11">
        <f>+SUMIFS('2021'!Z:Z,'2021'!D:D,CRUCE!A41,'2021'!AT:AT,CRUCE!B41)</f>
        <v>10636499437.49</v>
      </c>
      <c r="D41" s="11">
        <f>+SUMIFS('2022'!Y:Y,'2022'!D:D,CRUCE!A41,'2022'!AS:AS,CRUCE!B41)</f>
        <v>11137550708</v>
      </c>
      <c r="E41" s="136">
        <f t="shared" si="2"/>
        <v>4.7106782965076553E-2</v>
      </c>
      <c r="F41" s="11">
        <f>+SUMIFS('2023'!Y:Y,'2023'!D:D,CRUCE!A41,'2023'!AS:AS,CRUCE!B41)</f>
        <v>12488062223</v>
      </c>
      <c r="G41" s="137">
        <f t="shared" si="0"/>
        <v>0.12125749641076292</v>
      </c>
      <c r="H41" s="140">
        <f>+SUMIFS('2024'!J:J,'2024'!D:D,CRUCE!A41,'2024'!AT:AT,CRUCE!B41)</f>
        <v>14173023000</v>
      </c>
      <c r="I41" s="7" t="str">
        <f t="shared" si="3"/>
        <v>20Componente específico del impuesto al consumo de cigarrillos y tabaco - Extranjeros10636499437,49</v>
      </c>
      <c r="J41" s="7" t="str">
        <f t="shared" si="4"/>
        <v>20Componente específico del impuesto al consumo de cigarrillos y tabaco - Extranjeros11137550708</v>
      </c>
      <c r="K41" s="7" t="str">
        <f t="shared" si="5"/>
        <v>20Componente específico del impuesto al consumo de cigarrillos y tabaco - Extranjeros12488062223</v>
      </c>
      <c r="L41" s="7" t="str">
        <f t="shared" si="6"/>
        <v>20Componente específico del impuesto al consumo de cigarrillos y tabaco - Extranjeros14173023000</v>
      </c>
      <c r="M41" t="s">
        <v>1906</v>
      </c>
      <c r="N41" s="136">
        <v>0.05</v>
      </c>
      <c r="P41" s="20">
        <f t="shared" si="7"/>
        <v>14881674150</v>
      </c>
      <c r="Q41" s="136">
        <f>+N41</f>
        <v>0.05</v>
      </c>
      <c r="R41" s="136">
        <f>+Q41</f>
        <v>0.05</v>
      </c>
      <c r="S41" s="20">
        <f t="shared" si="8"/>
        <v>15625757857.5</v>
      </c>
      <c r="T41" s="136">
        <v>0.05</v>
      </c>
      <c r="U41" s="136">
        <f>+R41</f>
        <v>0.05</v>
      </c>
      <c r="V41" s="20">
        <f t="shared" si="9"/>
        <v>16407045750.375</v>
      </c>
    </row>
    <row r="42" spans="1:22" hidden="1" x14ac:dyDescent="0.3">
      <c r="A42" s="5">
        <v>20</v>
      </c>
      <c r="B42" s="8" t="s">
        <v>293</v>
      </c>
      <c r="C42" s="11">
        <f>+SUMIFS('2021'!Z:Z,'2021'!D:D,CRUCE!A42,'2021'!AT:AT,CRUCE!B42)</f>
        <v>9119531.1600000001</v>
      </c>
      <c r="D42" s="11">
        <f>+SUMIFS('2022'!Y:Y,'2022'!D:D,CRUCE!A42,'2022'!AS:AS,CRUCE!B42)</f>
        <v>0</v>
      </c>
      <c r="E42" s="136">
        <f t="shared" si="2"/>
        <v>-1</v>
      </c>
      <c r="F42" s="11">
        <f>+SUMIFS('2023'!Y:Y,'2023'!D:D,CRUCE!A42,'2023'!AS:AS,CRUCE!B42)</f>
        <v>0</v>
      </c>
      <c r="G42" s="136" t="e">
        <f t="shared" si="0"/>
        <v>#DIV/0!</v>
      </c>
      <c r="H42" s="11">
        <f>+SUMIFS('2024'!J:J,'2024'!D:D,CRUCE!A42,'2024'!AT:AT,CRUCE!B42)</f>
        <v>0</v>
      </c>
      <c r="I42" s="7" t="str">
        <f t="shared" si="3"/>
        <v>20Cuotas partes pensionales9119531,16</v>
      </c>
      <c r="J42" s="7" t="str">
        <f t="shared" si="4"/>
        <v>20Cuotas partes pensionales0</v>
      </c>
      <c r="K42" s="7" t="str">
        <f t="shared" si="5"/>
        <v>20Cuotas partes pensionales0</v>
      </c>
      <c r="L42" s="7" t="str">
        <f t="shared" si="6"/>
        <v>20Cuotas partes pensionales0</v>
      </c>
      <c r="M42" t="s">
        <v>1906</v>
      </c>
      <c r="N42" s="136" t="e">
        <f t="shared" si="10"/>
        <v>#DIV/0!</v>
      </c>
      <c r="O42" s="136"/>
      <c r="P42" s="20" t="e">
        <f t="shared" si="7"/>
        <v>#DIV/0!</v>
      </c>
      <c r="Q42" s="136">
        <v>0.05</v>
      </c>
      <c r="R42" s="136">
        <v>0.05</v>
      </c>
      <c r="S42" s="20" t="e">
        <f t="shared" si="8"/>
        <v>#DIV/0!</v>
      </c>
      <c r="T42" s="136">
        <v>0.05</v>
      </c>
      <c r="U42" s="136">
        <v>0.05</v>
      </c>
      <c r="V42" s="20" t="e">
        <f t="shared" si="9"/>
        <v>#DIV/0!</v>
      </c>
    </row>
    <row r="43" spans="1:22" hidden="1" x14ac:dyDescent="0.3">
      <c r="A43" s="5">
        <v>20</v>
      </c>
      <c r="B43" s="8" t="s">
        <v>313</v>
      </c>
      <c r="C43" s="11">
        <f>+SUMIFS('2021'!Z:Z,'2021'!D:D,CRUCE!A43,'2021'!AT:AT,CRUCE!B43)</f>
        <v>76219997</v>
      </c>
      <c r="D43" s="11">
        <f>+SUMIFS('2022'!Y:Y,'2022'!D:D,CRUCE!A43,'2022'!AS:AS,CRUCE!B43)</f>
        <v>461412680</v>
      </c>
      <c r="E43" s="136">
        <f t="shared" si="2"/>
        <v>5.0536958562199894</v>
      </c>
      <c r="F43" s="11">
        <f>+SUMIFS('2023'!Y:Y,'2023'!D:D,CRUCE!A43,'2023'!AS:AS,CRUCE!B43)</f>
        <v>0</v>
      </c>
      <c r="G43" s="136">
        <f t="shared" si="0"/>
        <v>-1</v>
      </c>
      <c r="H43" s="11">
        <f>+SUMIFS('2024'!J:J,'2024'!D:D,CRUCE!A43,'2024'!AT:AT,CRUCE!B43)</f>
        <v>0</v>
      </c>
      <c r="I43" s="7" t="str">
        <f t="shared" si="3"/>
        <v>20Departamento de Caldas76219997</v>
      </c>
      <c r="J43" s="7" t="str">
        <f t="shared" si="4"/>
        <v>20Departamento de Caldas461412680</v>
      </c>
      <c r="K43" s="7" t="str">
        <f t="shared" si="5"/>
        <v>20Departamento de Caldas0</v>
      </c>
      <c r="L43" s="7" t="str">
        <f t="shared" si="6"/>
        <v>20Departamento de Caldas0</v>
      </c>
      <c r="M43" t="s">
        <v>1906</v>
      </c>
      <c r="N43" s="136">
        <f t="shared" si="10"/>
        <v>2.0268479281099947</v>
      </c>
      <c r="O43" s="136"/>
      <c r="P43" s="20">
        <f t="shared" si="7"/>
        <v>0</v>
      </c>
      <c r="Q43" s="136">
        <v>0.05</v>
      </c>
      <c r="R43" s="136">
        <v>0.05</v>
      </c>
      <c r="S43" s="20">
        <f t="shared" si="8"/>
        <v>0</v>
      </c>
      <c r="T43" s="136">
        <v>0.05</v>
      </c>
      <c r="U43" s="136">
        <v>0.05</v>
      </c>
      <c r="V43" s="20">
        <f t="shared" si="9"/>
        <v>0</v>
      </c>
    </row>
    <row r="44" spans="1:22" hidden="1" x14ac:dyDescent="0.3">
      <c r="A44" s="5">
        <v>20</v>
      </c>
      <c r="B44" s="8" t="s">
        <v>315</v>
      </c>
      <c r="C44" s="11">
        <f>+SUMIFS('2021'!Z:Z,'2021'!D:D,CRUCE!A44,'2021'!AT:AT,CRUCE!B44)</f>
        <v>2840553</v>
      </c>
      <c r="D44" s="11">
        <f>+SUMIFS('2022'!Y:Y,'2022'!D:D,CRUCE!A44,'2022'!AS:AS,CRUCE!B44)</f>
        <v>2596258</v>
      </c>
      <c r="E44" s="136">
        <f t="shared" si="2"/>
        <v>-8.6002619912390305E-2</v>
      </c>
      <c r="F44" s="11">
        <f>+SUMIFS('2023'!Y:Y,'2023'!D:D,CRUCE!A44,'2023'!AS:AS,CRUCE!B44)</f>
        <v>0</v>
      </c>
      <c r="G44" s="136">
        <f t="shared" si="0"/>
        <v>-1</v>
      </c>
      <c r="H44" s="11">
        <f>+SUMIFS('2024'!J:J,'2024'!D:D,CRUCE!A44,'2024'!AT:AT,CRUCE!B44)</f>
        <v>0</v>
      </c>
      <c r="I44" s="7" t="str">
        <f t="shared" si="3"/>
        <v>20Departamento de Risaralda2840553</v>
      </c>
      <c r="J44" s="7" t="str">
        <f t="shared" si="4"/>
        <v>20Departamento de Risaralda2596258</v>
      </c>
      <c r="K44" s="7" t="str">
        <f t="shared" si="5"/>
        <v>20Departamento de Risaralda0</v>
      </c>
      <c r="L44" s="7" t="str">
        <f t="shared" si="6"/>
        <v>20Departamento de Risaralda0</v>
      </c>
      <c r="M44" t="s">
        <v>1906</v>
      </c>
      <c r="N44" s="136">
        <f t="shared" si="10"/>
        <v>-0.54300130995619511</v>
      </c>
      <c r="O44" s="136"/>
      <c r="P44" s="20">
        <f t="shared" si="7"/>
        <v>0</v>
      </c>
      <c r="Q44" s="136">
        <v>0.05</v>
      </c>
      <c r="R44" s="136">
        <v>0.05</v>
      </c>
      <c r="S44" s="20">
        <f t="shared" si="8"/>
        <v>0</v>
      </c>
      <c r="T44" s="136">
        <v>0.05</v>
      </c>
      <c r="U44" s="136">
        <v>0.05</v>
      </c>
      <c r="V44" s="20">
        <f t="shared" si="9"/>
        <v>0</v>
      </c>
    </row>
    <row r="45" spans="1:22" x14ac:dyDescent="0.3">
      <c r="A45" s="5">
        <v>20</v>
      </c>
      <c r="B45" s="8" t="s">
        <v>1146</v>
      </c>
      <c r="C45" s="11">
        <f>+SUMIFS('2021'!Z:Z,'2021'!D:D,CRUCE!A45,'2021'!AT:AT,CRUCE!B45)</f>
        <v>0</v>
      </c>
      <c r="D45" s="11">
        <f>+SUMIFS('2022'!Y:Y,'2022'!D:D,CRUCE!A45,'2022'!AS:AS,CRUCE!B45)</f>
        <v>583326652.23000002</v>
      </c>
      <c r="E45" s="136" t="e">
        <f t="shared" si="2"/>
        <v>#DIV/0!</v>
      </c>
      <c r="F45" s="11">
        <f>+SUMIFS('2023'!Y:Y,'2023'!D:D,CRUCE!A45,'2023'!AS:AS,CRUCE!B45)</f>
        <v>2325230062.0900002</v>
      </c>
      <c r="G45" s="136">
        <f t="shared" si="0"/>
        <v>2.9861543325697117</v>
      </c>
      <c r="H45" s="140">
        <f>+SUMIFS('2024'!J:J,'2024'!D:D,CRUCE!A45,'2024'!AT:AT,CRUCE!B45)</f>
        <v>300000000</v>
      </c>
      <c r="I45" s="7" t="str">
        <f t="shared" si="3"/>
        <v>20Depósitos Recursos Ordinario0</v>
      </c>
      <c r="J45" s="7" t="str">
        <f t="shared" si="4"/>
        <v>20Depósitos Recursos Ordinario583326652,23</v>
      </c>
      <c r="K45" s="7" t="str">
        <f t="shared" si="5"/>
        <v>20Depósitos Recursos Ordinario2325230062,09</v>
      </c>
      <c r="L45" s="7" t="str">
        <f t="shared" si="6"/>
        <v>20Depósitos Recursos Ordinario300000000</v>
      </c>
      <c r="M45" t="s">
        <v>1906</v>
      </c>
      <c r="N45" s="136">
        <v>0.05</v>
      </c>
      <c r="P45" s="20">
        <f>+H45*1.02</f>
        <v>306000000</v>
      </c>
      <c r="Q45" s="136">
        <f t="shared" ref="Q45:Q47" si="28">+N45</f>
        <v>0.05</v>
      </c>
      <c r="R45" s="136">
        <f t="shared" ref="R45:R47" si="29">+Q45</f>
        <v>0.05</v>
      </c>
      <c r="S45" s="20">
        <f>+P45*1.02</f>
        <v>312120000</v>
      </c>
      <c r="T45" s="136">
        <v>0.05</v>
      </c>
      <c r="U45" s="136">
        <f t="shared" ref="U45" si="30">+R45</f>
        <v>0.05</v>
      </c>
      <c r="V45" s="20">
        <f>+S45*1.02</f>
        <v>318362400</v>
      </c>
    </row>
    <row r="46" spans="1:22" x14ac:dyDescent="0.3">
      <c r="A46" s="5">
        <v>20</v>
      </c>
      <c r="B46" s="8" t="s">
        <v>1096</v>
      </c>
      <c r="C46" s="11">
        <f>+SUMIFS('2021'!Z:Z,'2021'!D:D,CRUCE!A46,'2021'!AT:AT,CRUCE!B46)</f>
        <v>0</v>
      </c>
      <c r="D46" s="11">
        <f>+SUMIFS('2022'!Y:Y,'2022'!D:D,CRUCE!A46,'2022'!AS:AS,CRUCE!B46)</f>
        <v>144787987.78</v>
      </c>
      <c r="E46" s="136" t="e">
        <f t="shared" si="2"/>
        <v>#DIV/0!</v>
      </c>
      <c r="F46" s="11">
        <f>+SUMIFS('2023'!Y:Y,'2023'!D:D,CRUCE!A46,'2023'!AS:AS,CRUCE!B46)</f>
        <v>37040580</v>
      </c>
      <c r="G46" s="136">
        <f t="shared" si="0"/>
        <v>-0.74417366683566466</v>
      </c>
      <c r="H46" s="139">
        <f>+SUMIFS('2024'!J:J,'2024'!D:D,CRUCE!A46,'2024'!AT:AT,CRUCE!B46)</f>
        <v>144172196.13999999</v>
      </c>
      <c r="I46" s="7" t="str">
        <f t="shared" si="3"/>
        <v>20Derechos de monopolio por la introducción de licores destilados de producción extranjera0</v>
      </c>
      <c r="J46" s="7" t="str">
        <f t="shared" si="4"/>
        <v>20Derechos de monopolio por la introducción de licores destilados de producción extranjera144787987,78</v>
      </c>
      <c r="K46" s="7" t="str">
        <f t="shared" si="5"/>
        <v>20Derechos de monopolio por la introducción de licores destilados de producción extranjera37040580</v>
      </c>
      <c r="L46" s="7" t="str">
        <f t="shared" si="6"/>
        <v>20Derechos de monopolio por la introducción de licores destilados de producción extranjera144172196,14</v>
      </c>
      <c r="M46" t="s">
        <v>1906</v>
      </c>
      <c r="N46" s="136">
        <v>0.05</v>
      </c>
      <c r="P46" s="20">
        <f t="shared" si="7"/>
        <v>151380805.947</v>
      </c>
      <c r="Q46" s="136">
        <f t="shared" si="28"/>
        <v>0.05</v>
      </c>
      <c r="R46" s="136">
        <f t="shared" si="29"/>
        <v>0.05</v>
      </c>
      <c r="S46" s="20">
        <f t="shared" si="8"/>
        <v>158949846.24434999</v>
      </c>
      <c r="T46" s="136">
        <v>5.3285582759762556E-2</v>
      </c>
      <c r="U46" s="136">
        <v>1</v>
      </c>
      <c r="V46" s="20">
        <f t="shared" si="9"/>
        <v>317899692.48869997</v>
      </c>
    </row>
    <row r="47" spans="1:22" x14ac:dyDescent="0.3">
      <c r="A47" s="5">
        <v>20</v>
      </c>
      <c r="B47" s="8" t="s">
        <v>355</v>
      </c>
      <c r="C47" s="11">
        <f>+SUMIFS('2021'!Z:Z,'2021'!D:D,CRUCE!A47,'2021'!AT:AT,CRUCE!B47)</f>
        <v>0</v>
      </c>
      <c r="D47" s="11">
        <f>+SUMIFS('2022'!Y:Y,'2022'!D:D,CRUCE!A47,'2022'!AS:AS,CRUCE!B47)</f>
        <v>0</v>
      </c>
      <c r="E47" s="136" t="e">
        <f t="shared" si="2"/>
        <v>#DIV/0!</v>
      </c>
      <c r="F47" s="11">
        <f>+SUMIFS('2023'!Y:Y,'2023'!D:D,CRUCE!A47,'2023'!AS:AS,CRUCE!B47)</f>
        <v>348645040</v>
      </c>
      <c r="G47" s="136" t="e">
        <f t="shared" si="0"/>
        <v>#DIV/0!</v>
      </c>
      <c r="H47" s="139">
        <f>+SUMIFS('2024'!J:J,'2024'!D:D,CRUCE!A47,'2024'!AT:AT,CRUCE!B47)</f>
        <v>668700795.91999996</v>
      </c>
      <c r="I47" s="7" t="str">
        <f t="shared" si="3"/>
        <v>20Derechos de monopolio por la introducción de licores destilados de producción nacional0</v>
      </c>
      <c r="J47" s="7" t="str">
        <f t="shared" si="4"/>
        <v>20Derechos de monopolio por la introducción de licores destilados de producción nacional0</v>
      </c>
      <c r="K47" s="7" t="str">
        <f t="shared" si="5"/>
        <v>20Derechos de monopolio por la introducción de licores destilados de producción nacional348645040</v>
      </c>
      <c r="L47" s="7" t="str">
        <f t="shared" si="6"/>
        <v>20Derechos de monopolio por la introducción de licores destilados de producción nacional668700795,92</v>
      </c>
      <c r="M47" t="s">
        <v>1906</v>
      </c>
      <c r="N47" s="136">
        <v>0.05</v>
      </c>
      <c r="P47" s="20">
        <f t="shared" si="7"/>
        <v>702135835.71599996</v>
      </c>
      <c r="Q47" s="136">
        <f t="shared" si="28"/>
        <v>0.05</v>
      </c>
      <c r="R47" s="136">
        <f t="shared" si="29"/>
        <v>0.05</v>
      </c>
      <c r="S47" s="20">
        <f t="shared" si="8"/>
        <v>737242627.50179994</v>
      </c>
      <c r="T47" s="136">
        <v>0.05</v>
      </c>
      <c r="U47" s="136">
        <v>1</v>
      </c>
      <c r="V47" s="20">
        <f t="shared" si="9"/>
        <v>1474485255.0035999</v>
      </c>
    </row>
    <row r="48" spans="1:22" hidden="1" x14ac:dyDescent="0.3">
      <c r="A48" s="5">
        <v>20</v>
      </c>
      <c r="B48" s="8" t="s">
        <v>303</v>
      </c>
      <c r="C48" s="11">
        <f>+SUMIFS('2021'!Z:Z,'2021'!D:D,CRUCE!A48,'2021'!AT:AT,CRUCE!B48)</f>
        <v>1981669</v>
      </c>
      <c r="D48" s="11">
        <f>+SUMIFS('2022'!Y:Y,'2022'!D:D,CRUCE!A48,'2022'!AS:AS,CRUCE!B48)</f>
        <v>767101</v>
      </c>
      <c r="E48" s="136">
        <f t="shared" si="2"/>
        <v>-0.61290154914872264</v>
      </c>
      <c r="F48" s="11">
        <f>+SUMIFS('2023'!Y:Y,'2023'!D:D,CRUCE!A48,'2023'!AS:AS,CRUCE!B48)</f>
        <v>0</v>
      </c>
      <c r="G48" s="136">
        <f t="shared" si="0"/>
        <v>-1</v>
      </c>
      <c r="H48" s="11">
        <f>+SUMIFS('2024'!J:J,'2024'!D:D,CRUCE!A48,'2024'!AT:AT,CRUCE!B48)</f>
        <v>0</v>
      </c>
      <c r="I48" s="7" t="str">
        <f t="shared" si="3"/>
        <v>20E.S.E. Hospital San Antonio - Roldanillo (Valle)1981669</v>
      </c>
      <c r="J48" s="7" t="str">
        <f t="shared" si="4"/>
        <v>20E.S.E. Hospital San Antonio - Roldanillo (Valle)767101</v>
      </c>
      <c r="K48" s="7" t="str">
        <f t="shared" si="5"/>
        <v>20E.S.E. Hospital San Antonio - Roldanillo (Valle)0</v>
      </c>
      <c r="L48" s="7" t="str">
        <f t="shared" si="6"/>
        <v>20E.S.E. Hospital San Antonio - Roldanillo (Valle)0</v>
      </c>
      <c r="M48" t="s">
        <v>1906</v>
      </c>
      <c r="N48" s="136">
        <f t="shared" si="10"/>
        <v>-0.80645077457436132</v>
      </c>
      <c r="O48" s="136"/>
      <c r="P48" s="20">
        <f t="shared" si="7"/>
        <v>0</v>
      </c>
      <c r="Q48" s="136">
        <v>0.05</v>
      </c>
      <c r="R48" s="136">
        <v>0.05</v>
      </c>
      <c r="S48" s="20">
        <f t="shared" si="8"/>
        <v>0</v>
      </c>
      <c r="T48" s="136">
        <v>0.05</v>
      </c>
      <c r="U48" s="136">
        <v>0.05</v>
      </c>
      <c r="V48" s="20">
        <f t="shared" si="9"/>
        <v>0</v>
      </c>
    </row>
    <row r="49" spans="1:22" hidden="1" x14ac:dyDescent="0.3">
      <c r="A49" s="5">
        <v>20</v>
      </c>
      <c r="B49" s="8" t="s">
        <v>301</v>
      </c>
      <c r="C49" s="11">
        <f>+SUMIFS('2021'!Z:Z,'2021'!D:D,CRUCE!A49,'2021'!AT:AT,CRUCE!B49)</f>
        <v>0</v>
      </c>
      <c r="D49" s="11">
        <f>+SUMIFS('2022'!Y:Y,'2022'!D:D,CRUCE!A49,'2022'!AS:AS,CRUCE!B49)</f>
        <v>0</v>
      </c>
      <c r="E49" s="136" t="e">
        <f t="shared" si="2"/>
        <v>#DIV/0!</v>
      </c>
      <c r="F49" s="11">
        <f>+SUMIFS('2023'!Y:Y,'2023'!D:D,CRUCE!A49,'2023'!AS:AS,CRUCE!B49)</f>
        <v>0</v>
      </c>
      <c r="G49" s="136" t="e">
        <f t="shared" si="0"/>
        <v>#DIV/0!</v>
      </c>
      <c r="H49" s="11">
        <f>+SUMIFS('2024'!J:J,'2024'!D:D,CRUCE!A49,'2024'!AT:AT,CRUCE!B49)</f>
        <v>0</v>
      </c>
      <c r="I49" s="7" t="str">
        <f t="shared" si="3"/>
        <v>20E.S.E. Hospital Universitario San Jorge - Pereira0</v>
      </c>
      <c r="J49" s="7" t="str">
        <f t="shared" si="4"/>
        <v>20E.S.E. Hospital Universitario San Jorge - Pereira0</v>
      </c>
      <c r="K49" s="7" t="str">
        <f t="shared" si="5"/>
        <v>20E.S.E. Hospital Universitario San Jorge - Pereira0</v>
      </c>
      <c r="L49" s="7" t="str">
        <f t="shared" si="6"/>
        <v>20E.S.E. Hospital Universitario San Jorge - Pereira0</v>
      </c>
      <c r="M49" t="s">
        <v>1906</v>
      </c>
      <c r="N49" s="136" t="e">
        <f t="shared" si="10"/>
        <v>#DIV/0!</v>
      </c>
      <c r="O49" s="136"/>
      <c r="P49" s="20" t="e">
        <f t="shared" si="7"/>
        <v>#DIV/0!</v>
      </c>
      <c r="Q49" s="136">
        <v>0.05</v>
      </c>
      <c r="R49" s="136">
        <v>0.05</v>
      </c>
      <c r="S49" s="20" t="e">
        <f t="shared" si="8"/>
        <v>#DIV/0!</v>
      </c>
      <c r="T49" s="136">
        <v>0.05</v>
      </c>
      <c r="U49" s="136">
        <v>0.05</v>
      </c>
      <c r="V49" s="20" t="e">
        <f t="shared" si="9"/>
        <v>#DIV/0!</v>
      </c>
    </row>
    <row r="50" spans="1:22" hidden="1" x14ac:dyDescent="0.3">
      <c r="A50" s="5">
        <v>20</v>
      </c>
      <c r="B50" s="8" t="s">
        <v>305</v>
      </c>
      <c r="C50" s="11">
        <f>+SUMIFS('2021'!Z:Z,'2021'!D:D,CRUCE!A50,'2021'!AT:AT,CRUCE!B50)</f>
        <v>8955643</v>
      </c>
      <c r="D50" s="11">
        <f>+SUMIFS('2022'!Y:Y,'2022'!D:D,CRUCE!A50,'2022'!AS:AS,CRUCE!B50)</f>
        <v>13937621</v>
      </c>
      <c r="E50" s="136">
        <f t="shared" si="2"/>
        <v>0.55629484114094319</v>
      </c>
      <c r="F50" s="11">
        <f>+SUMIFS('2023'!Y:Y,'2023'!D:D,CRUCE!A50,'2023'!AS:AS,CRUCE!B50)</f>
        <v>0</v>
      </c>
      <c r="G50" s="136">
        <f t="shared" si="0"/>
        <v>-1</v>
      </c>
      <c r="H50" s="11">
        <f>+SUMIFS('2024'!J:J,'2024'!D:D,CRUCE!A50,'2024'!AT:AT,CRUCE!B50)</f>
        <v>0</v>
      </c>
      <c r="I50" s="7" t="str">
        <f t="shared" si="3"/>
        <v>20Empresas Públicas Municipales de Armenia8955643</v>
      </c>
      <c r="J50" s="7" t="str">
        <f t="shared" si="4"/>
        <v>20Empresas Públicas Municipales de Armenia13937621</v>
      </c>
      <c r="K50" s="7" t="str">
        <f t="shared" si="5"/>
        <v>20Empresas Públicas Municipales de Armenia0</v>
      </c>
      <c r="L50" s="7" t="str">
        <f t="shared" si="6"/>
        <v>20Empresas Públicas Municipales de Armenia0</v>
      </c>
      <c r="M50" t="s">
        <v>1906</v>
      </c>
      <c r="N50" s="136">
        <f t="shared" si="10"/>
        <v>-0.22185257942952841</v>
      </c>
      <c r="O50" s="136"/>
      <c r="P50" s="20">
        <f t="shared" si="7"/>
        <v>0</v>
      </c>
      <c r="Q50" s="136">
        <v>0.05</v>
      </c>
      <c r="R50" s="136">
        <v>0.05</v>
      </c>
      <c r="S50" s="20">
        <f t="shared" si="8"/>
        <v>0</v>
      </c>
      <c r="T50" s="136">
        <v>0.05</v>
      </c>
      <c r="U50" s="136">
        <v>0.05</v>
      </c>
      <c r="V50" s="20">
        <f t="shared" si="9"/>
        <v>0</v>
      </c>
    </row>
    <row r="51" spans="1:22" hidden="1" x14ac:dyDescent="0.3">
      <c r="A51" s="5">
        <v>20</v>
      </c>
      <c r="B51" s="8" t="s">
        <v>371</v>
      </c>
      <c r="C51" s="11">
        <f>+SUMIFS('2021'!Z:Z,'2021'!D:D,CRUCE!A51,'2021'!AT:AT,CRUCE!B51)</f>
        <v>36204909</v>
      </c>
      <c r="D51" s="11">
        <f>+SUMIFS('2022'!Y:Y,'2022'!D:D,CRUCE!A51,'2022'!AS:AS,CRUCE!B51)</f>
        <v>0</v>
      </c>
      <c r="E51" s="136">
        <f t="shared" si="2"/>
        <v>-1</v>
      </c>
      <c r="F51" s="11">
        <f>+SUMIFS('2023'!Y:Y,'2023'!D:D,CRUCE!A51,'2023'!AS:AS,CRUCE!B51)</f>
        <v>0</v>
      </c>
      <c r="G51" s="136" t="e">
        <f t="shared" si="0"/>
        <v>#DIV/0!</v>
      </c>
      <c r="H51" s="11">
        <f>+SUMIFS('2024'!J:J,'2024'!D:D,CRUCE!A51,'2024'!AT:AT,CRUCE!B51)</f>
        <v>0</v>
      </c>
      <c r="I51" s="7" t="str">
        <f t="shared" si="3"/>
        <v>20Establecimientos públicos36204909</v>
      </c>
      <c r="J51" s="7" t="str">
        <f t="shared" si="4"/>
        <v>20Establecimientos públicos0</v>
      </c>
      <c r="K51" s="7" t="str">
        <f t="shared" si="5"/>
        <v>20Establecimientos públicos0</v>
      </c>
      <c r="L51" s="7" t="str">
        <f t="shared" si="6"/>
        <v>20Establecimientos públicos0</v>
      </c>
      <c r="M51" t="s">
        <v>1906</v>
      </c>
      <c r="N51" s="136" t="e">
        <f t="shared" si="10"/>
        <v>#DIV/0!</v>
      </c>
      <c r="O51" s="136"/>
      <c r="P51" s="20" t="e">
        <f t="shared" si="7"/>
        <v>#DIV/0!</v>
      </c>
      <c r="Q51" s="136">
        <v>0.05</v>
      </c>
      <c r="R51" s="136">
        <v>0.05</v>
      </c>
      <c r="S51" s="20" t="e">
        <f t="shared" si="8"/>
        <v>#DIV/0!</v>
      </c>
      <c r="T51" s="136">
        <v>0.05</v>
      </c>
      <c r="U51" s="136">
        <v>0.05</v>
      </c>
      <c r="V51" s="20" t="e">
        <f t="shared" si="9"/>
        <v>#DIV/0!</v>
      </c>
    </row>
    <row r="52" spans="1:22" hidden="1" x14ac:dyDescent="0.3">
      <c r="A52" s="5">
        <v>20</v>
      </c>
      <c r="B52" s="8" t="s">
        <v>1320</v>
      </c>
      <c r="C52" s="11">
        <f>+SUMIFS('2021'!Z:Z,'2021'!D:D,CRUCE!A52,'2021'!AT:AT,CRUCE!B52)</f>
        <v>0</v>
      </c>
      <c r="D52" s="11">
        <f>+SUMIFS('2022'!Y:Y,'2022'!D:D,CRUCE!A52,'2022'!AS:AS,CRUCE!B52)</f>
        <v>0</v>
      </c>
      <c r="E52" s="136" t="e">
        <f t="shared" si="2"/>
        <v>#DIV/0!</v>
      </c>
      <c r="F52" s="11">
        <f>+SUMIFS('2023'!Y:Y,'2023'!D:D,CRUCE!A52,'2023'!AS:AS,CRUCE!B52)</f>
        <v>0</v>
      </c>
      <c r="G52" s="136" t="e">
        <f t="shared" si="0"/>
        <v>#DIV/0!</v>
      </c>
      <c r="H52" s="11">
        <f>+SUMIFS('2024'!J:J,'2024'!D:D,CRUCE!A52,'2024'!AT:AT,CRUCE!B52)</f>
        <v>0</v>
      </c>
      <c r="I52" s="7" t="str">
        <f t="shared" si="3"/>
        <v>20Estampilla Universidad de los Llanos0</v>
      </c>
      <c r="J52" s="7" t="str">
        <f t="shared" si="4"/>
        <v>20Estampilla Universidad de los Llanos0</v>
      </c>
      <c r="K52" s="7" t="str">
        <f t="shared" si="5"/>
        <v>20Estampilla Universidad de los Llanos0</v>
      </c>
      <c r="L52" s="7" t="str">
        <f t="shared" si="6"/>
        <v>20Estampilla Universidad de los Llanos0</v>
      </c>
      <c r="M52" t="s">
        <v>1906</v>
      </c>
      <c r="N52" s="136" t="e">
        <f t="shared" si="10"/>
        <v>#DIV/0!</v>
      </c>
      <c r="O52" s="136"/>
      <c r="P52" s="20" t="e">
        <f t="shared" si="7"/>
        <v>#DIV/0!</v>
      </c>
      <c r="Q52" s="136">
        <v>0.05</v>
      </c>
      <c r="R52" s="136">
        <v>0.05</v>
      </c>
      <c r="S52" s="20" t="e">
        <f t="shared" si="8"/>
        <v>#DIV/0!</v>
      </c>
      <c r="T52" s="136">
        <v>0.05</v>
      </c>
      <c r="U52" s="136">
        <v>0.05</v>
      </c>
      <c r="V52" s="20" t="e">
        <f t="shared" si="9"/>
        <v>#DIV/0!</v>
      </c>
    </row>
    <row r="53" spans="1:22" hidden="1" x14ac:dyDescent="0.3">
      <c r="A53" s="5">
        <v>20</v>
      </c>
      <c r="B53" s="8" t="s">
        <v>457</v>
      </c>
      <c r="C53" s="11">
        <f>+SUMIFS('2021'!Z:Z,'2021'!D:D,CRUCE!A53,'2021'!AT:AT,CRUCE!B53)</f>
        <v>2998.44</v>
      </c>
      <c r="D53" s="11">
        <f>+SUMIFS('2022'!Y:Y,'2022'!D:D,CRUCE!A53,'2022'!AS:AS,CRUCE!B53)</f>
        <v>0</v>
      </c>
      <c r="E53" s="136">
        <f t="shared" si="2"/>
        <v>-1</v>
      </c>
      <c r="F53" s="11">
        <f>+SUMIFS('2023'!Y:Y,'2023'!D:D,CRUCE!A53,'2023'!AS:AS,CRUCE!B53)</f>
        <v>0</v>
      </c>
      <c r="G53" s="136" t="e">
        <f t="shared" si="0"/>
        <v>#DIV/0!</v>
      </c>
      <c r="H53" s="11">
        <f>+SUMIFS('2024'!J:J,'2024'!D:D,CRUCE!A53,'2024'!AT:AT,CRUCE!B53)</f>
        <v>0</v>
      </c>
      <c r="I53" s="7" t="str">
        <f t="shared" si="3"/>
        <v>20Excedentes financieros Establecimientos públicos2998,44</v>
      </c>
      <c r="J53" s="7" t="str">
        <f t="shared" si="4"/>
        <v>20Excedentes financieros Establecimientos públicos0</v>
      </c>
      <c r="K53" s="7" t="str">
        <f t="shared" si="5"/>
        <v>20Excedentes financieros Establecimientos públicos0</v>
      </c>
      <c r="L53" s="7" t="str">
        <f t="shared" si="6"/>
        <v>20Excedentes financieros Establecimientos públicos0</v>
      </c>
      <c r="M53" t="s">
        <v>1906</v>
      </c>
      <c r="N53" s="136" t="e">
        <f t="shared" si="10"/>
        <v>#DIV/0!</v>
      </c>
      <c r="O53" s="136"/>
      <c r="P53" s="20" t="e">
        <f t="shared" si="7"/>
        <v>#DIV/0!</v>
      </c>
      <c r="Q53" s="136">
        <v>0.02</v>
      </c>
      <c r="R53" s="136">
        <v>0.02</v>
      </c>
      <c r="S53" s="20" t="e">
        <f t="shared" si="8"/>
        <v>#DIV/0!</v>
      </c>
      <c r="T53" s="136">
        <v>0.02</v>
      </c>
      <c r="U53" s="136">
        <v>0.02</v>
      </c>
      <c r="V53" s="20" t="e">
        <f t="shared" si="9"/>
        <v>#DIV/0!</v>
      </c>
    </row>
    <row r="54" spans="1:22" hidden="1" x14ac:dyDescent="0.3">
      <c r="A54" s="5">
        <v>20</v>
      </c>
      <c r="B54" s="8" t="s">
        <v>331</v>
      </c>
      <c r="C54" s="11">
        <f>+SUMIFS('2021'!Z:Z,'2021'!D:D,CRUCE!A54,'2021'!AT:AT,CRUCE!B54)</f>
        <v>0</v>
      </c>
      <c r="D54" s="11">
        <f>+SUMIFS('2022'!Y:Y,'2022'!D:D,CRUCE!A54,'2022'!AS:AS,CRUCE!B54)</f>
        <v>0</v>
      </c>
      <c r="E54" s="136" t="e">
        <f t="shared" si="2"/>
        <v>#DIV/0!</v>
      </c>
      <c r="F54" s="11">
        <f>+SUMIFS('2023'!Y:Y,'2023'!D:D,CRUCE!A54,'2023'!AS:AS,CRUCE!B54)</f>
        <v>0</v>
      </c>
      <c r="G54" s="136" t="e">
        <f t="shared" si="0"/>
        <v>#DIV/0!</v>
      </c>
      <c r="H54" s="11">
        <f>+SUMIFS('2024'!J:J,'2024'!D:D,CRUCE!A54,'2024'!AT:AT,CRUCE!B54)</f>
        <v>0</v>
      </c>
      <c r="I54" s="7" t="str">
        <f t="shared" si="3"/>
        <v>20Filandia0</v>
      </c>
      <c r="J54" s="7" t="str">
        <f t="shared" si="4"/>
        <v>20Filandia0</v>
      </c>
      <c r="K54" s="7" t="str">
        <f t="shared" si="5"/>
        <v>20Filandia0</v>
      </c>
      <c r="L54" s="7" t="str">
        <f t="shared" si="6"/>
        <v>20Filandia0</v>
      </c>
      <c r="M54" t="s">
        <v>1906</v>
      </c>
      <c r="N54" s="136" t="e">
        <f t="shared" si="10"/>
        <v>#DIV/0!</v>
      </c>
      <c r="O54" s="136"/>
      <c r="P54" s="20" t="e">
        <f t="shared" si="7"/>
        <v>#DIV/0!</v>
      </c>
      <c r="Q54" s="136">
        <v>0.05</v>
      </c>
      <c r="R54" s="136">
        <v>0.05</v>
      </c>
      <c r="S54" s="20" t="e">
        <f t="shared" si="8"/>
        <v>#DIV/0!</v>
      </c>
      <c r="T54" s="136">
        <v>0.05</v>
      </c>
      <c r="U54" s="136">
        <v>0.05</v>
      </c>
      <c r="V54" s="20" t="e">
        <f t="shared" si="9"/>
        <v>#DIV/0!</v>
      </c>
    </row>
    <row r="55" spans="1:22" hidden="1" x14ac:dyDescent="0.3">
      <c r="A55" s="5">
        <v>20</v>
      </c>
      <c r="B55" s="8" t="s">
        <v>1370</v>
      </c>
      <c r="C55" s="11">
        <f>+SUMIFS('2021'!Z:Z,'2021'!D:D,CRUCE!A55,'2021'!AT:AT,CRUCE!B55)</f>
        <v>0</v>
      </c>
      <c r="D55" s="11">
        <f>+SUMIFS('2022'!Y:Y,'2022'!D:D,CRUCE!A55,'2022'!AS:AS,CRUCE!B55)</f>
        <v>0</v>
      </c>
      <c r="E55" s="136" t="e">
        <f t="shared" si="2"/>
        <v>#DIV/0!</v>
      </c>
      <c r="F55" s="11">
        <f>+SUMIFS('2023'!Y:Y,'2023'!D:D,CRUCE!A55,'2023'!AS:AS,CRUCE!B55)</f>
        <v>212362401</v>
      </c>
      <c r="G55" s="136" t="e">
        <f t="shared" si="0"/>
        <v>#DIV/0!</v>
      </c>
      <c r="H55" s="11">
        <f>+SUMIFS('2024'!J:J,'2024'!D:D,CRUCE!A55,'2024'!AT:AT,CRUCE!B55)</f>
        <v>0</v>
      </c>
      <c r="I55" s="7" t="str">
        <f t="shared" si="3"/>
        <v>20Fondo de Garantia Regional del Cafe 0</v>
      </c>
      <c r="J55" s="7" t="str">
        <f t="shared" si="4"/>
        <v>20Fondo de Garantia Regional del Cafe 0</v>
      </c>
      <c r="K55" s="7" t="str">
        <f t="shared" si="5"/>
        <v>20Fondo de Garantia Regional del Cafe 212362401</v>
      </c>
      <c r="L55" s="7" t="str">
        <f t="shared" si="6"/>
        <v>20Fondo de Garantia Regional del Cafe 0</v>
      </c>
      <c r="M55" t="s">
        <v>1906</v>
      </c>
      <c r="N55" s="136" t="e">
        <f t="shared" si="10"/>
        <v>#DIV/0!</v>
      </c>
      <c r="O55" s="136"/>
      <c r="P55" s="20" t="e">
        <f t="shared" si="7"/>
        <v>#DIV/0!</v>
      </c>
      <c r="Q55" s="136">
        <v>0.03</v>
      </c>
      <c r="R55" s="136">
        <v>0.03</v>
      </c>
      <c r="S55" s="20" t="e">
        <f t="shared" si="8"/>
        <v>#DIV/0!</v>
      </c>
      <c r="T55" s="136">
        <v>0.03</v>
      </c>
      <c r="U55" s="136">
        <v>0.03</v>
      </c>
      <c r="V55" s="20" t="e">
        <f t="shared" si="9"/>
        <v>#DIV/0!</v>
      </c>
    </row>
    <row r="56" spans="1:22" hidden="1" x14ac:dyDescent="0.3">
      <c r="A56" s="5">
        <v>20</v>
      </c>
      <c r="B56" s="8" t="s">
        <v>333</v>
      </c>
      <c r="C56" s="11">
        <f>+SUMIFS('2021'!Z:Z,'2021'!D:D,CRUCE!A56,'2021'!AT:AT,CRUCE!B56)</f>
        <v>3369137</v>
      </c>
      <c r="D56" s="11">
        <f>+SUMIFS('2022'!Y:Y,'2022'!D:D,CRUCE!A56,'2022'!AS:AS,CRUCE!B56)</f>
        <v>0</v>
      </c>
      <c r="E56" s="136">
        <f t="shared" si="2"/>
        <v>-1</v>
      </c>
      <c r="F56" s="11">
        <f>+SUMIFS('2023'!Y:Y,'2023'!D:D,CRUCE!A56,'2023'!AS:AS,CRUCE!B56)</f>
        <v>0</v>
      </c>
      <c r="G56" s="136" t="e">
        <f t="shared" si="0"/>
        <v>#DIV/0!</v>
      </c>
      <c r="H56" s="11">
        <f>+SUMIFS('2024'!J:J,'2024'!D:D,CRUCE!A56,'2024'!AT:AT,CRUCE!B56)</f>
        <v>0</v>
      </c>
      <c r="I56" s="7" t="str">
        <f t="shared" si="3"/>
        <v>20Génova3369137</v>
      </c>
      <c r="J56" s="7" t="str">
        <f t="shared" si="4"/>
        <v>20Génova0</v>
      </c>
      <c r="K56" s="7" t="str">
        <f t="shared" si="5"/>
        <v>20Génova0</v>
      </c>
      <c r="L56" s="7" t="str">
        <f t="shared" si="6"/>
        <v>20Génova0</v>
      </c>
      <c r="M56" t="s">
        <v>1906</v>
      </c>
      <c r="N56" s="136" t="e">
        <f t="shared" si="10"/>
        <v>#DIV/0!</v>
      </c>
      <c r="O56" s="136"/>
      <c r="P56" s="20" t="e">
        <f t="shared" si="7"/>
        <v>#DIV/0!</v>
      </c>
      <c r="Q56" s="136">
        <v>0.03</v>
      </c>
      <c r="R56" s="136">
        <v>0.03</v>
      </c>
      <c r="S56" s="20" t="e">
        <f t="shared" si="8"/>
        <v>#DIV/0!</v>
      </c>
      <c r="T56" s="136">
        <v>0.03</v>
      </c>
      <c r="U56" s="136">
        <v>0.03</v>
      </c>
      <c r="V56" s="20" t="e">
        <f t="shared" si="9"/>
        <v>#DIV/0!</v>
      </c>
    </row>
    <row r="57" spans="1:22" x14ac:dyDescent="0.3">
      <c r="A57" s="5">
        <v>20</v>
      </c>
      <c r="B57" s="8" t="s">
        <v>104</v>
      </c>
      <c r="C57" s="11">
        <f>+SUMIFS('2021'!Z:Z,'2021'!D:D,CRUCE!A57,'2021'!AT:AT,CRUCE!B57)</f>
        <v>256712808.25</v>
      </c>
      <c r="D57" s="11">
        <f>+SUMIFS('2022'!Y:Y,'2022'!D:D,CRUCE!A57,'2022'!AS:AS,CRUCE!B57)</f>
        <v>643989000</v>
      </c>
      <c r="E57" s="136">
        <f t="shared" si="2"/>
        <v>1.508597075424654</v>
      </c>
      <c r="F57" s="11">
        <f>+SUMIFS('2023'!Y:Y,'2023'!D:D,CRUCE!A57,'2023'!AS:AS,CRUCE!B57)</f>
        <v>384300000</v>
      </c>
      <c r="G57" s="136">
        <f t="shared" si="0"/>
        <v>-0.40325067664199232</v>
      </c>
      <c r="H57" s="140">
        <f>+SUMIFS('2024'!J:J,'2024'!D:D,CRUCE!A57,'2024'!AT:AT,CRUCE!B57)</f>
        <v>401521480.89999998</v>
      </c>
      <c r="I57" s="7" t="str">
        <f t="shared" si="3"/>
        <v>20Impuesto al consumo de cervezas, sifones, refajos y mezclas - Extranjeras256712808,25</v>
      </c>
      <c r="J57" s="7" t="str">
        <f t="shared" si="4"/>
        <v>20Impuesto al consumo de cervezas, sifones, refajos y mezclas - Extranjeras643989000</v>
      </c>
      <c r="K57" s="7" t="str">
        <f t="shared" si="5"/>
        <v>20Impuesto al consumo de cervezas, sifones, refajos y mezclas - Extranjeras384300000</v>
      </c>
      <c r="L57" s="7" t="str">
        <f t="shared" si="6"/>
        <v>20Impuesto al consumo de cervezas, sifones, refajos y mezclas - Extranjeras401521480,9</v>
      </c>
      <c r="M57" t="s">
        <v>1906</v>
      </c>
      <c r="N57" s="136">
        <v>0.05</v>
      </c>
      <c r="O57" s="11">
        <f>+'[1]F Y U 2024 Presupuesto OK R (2)'!$F$17</f>
        <v>21471737000</v>
      </c>
      <c r="P57" s="20">
        <f t="shared" si="7"/>
        <v>421597554.94499999</v>
      </c>
      <c r="Q57" s="136">
        <f t="shared" ref="Q57:Q58" si="31">+N57</f>
        <v>0.05</v>
      </c>
      <c r="R57" s="136">
        <f t="shared" ref="R57:R58" si="32">+Q57</f>
        <v>0.05</v>
      </c>
      <c r="S57" s="20">
        <f t="shared" si="8"/>
        <v>442677432.69225001</v>
      </c>
      <c r="T57" s="136">
        <v>0.03</v>
      </c>
      <c r="U57" s="136">
        <f t="shared" ref="U57:U58" si="33">+R57</f>
        <v>0.05</v>
      </c>
      <c r="V57" s="20">
        <f t="shared" si="9"/>
        <v>464811304.32686251</v>
      </c>
    </row>
    <row r="58" spans="1:22" x14ac:dyDescent="0.3">
      <c r="A58" s="5">
        <v>20</v>
      </c>
      <c r="B58" s="8" t="s">
        <v>102</v>
      </c>
      <c r="C58" s="11">
        <f>+SUMIFS('2021'!Z:Z,'2021'!D:D,CRUCE!A58,'2021'!AT:AT,CRUCE!B58)</f>
        <v>17040804285.6</v>
      </c>
      <c r="D58" s="11">
        <f>+SUMIFS('2022'!Y:Y,'2022'!D:D,CRUCE!A58,'2022'!AS:AS,CRUCE!B58)</f>
        <v>17223480024</v>
      </c>
      <c r="E58" s="136">
        <f t="shared" si="2"/>
        <v>1.0719901205271526E-2</v>
      </c>
      <c r="F58" s="11">
        <f>+SUMIFS('2023'!Y:Y,'2023'!D:D,CRUCE!A58,'2023'!AS:AS,CRUCE!B58)</f>
        <v>22088213976</v>
      </c>
      <c r="G58" s="136">
        <f t="shared" si="0"/>
        <v>0.28244779482550875</v>
      </c>
      <c r="H58" s="140">
        <f>+SUMIFS('2024'!J:J,'2024'!D:D,CRUCE!A58,'2024'!AT:AT,CRUCE!B58)</f>
        <v>21070215518.369999</v>
      </c>
      <c r="I58" s="7" t="str">
        <f t="shared" si="3"/>
        <v>20Impuesto al consumo de cervezas, sifones, refajos y mezclas - Nacionales17040804285,6</v>
      </c>
      <c r="J58" s="7" t="str">
        <f t="shared" si="4"/>
        <v>20Impuesto al consumo de cervezas, sifones, refajos y mezclas - Nacionales17223480024</v>
      </c>
      <c r="K58" s="7" t="str">
        <f t="shared" si="5"/>
        <v>20Impuesto al consumo de cervezas, sifones, refajos y mezclas - Nacionales22088213976</v>
      </c>
      <c r="L58" s="7" t="str">
        <f t="shared" si="6"/>
        <v>20Impuesto al consumo de cervezas, sifones, refajos y mezclas - Nacionales21070215518,37</v>
      </c>
      <c r="M58" t="s">
        <v>1906</v>
      </c>
      <c r="N58" s="136">
        <v>0.05</v>
      </c>
      <c r="O58" s="11">
        <f>+H58+H57-O57</f>
        <v>-0.72999954223632813</v>
      </c>
      <c r="P58" s="20">
        <f t="shared" si="7"/>
        <v>22123726294.288498</v>
      </c>
      <c r="Q58" s="136">
        <f t="shared" si="31"/>
        <v>0.05</v>
      </c>
      <c r="R58" s="136">
        <f t="shared" si="32"/>
        <v>0.05</v>
      </c>
      <c r="S58" s="20">
        <f t="shared" si="8"/>
        <v>23229912609.002922</v>
      </c>
      <c r="T58" s="136">
        <v>0.02</v>
      </c>
      <c r="U58" s="136">
        <f t="shared" si="33"/>
        <v>0.05</v>
      </c>
      <c r="V58" s="20">
        <f t="shared" si="9"/>
        <v>24391408239.453068</v>
      </c>
    </row>
    <row r="59" spans="1:22" hidden="1" x14ac:dyDescent="0.3">
      <c r="A59" s="5">
        <v>20</v>
      </c>
      <c r="B59" s="8" t="s">
        <v>92</v>
      </c>
      <c r="C59" s="11">
        <f>+SUMIFS('2021'!Z:Z,'2021'!D:D,CRUCE!A59,'2021'!AT:AT,CRUCE!B59)</f>
        <v>2986190640.6100001</v>
      </c>
      <c r="D59" s="11">
        <f>+SUMIFS('2022'!Y:Y,'2022'!D:D,CRUCE!A59,'2022'!AS:AS,CRUCE!B59)</f>
        <v>0</v>
      </c>
      <c r="E59" s="136">
        <f t="shared" si="2"/>
        <v>-1</v>
      </c>
      <c r="F59" s="11">
        <f>+SUMIFS('2023'!Y:Y,'2023'!D:D,CRUCE!A59,'2023'!AS:AS,CRUCE!B59)</f>
        <v>0</v>
      </c>
      <c r="G59" s="136" t="e">
        <f t="shared" si="0"/>
        <v>#DIV/0!</v>
      </c>
      <c r="H59" s="11">
        <f>+SUMIFS('2024'!J:J,'2024'!D:D,CRUCE!A59,'2024'!AT:AT,CRUCE!B59)</f>
        <v>0</v>
      </c>
      <c r="I59" s="7" t="str">
        <f t="shared" si="3"/>
        <v>20Impuesto al consumo de licores - Extranjeros2986190640,61</v>
      </c>
      <c r="J59" s="7" t="str">
        <f t="shared" si="4"/>
        <v>20Impuesto al consumo de licores - Extranjeros0</v>
      </c>
      <c r="K59" s="7" t="str">
        <f t="shared" si="5"/>
        <v>20Impuesto al consumo de licores - Extranjeros0</v>
      </c>
      <c r="L59" s="7" t="str">
        <f t="shared" si="6"/>
        <v>20Impuesto al consumo de licores - Extranjeros0</v>
      </c>
      <c r="M59" t="s">
        <v>1906</v>
      </c>
      <c r="N59" s="136" t="e">
        <f t="shared" si="10"/>
        <v>#DIV/0!</v>
      </c>
      <c r="O59" s="136"/>
      <c r="P59" s="20" t="e">
        <f t="shared" si="7"/>
        <v>#DIV/0!</v>
      </c>
      <c r="Q59" s="136">
        <v>0.05</v>
      </c>
      <c r="R59" s="136">
        <v>0.05</v>
      </c>
      <c r="S59" s="20" t="e">
        <f t="shared" si="8"/>
        <v>#DIV/0!</v>
      </c>
      <c r="T59" s="136">
        <v>0.05</v>
      </c>
      <c r="U59" s="136">
        <v>0.05</v>
      </c>
      <c r="V59" s="20" t="e">
        <f t="shared" si="9"/>
        <v>#DIV/0!</v>
      </c>
    </row>
    <row r="60" spans="1:22" hidden="1" x14ac:dyDescent="0.3">
      <c r="A60" s="5">
        <v>20</v>
      </c>
      <c r="B60" s="8" t="s">
        <v>90</v>
      </c>
      <c r="C60" s="11">
        <f>+SUMIFS('2021'!Z:Z,'2021'!D:D,CRUCE!A60,'2021'!AT:AT,CRUCE!B60)</f>
        <v>360.84</v>
      </c>
      <c r="D60" s="11">
        <f>+SUMIFS('2022'!Y:Y,'2022'!D:D,CRUCE!A60,'2022'!AS:AS,CRUCE!B60)</f>
        <v>0</v>
      </c>
      <c r="E60" s="136">
        <f t="shared" si="2"/>
        <v>-1</v>
      </c>
      <c r="F60" s="11">
        <f>+SUMIFS('2023'!Y:Y,'2023'!D:D,CRUCE!A60,'2023'!AS:AS,CRUCE!B60)</f>
        <v>0</v>
      </c>
      <c r="G60" s="136" t="e">
        <f t="shared" si="0"/>
        <v>#DIV/0!</v>
      </c>
      <c r="H60" s="11">
        <f>+SUMIFS('2024'!J:J,'2024'!D:D,CRUCE!A60,'2024'!AT:AT,CRUCE!B60)</f>
        <v>0</v>
      </c>
      <c r="I60" s="7" t="str">
        <f t="shared" si="3"/>
        <v>20Impuesto al consumo de licores - Nacionales360,84</v>
      </c>
      <c r="J60" s="7" t="str">
        <f t="shared" si="4"/>
        <v>20Impuesto al consumo de licores - Nacionales0</v>
      </c>
      <c r="K60" s="7" t="str">
        <f t="shared" si="5"/>
        <v>20Impuesto al consumo de licores - Nacionales0</v>
      </c>
      <c r="L60" s="7" t="str">
        <f t="shared" si="6"/>
        <v>20Impuesto al consumo de licores - Nacionales0</v>
      </c>
      <c r="M60" t="s">
        <v>1906</v>
      </c>
      <c r="N60" s="136" t="e">
        <f t="shared" si="10"/>
        <v>#DIV/0!</v>
      </c>
      <c r="O60" s="136"/>
      <c r="P60" s="20" t="e">
        <f t="shared" si="7"/>
        <v>#DIV/0!</v>
      </c>
      <c r="Q60" s="136">
        <v>0.19</v>
      </c>
      <c r="R60" s="136">
        <v>0.19</v>
      </c>
      <c r="S60" s="20" t="e">
        <f t="shared" si="8"/>
        <v>#DIV/0!</v>
      </c>
      <c r="T60" s="136">
        <v>0.19</v>
      </c>
      <c r="U60" s="136">
        <v>0.19</v>
      </c>
      <c r="V60" s="20" t="e">
        <f t="shared" si="9"/>
        <v>#DIV/0!</v>
      </c>
    </row>
    <row r="61" spans="1:22" x14ac:dyDescent="0.3">
      <c r="A61" s="5">
        <v>20</v>
      </c>
      <c r="B61" s="8" t="s">
        <v>1541</v>
      </c>
      <c r="C61" s="11">
        <f>+SUMIFS('2021'!Z:Z,'2021'!D:D,CRUCE!A61,'2021'!AT:AT,CRUCE!B61)</f>
        <v>0</v>
      </c>
      <c r="D61" s="11">
        <f>+SUMIFS('2022'!Y:Y,'2022'!D:D,CRUCE!A61,'2022'!AS:AS,CRUCE!B61)</f>
        <v>0</v>
      </c>
      <c r="E61" s="136" t="e">
        <f t="shared" si="2"/>
        <v>#DIV/0!</v>
      </c>
      <c r="F61" s="11">
        <f>+SUMIFS('2023'!Y:Y,'2023'!D:D,CRUCE!A61,'2023'!AS:AS,CRUCE!B61)</f>
        <v>0</v>
      </c>
      <c r="G61" s="136" t="e">
        <f t="shared" si="0"/>
        <v>#DIV/0!</v>
      </c>
      <c r="H61" s="140">
        <f>+SUMIFS('2024'!J:J,'2024'!D:D,CRUCE!A61,'2024'!AT:AT,CRUCE!B61)</f>
        <v>1775623247.01</v>
      </c>
      <c r="I61" s="7" t="str">
        <f t="shared" si="3"/>
        <v>20Impuesto al consumo de vinos, aperitivos y similares - Componente Ad Valorem de Producción Extranjer0</v>
      </c>
      <c r="J61" s="7" t="str">
        <f t="shared" si="4"/>
        <v>20Impuesto al consumo de vinos, aperitivos y similares - Componente Ad Valorem de Producción Extranjer0</v>
      </c>
      <c r="K61" s="7" t="str">
        <f t="shared" si="5"/>
        <v>20Impuesto al consumo de vinos, aperitivos y similares - Componente Ad Valorem de Producción Extranjer0</v>
      </c>
      <c r="L61" s="7" t="str">
        <f t="shared" si="6"/>
        <v>20Impuesto al consumo de vinos, aperitivos y similares - Componente Ad Valorem de Producción Extranjer1775623247,01</v>
      </c>
      <c r="M61" t="s">
        <v>1906</v>
      </c>
      <c r="N61" s="136">
        <v>0.05</v>
      </c>
      <c r="P61" s="20">
        <f t="shared" si="7"/>
        <v>1864404409.3605001</v>
      </c>
      <c r="Q61" s="136">
        <f t="shared" ref="Q61:Q65" si="34">+N61</f>
        <v>0.05</v>
      </c>
      <c r="R61" s="136">
        <f t="shared" ref="R61:R65" si="35">+Q61</f>
        <v>0.05</v>
      </c>
      <c r="S61" s="20">
        <f t="shared" si="8"/>
        <v>1957624629.8285251</v>
      </c>
      <c r="T61" s="136">
        <v>0.05</v>
      </c>
      <c r="U61" s="136">
        <f t="shared" ref="U61:U65" si="36">+R61</f>
        <v>0.05</v>
      </c>
      <c r="V61" s="20">
        <f t="shared" si="9"/>
        <v>2055505861.3199513</v>
      </c>
    </row>
    <row r="62" spans="1:22" x14ac:dyDescent="0.3">
      <c r="A62" s="5">
        <v>20</v>
      </c>
      <c r="B62" s="8" t="s">
        <v>1538</v>
      </c>
      <c r="C62" s="11">
        <f>+SUMIFS('2021'!Z:Z,'2021'!D:D,CRUCE!A62,'2021'!AT:AT,CRUCE!B62)</f>
        <v>0</v>
      </c>
      <c r="D62" s="11">
        <f>+SUMIFS('2022'!Y:Y,'2022'!D:D,CRUCE!A62,'2022'!AS:AS,CRUCE!B62)</f>
        <v>0</v>
      </c>
      <c r="E62" s="136" t="e">
        <f t="shared" si="2"/>
        <v>#DIV/0!</v>
      </c>
      <c r="F62" s="11">
        <f>+SUMIFS('2023'!Y:Y,'2023'!D:D,CRUCE!A62,'2023'!AS:AS,CRUCE!B62)</f>
        <v>0</v>
      </c>
      <c r="G62" s="136" t="e">
        <f t="shared" si="0"/>
        <v>#DIV/0!</v>
      </c>
      <c r="H62" s="140">
        <f>+SUMIFS('2024'!J:J,'2024'!D:D,CRUCE!A62,'2024'!AT:AT,CRUCE!B62)</f>
        <v>578511013.26999998</v>
      </c>
      <c r="I62" s="7" t="str">
        <f t="shared" si="3"/>
        <v>20Impuesto al consumo de vinos, aperitivos y similares - Componente Ad Valorem de Producción Nacional0</v>
      </c>
      <c r="J62" s="7" t="str">
        <f t="shared" si="4"/>
        <v>20Impuesto al consumo de vinos, aperitivos y similares - Componente Ad Valorem de Producción Nacional0</v>
      </c>
      <c r="K62" s="7" t="str">
        <f t="shared" si="5"/>
        <v>20Impuesto al consumo de vinos, aperitivos y similares - Componente Ad Valorem de Producción Nacional0</v>
      </c>
      <c r="L62" s="7" t="str">
        <f t="shared" si="6"/>
        <v>20Impuesto al consumo de vinos, aperitivos y similares - Componente Ad Valorem de Producción Nacional578511013,27</v>
      </c>
      <c r="M62" t="s">
        <v>1906</v>
      </c>
      <c r="N62" s="136">
        <v>0.05</v>
      </c>
      <c r="P62" s="20">
        <f t="shared" si="7"/>
        <v>607436563.93349993</v>
      </c>
      <c r="Q62" s="136">
        <f t="shared" si="34"/>
        <v>0.05</v>
      </c>
      <c r="R62" s="136">
        <f t="shared" si="35"/>
        <v>0.05</v>
      </c>
      <c r="S62" s="20">
        <f t="shared" si="8"/>
        <v>637808392.13017488</v>
      </c>
      <c r="T62" s="136">
        <v>0.19</v>
      </c>
      <c r="U62" s="136">
        <f t="shared" si="36"/>
        <v>0.05</v>
      </c>
      <c r="V62" s="20">
        <f t="shared" si="9"/>
        <v>669698811.73668361</v>
      </c>
    </row>
    <row r="63" spans="1:22" x14ac:dyDescent="0.3">
      <c r="A63" s="5">
        <v>20</v>
      </c>
      <c r="B63" s="8" t="s">
        <v>98</v>
      </c>
      <c r="C63" s="11">
        <f>+SUMIFS('2021'!Z:Z,'2021'!D:D,CRUCE!A63,'2021'!AT:AT,CRUCE!B63)</f>
        <v>2400475144.3800001</v>
      </c>
      <c r="D63" s="11">
        <f>+SUMIFS('2022'!Y:Y,'2022'!D:D,CRUCE!A63,'2022'!AS:AS,CRUCE!B63)</f>
        <v>2953314500</v>
      </c>
      <c r="E63" s="136">
        <f t="shared" si="2"/>
        <v>0.23030413662657959</v>
      </c>
      <c r="F63" s="11">
        <f>+SUMIFS('2023'!Y:Y,'2023'!D:D,CRUCE!A63,'2023'!AS:AS,CRUCE!B63)</f>
        <v>2311195906</v>
      </c>
      <c r="G63" s="136">
        <f t="shared" si="0"/>
        <v>-0.21742303232520613</v>
      </c>
      <c r="H63" s="140">
        <f>+SUMIFS('2024'!J:J,'2024'!D:D,CRUCE!A63,'2024'!AT:AT,CRUCE!B63)</f>
        <v>1740194691.8099999</v>
      </c>
      <c r="I63" s="7" t="str">
        <f t="shared" si="3"/>
        <v>20Impuesto al consumo de vinos, aperitivos y similares - Extranjeros2400475144,38</v>
      </c>
      <c r="J63" s="7" t="str">
        <f t="shared" si="4"/>
        <v>20Impuesto al consumo de vinos, aperitivos y similares - Extranjeros2953314500</v>
      </c>
      <c r="K63" s="7" t="str">
        <f t="shared" si="5"/>
        <v>20Impuesto al consumo de vinos, aperitivos y similares - Extranjeros2311195906</v>
      </c>
      <c r="L63" s="7" t="str">
        <f t="shared" si="6"/>
        <v>20Impuesto al consumo de vinos, aperitivos y similares - Extranjeros1740194691,81</v>
      </c>
      <c r="M63" t="s">
        <v>1906</v>
      </c>
      <c r="N63" s="136">
        <v>0.05</v>
      </c>
      <c r="P63" s="20">
        <f t="shared" si="7"/>
        <v>1827204426.4004998</v>
      </c>
      <c r="Q63" s="136">
        <f t="shared" si="34"/>
        <v>0.05</v>
      </c>
      <c r="R63" s="136">
        <f t="shared" si="35"/>
        <v>0.05</v>
      </c>
      <c r="S63" s="20">
        <f t="shared" si="8"/>
        <v>1918564647.7205248</v>
      </c>
      <c r="T63" s="136">
        <v>0.05</v>
      </c>
      <c r="U63" s="136">
        <f t="shared" si="36"/>
        <v>0.05</v>
      </c>
      <c r="V63" s="20">
        <f t="shared" si="9"/>
        <v>2014492880.1065509</v>
      </c>
    </row>
    <row r="64" spans="1:22" x14ac:dyDescent="0.3">
      <c r="A64" s="5">
        <v>20</v>
      </c>
      <c r="B64" s="8" t="s">
        <v>96</v>
      </c>
      <c r="C64" s="11">
        <f>+SUMIFS('2021'!Z:Z,'2021'!D:D,CRUCE!A64,'2021'!AT:AT,CRUCE!B64)</f>
        <v>1059472045.6799999</v>
      </c>
      <c r="D64" s="11">
        <f>+SUMIFS('2022'!Y:Y,'2022'!D:D,CRUCE!A64,'2022'!AS:AS,CRUCE!B64)</f>
        <v>1011853570.6</v>
      </c>
      <c r="E64" s="136">
        <f t="shared" si="2"/>
        <v>-4.4945475696281351E-2</v>
      </c>
      <c r="F64" s="11">
        <f>+SUMIFS('2023'!Y:Y,'2023'!D:D,CRUCE!A64,'2023'!AS:AS,CRUCE!B64)</f>
        <v>822684662.79999995</v>
      </c>
      <c r="G64" s="136">
        <f t="shared" si="0"/>
        <v>-0.1869528490054429</v>
      </c>
      <c r="H64" s="140">
        <f>+SUMIFS('2024'!J:J,'2024'!D:D,CRUCE!A64,'2024'!AT:AT,CRUCE!B64)</f>
        <v>567323048.47000003</v>
      </c>
      <c r="I64" s="7" t="str">
        <f t="shared" si="3"/>
        <v>20Impuesto al consumo de vinos, aperitivos y similares - Nacionales1059472045,68</v>
      </c>
      <c r="J64" s="7" t="str">
        <f t="shared" si="4"/>
        <v>20Impuesto al consumo de vinos, aperitivos y similares - Nacionales1011853570,6</v>
      </c>
      <c r="K64" s="7" t="str">
        <f t="shared" si="5"/>
        <v>20Impuesto al consumo de vinos, aperitivos y similares - Nacionales822684662,8</v>
      </c>
      <c r="L64" s="7" t="str">
        <f t="shared" si="6"/>
        <v>20Impuesto al consumo de vinos, aperitivos y similares - Nacionales567323048,47</v>
      </c>
      <c r="M64" t="s">
        <v>1906</v>
      </c>
      <c r="N64" s="136">
        <v>0.05</v>
      </c>
      <c r="P64" s="20">
        <f t="shared" si="7"/>
        <v>595689200.89350009</v>
      </c>
      <c r="Q64" s="136">
        <f t="shared" si="34"/>
        <v>0.05</v>
      </c>
      <c r="R64" s="136">
        <f t="shared" si="35"/>
        <v>0.05</v>
      </c>
      <c r="S64" s="20">
        <f t="shared" si="8"/>
        <v>625473660.93817508</v>
      </c>
      <c r="T64" s="136">
        <v>0.05</v>
      </c>
      <c r="U64" s="136">
        <f t="shared" si="36"/>
        <v>0.05</v>
      </c>
      <c r="V64" s="20">
        <f t="shared" si="9"/>
        <v>656747343.98508382</v>
      </c>
    </row>
    <row r="65" spans="1:22" x14ac:dyDescent="0.3">
      <c r="A65" s="5">
        <v>20</v>
      </c>
      <c r="B65" s="8" t="s">
        <v>79</v>
      </c>
      <c r="C65" s="11">
        <f>+SUMIFS('2021'!Z:Z,'2021'!D:D,CRUCE!A65,'2021'!AT:AT,CRUCE!B65)</f>
        <v>660196800</v>
      </c>
      <c r="D65" s="11">
        <f>+SUMIFS('2022'!Y:Y,'2022'!D:D,CRUCE!A65,'2022'!AS:AS,CRUCE!B65)</f>
        <v>633596100</v>
      </c>
      <c r="E65" s="136">
        <f t="shared" si="2"/>
        <v>-4.0292076544448566E-2</v>
      </c>
      <c r="F65" s="11">
        <f>+SUMIFS('2023'!Y:Y,'2023'!D:D,CRUCE!A65,'2023'!AS:AS,CRUCE!B65)</f>
        <v>728410100</v>
      </c>
      <c r="G65" s="136">
        <f t="shared" si="0"/>
        <v>0.14964422918638545</v>
      </c>
      <c r="H65" s="140">
        <f>+SUMIFS('2024'!J:J,'2024'!D:D,CRUCE!A65,'2024'!AT:AT,CRUCE!B65)</f>
        <v>763018000</v>
      </c>
      <c r="I65" s="7" t="str">
        <f t="shared" si="3"/>
        <v>20Impuesto al degüello de ganado mayor660196800</v>
      </c>
      <c r="J65" s="7" t="str">
        <f t="shared" si="4"/>
        <v>20Impuesto al degüello de ganado mayor633596100</v>
      </c>
      <c r="K65" s="7" t="str">
        <f t="shared" si="5"/>
        <v>20Impuesto al degüello de ganado mayor728410100</v>
      </c>
      <c r="L65" s="7" t="str">
        <f t="shared" si="6"/>
        <v>20Impuesto al degüello de ganado mayor763018000</v>
      </c>
      <c r="M65" t="s">
        <v>1906</v>
      </c>
      <c r="N65" s="136">
        <f t="shared" si="10"/>
        <v>5.4676076320968443E-2</v>
      </c>
      <c r="P65" s="20">
        <f t="shared" si="7"/>
        <v>804736830.4022727</v>
      </c>
      <c r="Q65" s="136">
        <f t="shared" si="34"/>
        <v>5.4676076320968443E-2</v>
      </c>
      <c r="R65" s="136">
        <f t="shared" si="35"/>
        <v>5.4676076320968443E-2</v>
      </c>
      <c r="S65" s="20">
        <f t="shared" si="8"/>
        <v>848736682.75964165</v>
      </c>
      <c r="T65" s="136">
        <v>0.05</v>
      </c>
      <c r="U65" s="136">
        <f t="shared" si="36"/>
        <v>5.4676076320968443E-2</v>
      </c>
      <c r="V65" s="20">
        <f t="shared" si="9"/>
        <v>895142274.4026134</v>
      </c>
    </row>
    <row r="66" spans="1:22" hidden="1" x14ac:dyDescent="0.3">
      <c r="A66" s="5">
        <v>20</v>
      </c>
      <c r="B66" s="8" t="s">
        <v>63</v>
      </c>
      <c r="C66" s="11">
        <f>+SUMIFS('2021'!Z:Z,'2021'!D:D,CRUCE!A66,'2021'!AT:AT,CRUCE!B66)</f>
        <v>707863.9</v>
      </c>
      <c r="D66" s="11">
        <f>+SUMIFS('2022'!Y:Y,'2022'!D:D,CRUCE!A66,'2022'!AS:AS,CRUCE!B66)</f>
        <v>0</v>
      </c>
      <c r="E66" s="136">
        <f t="shared" si="2"/>
        <v>-1</v>
      </c>
      <c r="F66" s="11">
        <f>+SUMIFS('2023'!Y:Y,'2023'!D:D,CRUCE!A66,'2023'!AS:AS,CRUCE!B66)</f>
        <v>0</v>
      </c>
      <c r="G66" s="136" t="e">
        <f t="shared" si="0"/>
        <v>#DIV/0!</v>
      </c>
      <c r="H66" s="11">
        <f>+SUMIFS('2024'!J:J,'2024'!D:D,CRUCE!A66,'2024'!AT:AT,CRUCE!B66)</f>
        <v>0</v>
      </c>
      <c r="I66" s="7" t="str">
        <f t="shared" si="3"/>
        <v>20Impuesto de Registro - Cámaras de Comercio707863,9</v>
      </c>
      <c r="J66" s="7" t="str">
        <f t="shared" si="4"/>
        <v>20Impuesto de Registro - Cámaras de Comercio0</v>
      </c>
      <c r="K66" s="7" t="str">
        <f t="shared" si="5"/>
        <v>20Impuesto de Registro - Cámaras de Comercio0</v>
      </c>
      <c r="L66" s="7" t="str">
        <f t="shared" si="6"/>
        <v>20Impuesto de Registro - Cámaras de Comercio0</v>
      </c>
      <c r="M66" t="s">
        <v>1906</v>
      </c>
      <c r="N66" s="136" t="e">
        <f t="shared" si="10"/>
        <v>#DIV/0!</v>
      </c>
      <c r="O66" s="136"/>
      <c r="P66" s="20" t="e">
        <f t="shared" si="7"/>
        <v>#DIV/0!</v>
      </c>
      <c r="Q66" s="136">
        <v>0.05</v>
      </c>
      <c r="R66" s="136">
        <v>0.05</v>
      </c>
      <c r="S66" s="20" t="e">
        <f t="shared" si="8"/>
        <v>#DIV/0!</v>
      </c>
      <c r="T66" s="136">
        <v>0.05</v>
      </c>
      <c r="U66" s="136">
        <v>0.05</v>
      </c>
      <c r="V66" s="20" t="e">
        <f t="shared" si="9"/>
        <v>#DIV/0!</v>
      </c>
    </row>
    <row r="67" spans="1:22" x14ac:dyDescent="0.3">
      <c r="A67" s="5">
        <v>20</v>
      </c>
      <c r="B67" s="8" t="s">
        <v>1030</v>
      </c>
      <c r="C67" s="11">
        <f>+SUMIFS('2021'!Z:Z,'2021'!D:D,CRUCE!A67,'2021'!AT:AT,CRUCE!B67)</f>
        <v>392879778.01999998</v>
      </c>
      <c r="D67" s="11">
        <f>+SUMIFS('2022'!Y:Y,'2022'!D:D,CRUCE!A67,'2022'!AS:AS,CRUCE!B67)</f>
        <v>424672049.76999998</v>
      </c>
      <c r="E67" s="136">
        <f t="shared" si="2"/>
        <v>8.0921120222129578E-2</v>
      </c>
      <c r="F67" s="11">
        <f>+SUMIFS('2023'!Y:Y,'2023'!D:D,CRUCE!A67,'2023'!AS:AS,CRUCE!B67)-F3</f>
        <v>355373711.85000002</v>
      </c>
      <c r="G67" s="136">
        <f t="shared" si="0"/>
        <v>-0.16318083084943205</v>
      </c>
      <c r="H67" s="140">
        <f>+SUMIFS('2024'!J:J,'2024'!D:D,CRUCE!A67,'2024'!AT:AT,CRUCE!B67)</f>
        <v>1965996623.01</v>
      </c>
      <c r="I67" s="7" t="str">
        <f t="shared" si="3"/>
        <v>20Impuesto de Registro - Cámaras de Comercio (ICLD)392879778,02</v>
      </c>
      <c r="J67" s="7" t="str">
        <f t="shared" si="4"/>
        <v>20Impuesto de Registro - Cámaras de Comercio (ICLD)424672049,77</v>
      </c>
      <c r="K67" s="7" t="str">
        <f t="shared" si="5"/>
        <v>20Impuesto de Registro - Cámaras de Comercio (ICLD)355373711,85</v>
      </c>
      <c r="L67" s="7" t="str">
        <f t="shared" si="6"/>
        <v>20Impuesto de Registro - Cámaras de Comercio (ICLD)1965996623,01</v>
      </c>
      <c r="M67" t="s">
        <v>1906</v>
      </c>
      <c r="N67" s="136">
        <v>0.08</v>
      </c>
      <c r="O67" s="11">
        <f>+'[1]F Y U 2024 Presupuesto OK R (2)'!$F$10</f>
        <v>17264812000</v>
      </c>
      <c r="P67" s="20">
        <f t="shared" si="7"/>
        <v>2123276352.8508</v>
      </c>
      <c r="Q67" s="136">
        <f>+N67</f>
        <v>0.08</v>
      </c>
      <c r="R67" s="136">
        <f>+Q67</f>
        <v>0.08</v>
      </c>
      <c r="S67" s="20">
        <f t="shared" si="8"/>
        <v>2293138461.0788641</v>
      </c>
      <c r="T67" s="136">
        <v>0.05</v>
      </c>
      <c r="U67" s="136">
        <f>+R67</f>
        <v>0.08</v>
      </c>
      <c r="V67" s="20">
        <f t="shared" si="9"/>
        <v>2476589537.9651732</v>
      </c>
    </row>
    <row r="68" spans="1:22" hidden="1" x14ac:dyDescent="0.3">
      <c r="A68" s="5">
        <v>20</v>
      </c>
      <c r="B68" s="8" t="s">
        <v>73</v>
      </c>
      <c r="C68" s="11">
        <f>+SUMIFS('2021'!Z:Z,'2021'!D:D,CRUCE!A68,'2021'!AT:AT,CRUCE!B68)</f>
        <v>43900041.82</v>
      </c>
      <c r="D68" s="11">
        <f>+SUMIFS('2022'!Y:Y,'2022'!D:D,CRUCE!A68,'2022'!AS:AS,CRUCE!B68)</f>
        <v>0</v>
      </c>
      <c r="E68" s="136">
        <f t="shared" ref="E68:E130" si="37">+(D68-C68)/C68</f>
        <v>-1</v>
      </c>
      <c r="F68" s="11">
        <f>+SUMIFS('2023'!Y:Y,'2023'!D:D,CRUCE!A68,'2023'!AS:AS,CRUCE!B68)</f>
        <v>0</v>
      </c>
      <c r="G68" s="136" t="e">
        <f t="shared" ref="G68:G130" si="38">+(F68-D68)/D68</f>
        <v>#DIV/0!</v>
      </c>
      <c r="H68" s="11">
        <f>+SUMIFS('2024'!J:J,'2024'!D:D,CRUCE!A68,'2024'!AT:AT,CRUCE!B68)</f>
        <v>0</v>
      </c>
      <c r="I68" s="7" t="str">
        <f t="shared" si="3"/>
        <v>20Impuesto de Registro - Oficinas de Instrumentos Públicos43900041,82</v>
      </c>
      <c r="J68" s="7" t="str">
        <f t="shared" si="4"/>
        <v>20Impuesto de Registro - Oficinas de Instrumentos Públicos0</v>
      </c>
      <c r="K68" s="7" t="str">
        <f t="shared" si="5"/>
        <v>20Impuesto de Registro - Oficinas de Instrumentos Públicos0</v>
      </c>
      <c r="L68" s="7" t="str">
        <f t="shared" si="6"/>
        <v>20Impuesto de Registro - Oficinas de Instrumentos Públicos0</v>
      </c>
      <c r="M68" t="s">
        <v>1906</v>
      </c>
      <c r="N68" s="136" t="e">
        <f t="shared" si="10"/>
        <v>#DIV/0!</v>
      </c>
      <c r="O68" s="136"/>
      <c r="P68" s="20" t="e">
        <f t="shared" ref="P68:P131" si="39">+H68+(H68*N68)</f>
        <v>#DIV/0!</v>
      </c>
      <c r="Q68" s="136">
        <v>3.2534750289455845</v>
      </c>
      <c r="R68" s="136">
        <v>3.2534750289455845</v>
      </c>
      <c r="S68" s="20" t="e">
        <f t="shared" ref="S68:S131" si="40">+P68+(P68*R68)</f>
        <v>#DIV/0!</v>
      </c>
      <c r="T68" s="136">
        <v>3.2534750289455845</v>
      </c>
      <c r="U68" s="136">
        <v>3.2534750289455845</v>
      </c>
      <c r="V68" s="20" t="e">
        <f t="shared" ref="V68:V131" si="41">+S68+(S68*U68)</f>
        <v>#DIV/0!</v>
      </c>
    </row>
    <row r="69" spans="1:22" x14ac:dyDescent="0.3">
      <c r="A69" s="5">
        <v>20</v>
      </c>
      <c r="B69" s="8" t="s">
        <v>1041</v>
      </c>
      <c r="C69" s="11">
        <f>+SUMIFS('2021'!Z:Z,'2021'!D:D,CRUCE!A69,'2021'!AT:AT,CRUCE!B69)</f>
        <v>13353772936.59</v>
      </c>
      <c r="D69" s="11">
        <f>+SUMIFS('2022'!Y:Y,'2022'!D:D,CRUCE!A69,'2022'!AS:AS,CRUCE!B69)</f>
        <v>13500667202.6</v>
      </c>
      <c r="E69" s="136">
        <f t="shared" si="37"/>
        <v>1.1000206960798521E-2</v>
      </c>
      <c r="F69" s="11">
        <f>+SUMIFS('2023'!Y:Y,'2023'!D:D,CRUCE!A69,'2023'!AS:AS,CRUCE!B69)-F4</f>
        <v>14043671363.52</v>
      </c>
      <c r="G69" s="136">
        <f t="shared" si="38"/>
        <v>4.0220542642175984E-2</v>
      </c>
      <c r="H69" s="140">
        <f>+SUMIFS('2024'!J:J,'2024'!D:D,CRUCE!A69,'2024'!AT:AT,CRUCE!B69)</f>
        <v>15298814976.9</v>
      </c>
      <c r="I69" s="7" t="str">
        <f t="shared" si="3"/>
        <v>20Impuesto de Registro - Oficinas de Instrumentos Públicos (ICLD)13353772936,59</v>
      </c>
      <c r="J69" s="7" t="str">
        <f t="shared" si="4"/>
        <v>20Impuesto de Registro - Oficinas de Instrumentos Públicos (ICLD)13500667202,6</v>
      </c>
      <c r="K69" s="7" t="str">
        <f t="shared" si="5"/>
        <v>20Impuesto de Registro - Oficinas de Instrumentos Públicos (ICLD)14043671363,52</v>
      </c>
      <c r="L69" s="7" t="str">
        <f t="shared" si="6"/>
        <v>20Impuesto de Registro - Oficinas de Instrumentos Públicos (ICLD)15298814976,9</v>
      </c>
      <c r="M69" t="s">
        <v>1906</v>
      </c>
      <c r="N69" s="136">
        <v>0.08</v>
      </c>
      <c r="O69" s="11">
        <f>+O67-H67-H69</f>
        <v>400.09000015258789</v>
      </c>
      <c r="P69" s="20">
        <f t="shared" si="39"/>
        <v>16522720175.052</v>
      </c>
      <c r="Q69" s="136">
        <f t="shared" ref="Q69:Q71" si="42">+N69</f>
        <v>0.08</v>
      </c>
      <c r="R69" s="136">
        <f t="shared" ref="R69:R71" si="43">+Q69</f>
        <v>0.08</v>
      </c>
      <c r="S69" s="20">
        <f t="shared" si="40"/>
        <v>17844537789.05616</v>
      </c>
      <c r="T69" s="136">
        <v>0.19</v>
      </c>
      <c r="U69" s="136">
        <f t="shared" ref="U69:U71" si="44">+R69</f>
        <v>0.08</v>
      </c>
      <c r="V69" s="20">
        <f t="shared" si="41"/>
        <v>19272100812.180653</v>
      </c>
    </row>
    <row r="70" spans="1:22" x14ac:dyDescent="0.3">
      <c r="A70" s="5">
        <v>20</v>
      </c>
      <c r="B70" s="8" t="s">
        <v>56</v>
      </c>
      <c r="C70" s="11">
        <f>+SUMIFS('2021'!Z:Z,'2021'!D:D,CRUCE!A70,'2021'!AT:AT,CRUCE!B70)</f>
        <v>19215877903.310001</v>
      </c>
      <c r="D70" s="11">
        <f>+SUMIFS('2022'!Y:Y,'2022'!D:D,CRUCE!A70,'2022'!AS:AS,CRUCE!B70)</f>
        <v>22061486676.990002</v>
      </c>
      <c r="E70" s="136">
        <f t="shared" si="37"/>
        <v>0.14808632673450919</v>
      </c>
      <c r="F70" s="11">
        <f>+SUMIFS('2023'!Y:Y,'2023'!D:D,CRUCE!A70,'2023'!AS:AS,CRUCE!B70)</f>
        <v>26619501654.98</v>
      </c>
      <c r="G70" s="136">
        <f t="shared" si="38"/>
        <v>0.2066050690384334</v>
      </c>
      <c r="H70" s="140">
        <f>+SUMIFS('2024'!J:J,'2024'!D:D,CRUCE!A70,'2024'!AT:AT,CRUCE!B70)</f>
        <v>32803406000</v>
      </c>
      <c r="I70" s="7" t="str">
        <f t="shared" si="3"/>
        <v>20Impuesto sobre vehículos automotores19215877903,31</v>
      </c>
      <c r="J70" s="7" t="str">
        <f t="shared" si="4"/>
        <v>20Impuesto sobre vehículos automotores22061486676,99</v>
      </c>
      <c r="K70" s="7" t="str">
        <f t="shared" si="5"/>
        <v>20Impuesto sobre vehículos automotores26619501654,98</v>
      </c>
      <c r="L70" s="7" t="str">
        <f t="shared" si="6"/>
        <v>20Impuesto sobre vehículos automotores32803406000</v>
      </c>
      <c r="M70" t="s">
        <v>1906</v>
      </c>
      <c r="N70" s="136">
        <v>0.05</v>
      </c>
      <c r="P70" s="20">
        <f t="shared" si="39"/>
        <v>34443576300</v>
      </c>
      <c r="Q70" s="136">
        <f t="shared" si="42"/>
        <v>0.05</v>
      </c>
      <c r="R70" s="136">
        <f t="shared" si="43"/>
        <v>0.05</v>
      </c>
      <c r="S70" s="20">
        <f t="shared" si="40"/>
        <v>36165755115</v>
      </c>
      <c r="T70" s="136">
        <v>0.02</v>
      </c>
      <c r="U70" s="136">
        <f t="shared" si="44"/>
        <v>0.05</v>
      </c>
      <c r="V70" s="20">
        <f t="shared" si="41"/>
        <v>37974042870.75</v>
      </c>
    </row>
    <row r="71" spans="1:22" x14ac:dyDescent="0.3">
      <c r="A71" s="5">
        <v>20</v>
      </c>
      <c r="B71" s="8" t="s">
        <v>220</v>
      </c>
      <c r="C71" s="11">
        <f>+SUMIFS('2021'!Z:Z,'2021'!D:D,CRUCE!A71,'2021'!AT:AT,CRUCE!B71)</f>
        <v>629122437.20000005</v>
      </c>
      <c r="D71" s="11">
        <f>+SUMIFS('2022'!Y:Y,'2022'!D:D,CRUCE!A71,'2022'!AS:AS,CRUCE!B71)</f>
        <v>761110608.52999997</v>
      </c>
      <c r="E71" s="136">
        <f t="shared" si="37"/>
        <v>0.20979727239968149</v>
      </c>
      <c r="F71" s="11">
        <f>+SUMIFS('2023'!Y:Y,'2023'!D:D,CRUCE!A71,'2023'!AS:AS,CRUCE!B71)</f>
        <v>912556870.42999995</v>
      </c>
      <c r="G71" s="136">
        <f t="shared" si="38"/>
        <v>0.19898062147957904</v>
      </c>
      <c r="H71" s="140">
        <f>+SUMIFS('2024'!J:J,'2024'!D:D,CRUCE!A71,'2024'!AT:AT,CRUCE!B71)</f>
        <v>1478804000</v>
      </c>
      <c r="I71" s="7" t="str">
        <f t="shared" si="3"/>
        <v>20Impuesto sobre vehículos automotores (Intereses de Mora)629122437,2</v>
      </c>
      <c r="J71" s="7" t="str">
        <f t="shared" si="4"/>
        <v>20Impuesto sobre vehículos automotores (Intereses de Mora)761110608,53</v>
      </c>
      <c r="K71" s="7" t="str">
        <f t="shared" si="5"/>
        <v>20Impuesto sobre vehículos automotores (Intereses de Mora)912556870,43</v>
      </c>
      <c r="L71" s="7" t="str">
        <f t="shared" si="6"/>
        <v>20Impuesto sobre vehículos automotores (Intereses de Mora)1478804000</v>
      </c>
      <c r="M71" t="s">
        <v>1906</v>
      </c>
      <c r="N71" s="136">
        <f t="shared" si="10"/>
        <v>0.20438894693963028</v>
      </c>
      <c r="P71" s="20">
        <f t="shared" si="39"/>
        <v>1781055192.290113</v>
      </c>
      <c r="Q71" s="136">
        <f t="shared" si="42"/>
        <v>0.20438894693963028</v>
      </c>
      <c r="R71" s="136">
        <f t="shared" si="43"/>
        <v>0.20438894693963028</v>
      </c>
      <c r="S71" s="20">
        <f t="shared" si="40"/>
        <v>2145083187.4836497</v>
      </c>
      <c r="T71" s="136">
        <v>0.19</v>
      </c>
      <c r="U71" s="136">
        <f t="shared" si="44"/>
        <v>0.20438894693963028</v>
      </c>
      <c r="V71" s="20">
        <f t="shared" si="41"/>
        <v>2583514481.2713385</v>
      </c>
    </row>
    <row r="72" spans="1:22" hidden="1" x14ac:dyDescent="0.3">
      <c r="A72" s="5">
        <v>20</v>
      </c>
      <c r="B72" s="8" t="s">
        <v>433</v>
      </c>
      <c r="C72" s="11">
        <f>+SUMIFS('2021'!Z:Z,'2021'!D:D,CRUCE!A72,'2021'!AT:AT,CRUCE!B72)</f>
        <v>113184.73</v>
      </c>
      <c r="D72" s="11">
        <f>+SUMIFS('2022'!Y:Y,'2022'!D:D,CRUCE!A72,'2022'!AS:AS,CRUCE!B72)</f>
        <v>0</v>
      </c>
      <c r="E72" s="136">
        <f t="shared" si="37"/>
        <v>-1</v>
      </c>
      <c r="F72" s="11">
        <f>+SUMIFS('2023'!Y:Y,'2023'!D:D,CRUCE!A72,'2023'!AS:AS,CRUCE!B72)</f>
        <v>0</v>
      </c>
      <c r="G72" s="136" t="e">
        <f t="shared" si="38"/>
        <v>#DIV/0!</v>
      </c>
      <c r="H72" s="11">
        <f>+SUMIFS('2024'!J:J,'2024'!D:D,CRUCE!A72,'2024'!AT:AT,CRUCE!B72)</f>
        <v>0</v>
      </c>
      <c r="I72" s="7" t="str">
        <f t="shared" ref="I72:I137" si="45">+$A72&amp;$B72&amp;C72</f>
        <v>20Impuesto sobre vehículos automotores (Rendimiento Sanciones)113184,73</v>
      </c>
      <c r="J72" s="7" t="str">
        <f t="shared" ref="J72:J137" si="46">+$A72&amp;$B72&amp;D72</f>
        <v>20Impuesto sobre vehículos automotores (Rendimiento Sanciones)0</v>
      </c>
      <c r="K72" s="7" t="str">
        <f t="shared" ref="K72:K137" si="47">+$A72&amp;$B72&amp;F72</f>
        <v>20Impuesto sobre vehículos automotores (Rendimiento Sanciones)0</v>
      </c>
      <c r="L72" s="7" t="str">
        <f t="shared" ref="L72:L137" si="48">+$A72&amp;$B72&amp;H72</f>
        <v>20Impuesto sobre vehículos automotores (Rendimiento Sanciones)0</v>
      </c>
      <c r="M72" t="s">
        <v>1906</v>
      </c>
      <c r="N72" s="136" t="e">
        <f t="shared" ref="N72:N134" si="49">+(E72+G72)/2</f>
        <v>#DIV/0!</v>
      </c>
      <c r="O72" s="136"/>
      <c r="P72" s="20" t="e">
        <f t="shared" si="39"/>
        <v>#DIV/0!</v>
      </c>
      <c r="Q72" s="136">
        <v>0.05</v>
      </c>
      <c r="R72" s="136">
        <v>0.05</v>
      </c>
      <c r="S72" s="20" t="e">
        <f t="shared" si="40"/>
        <v>#DIV/0!</v>
      </c>
      <c r="T72" s="136">
        <v>0.05</v>
      </c>
      <c r="U72" s="136">
        <v>0.05</v>
      </c>
      <c r="V72" s="20" t="e">
        <f t="shared" si="41"/>
        <v>#DIV/0!</v>
      </c>
    </row>
    <row r="73" spans="1:22" hidden="1" x14ac:dyDescent="0.3">
      <c r="A73" s="5">
        <v>20</v>
      </c>
      <c r="B73" s="8" t="s">
        <v>387</v>
      </c>
      <c r="C73" s="11">
        <f>+SUMIFS('2021'!Z:Z,'2021'!D:D,CRUCE!A73,'2021'!AT:AT,CRUCE!B73)</f>
        <v>13715188</v>
      </c>
      <c r="D73" s="11">
        <f>+SUMIFS('2022'!Y:Y,'2022'!D:D,CRUCE!A73,'2022'!AS:AS,CRUCE!B73)</f>
        <v>0</v>
      </c>
      <c r="E73" s="136">
        <f t="shared" si="37"/>
        <v>-1</v>
      </c>
      <c r="F73" s="11">
        <f>+SUMIFS('2023'!Y:Y,'2023'!D:D,CRUCE!A73,'2023'!AS:AS,CRUCE!B73)</f>
        <v>0</v>
      </c>
      <c r="G73" s="136" t="e">
        <f t="shared" si="38"/>
        <v>#DIV/0!</v>
      </c>
      <c r="H73" s="11">
        <f>+SUMIFS('2024'!J:J,'2024'!D:D,CRUCE!A73,'2024'!AT:AT,CRUCE!B73)</f>
        <v>0</v>
      </c>
      <c r="I73" s="7" t="str">
        <f t="shared" si="45"/>
        <v>20Impuesto sobre vehículos automotores (Rendimientos )13715188</v>
      </c>
      <c r="J73" s="7" t="str">
        <f t="shared" si="46"/>
        <v>20Impuesto sobre vehículos automotores (Rendimientos )0</v>
      </c>
      <c r="K73" s="7" t="str">
        <f t="shared" si="47"/>
        <v>20Impuesto sobre vehículos automotores (Rendimientos )0</v>
      </c>
      <c r="L73" s="7" t="str">
        <f t="shared" si="48"/>
        <v>20Impuesto sobre vehículos automotores (Rendimientos )0</v>
      </c>
      <c r="M73" t="s">
        <v>1906</v>
      </c>
      <c r="N73" s="136" t="e">
        <f t="shared" si="49"/>
        <v>#DIV/0!</v>
      </c>
      <c r="O73" s="136"/>
      <c r="P73" s="20" t="e">
        <f t="shared" si="39"/>
        <v>#DIV/0!</v>
      </c>
      <c r="Q73" s="136">
        <v>0.02</v>
      </c>
      <c r="R73" s="136">
        <v>0.02</v>
      </c>
      <c r="S73" s="20" t="e">
        <f t="shared" si="40"/>
        <v>#DIV/0!</v>
      </c>
      <c r="T73" s="136">
        <v>0.02</v>
      </c>
      <c r="U73" s="136">
        <v>0.02</v>
      </c>
      <c r="V73" s="20" t="e">
        <f t="shared" si="41"/>
        <v>#DIV/0!</v>
      </c>
    </row>
    <row r="74" spans="1:22" x14ac:dyDescent="0.3">
      <c r="A74" s="5">
        <v>20</v>
      </c>
      <c r="B74" s="8" t="s">
        <v>205</v>
      </c>
      <c r="C74" s="11">
        <f>+SUMIFS('2021'!Z:Z,'2021'!D:D,CRUCE!A74,'2021'!AT:AT,CRUCE!B74)</f>
        <v>2509500558.7800002</v>
      </c>
      <c r="D74" s="11">
        <f>+SUMIFS('2022'!Y:Y,'2022'!D:D,CRUCE!A74,'2022'!AS:AS,CRUCE!B74)</f>
        <v>3426989614.9000001</v>
      </c>
      <c r="E74" s="136">
        <f t="shared" si="37"/>
        <v>0.36560623702990502</v>
      </c>
      <c r="F74" s="11">
        <f>+SUMIFS('2023'!Y:Y,'2023'!D:D,CRUCE!A74,'2023'!AS:AS,CRUCE!B74)</f>
        <v>3642868907.5300002</v>
      </c>
      <c r="G74" s="136">
        <f t="shared" si="38"/>
        <v>6.2993856675664164E-2</v>
      </c>
      <c r="H74" s="11">
        <f>+SUMIFS('2024'!J:J,'2024'!D:D,CRUCE!A74,'2024'!AT:AT,CRUCE!B74)</f>
        <v>7491494209.5</v>
      </c>
      <c r="I74" s="7" t="str">
        <f t="shared" si="45"/>
        <v>20Impuesto sobre vehículos automotores (Sanciones )2509500558,78</v>
      </c>
      <c r="J74" s="7" t="str">
        <f t="shared" si="46"/>
        <v>20Impuesto sobre vehículos automotores (Sanciones )3426989614,9</v>
      </c>
      <c r="K74" s="7" t="str">
        <f t="shared" si="47"/>
        <v>20Impuesto sobre vehículos automotores (Sanciones )3642868907,53</v>
      </c>
      <c r="L74" s="7" t="str">
        <f t="shared" si="48"/>
        <v>20Impuesto sobre vehículos automotores (Sanciones )7491494209,5</v>
      </c>
      <c r="M74" t="s">
        <v>1906</v>
      </c>
      <c r="N74" s="136">
        <f t="shared" si="49"/>
        <v>0.21430004685278459</v>
      </c>
      <c r="O74" s="11">
        <f>+'[1]F Y U 2024 Presupuesto OK RED'!$F$9</f>
        <v>7607895000</v>
      </c>
      <c r="P74" s="20">
        <f t="shared" si="39"/>
        <v>9096921769.593214</v>
      </c>
      <c r="Q74" s="136">
        <f>+N74</f>
        <v>0.21430004685278459</v>
      </c>
      <c r="R74" s="136">
        <f>+Q74</f>
        <v>0.21430004685278459</v>
      </c>
      <c r="S74" s="20">
        <f t="shared" si="40"/>
        <v>11046392531.033155</v>
      </c>
      <c r="T74" s="136">
        <v>0.05</v>
      </c>
      <c r="U74" s="136">
        <f>+R74</f>
        <v>0.21430004685278459</v>
      </c>
      <c r="V74" s="20">
        <f t="shared" si="41"/>
        <v>13413634967.98781</v>
      </c>
    </row>
    <row r="75" spans="1:22" hidden="1" x14ac:dyDescent="0.3">
      <c r="A75" s="5">
        <v>20</v>
      </c>
      <c r="B75" s="8" t="s">
        <v>345</v>
      </c>
      <c r="C75" s="11">
        <f>+SUMIFS('2021'!Z:Z,'2021'!D:D,CRUCE!A75,'2021'!AT:AT,CRUCE!B75)</f>
        <v>0</v>
      </c>
      <c r="D75" s="11">
        <f>+SUMIFS('2022'!Y:Y,'2022'!D:D,CRUCE!A75,'2022'!AS:AS,CRUCE!B75)</f>
        <v>0</v>
      </c>
      <c r="E75" s="136" t="e">
        <f t="shared" si="37"/>
        <v>#DIV/0!</v>
      </c>
      <c r="F75" s="11">
        <f>+SUMIFS('2023'!Y:Y,'2023'!D:D,CRUCE!A75,'2023'!AS:AS,CRUCE!B75)</f>
        <v>0</v>
      </c>
      <c r="G75" s="136" t="e">
        <f t="shared" si="38"/>
        <v>#DIV/0!</v>
      </c>
      <c r="H75" s="11">
        <f>+SUMIFS('2024'!J:J,'2024'!D:D,CRUCE!A75,'2024'!AT:AT,CRUCE!B75)</f>
        <v>0</v>
      </c>
      <c r="I75" s="7" t="str">
        <f t="shared" si="45"/>
        <v>20Indemnizaciones relacionadas con seguros no de vida0</v>
      </c>
      <c r="J75" s="7" t="str">
        <f t="shared" si="46"/>
        <v>20Indemnizaciones relacionadas con seguros no de vida0</v>
      </c>
      <c r="K75" s="7" t="str">
        <f t="shared" si="47"/>
        <v>20Indemnizaciones relacionadas con seguros no de vida0</v>
      </c>
      <c r="L75" s="7" t="str">
        <f t="shared" si="48"/>
        <v>20Indemnizaciones relacionadas con seguros no de vida0</v>
      </c>
      <c r="M75" t="s">
        <v>1906</v>
      </c>
      <c r="N75" s="136" t="e">
        <f t="shared" si="49"/>
        <v>#DIV/0!</v>
      </c>
      <c r="O75" s="136"/>
      <c r="P75" s="20" t="e">
        <f t="shared" si="39"/>
        <v>#DIV/0!</v>
      </c>
      <c r="Q75" s="136">
        <v>0.05</v>
      </c>
      <c r="R75" s="136">
        <v>0.05</v>
      </c>
      <c r="S75" s="20" t="e">
        <f t="shared" si="40"/>
        <v>#DIV/0!</v>
      </c>
      <c r="T75" s="136">
        <v>0.05</v>
      </c>
      <c r="U75" s="136">
        <v>0.05</v>
      </c>
      <c r="V75" s="20" t="e">
        <f t="shared" si="41"/>
        <v>#DIV/0!</v>
      </c>
    </row>
    <row r="76" spans="1:22" hidden="1" x14ac:dyDescent="0.3">
      <c r="A76" s="5">
        <v>20</v>
      </c>
      <c r="B76" s="8" t="s">
        <v>170</v>
      </c>
      <c r="C76" s="11">
        <f>+SUMIFS('2021'!Z:Z,'2021'!D:D,CRUCE!A76,'2021'!AT:AT,CRUCE!B76)</f>
        <v>0</v>
      </c>
      <c r="D76" s="11">
        <f>+SUMIFS('2022'!Y:Y,'2022'!D:D,CRUCE!A76,'2022'!AS:AS,CRUCE!B76)</f>
        <v>0</v>
      </c>
      <c r="E76" s="136" t="e">
        <f t="shared" si="37"/>
        <v>#DIV/0!</v>
      </c>
      <c r="F76" s="11">
        <f>+SUMIFS('2023'!Y:Y,'2023'!D:D,CRUCE!A76,'2023'!AS:AS,CRUCE!B76)</f>
        <v>0</v>
      </c>
      <c r="G76" s="136" t="e">
        <f t="shared" si="38"/>
        <v>#DIV/0!</v>
      </c>
      <c r="H76" s="11">
        <f>+SUMIFS('2024'!J:J,'2024'!D:D,CRUCE!A76,'2024'!AT:AT,CRUCE!B76)</f>
        <v>0</v>
      </c>
      <c r="I76" s="7" t="str">
        <f t="shared" si="45"/>
        <v>20Instituto Departamental de Tránsito del Quindío0</v>
      </c>
      <c r="J76" s="7" t="str">
        <f t="shared" si="46"/>
        <v>20Instituto Departamental de Tránsito del Quindío0</v>
      </c>
      <c r="K76" s="7" t="str">
        <f t="shared" si="47"/>
        <v>20Instituto Departamental de Tránsito del Quindío0</v>
      </c>
      <c r="L76" s="7" t="str">
        <f t="shared" si="48"/>
        <v>20Instituto Departamental de Tránsito del Quindío0</v>
      </c>
      <c r="M76" t="s">
        <v>1906</v>
      </c>
      <c r="N76" s="136" t="e">
        <f t="shared" si="49"/>
        <v>#DIV/0!</v>
      </c>
      <c r="O76" s="136"/>
      <c r="P76" s="20" t="e">
        <f t="shared" si="39"/>
        <v>#DIV/0!</v>
      </c>
      <c r="Q76" s="136">
        <v>0.05</v>
      </c>
      <c r="R76" s="136">
        <v>0.05</v>
      </c>
      <c r="S76" s="20" t="e">
        <f t="shared" si="40"/>
        <v>#DIV/0!</v>
      </c>
      <c r="T76" s="136">
        <v>0.05</v>
      </c>
      <c r="U76" s="136">
        <v>0.05</v>
      </c>
      <c r="V76" s="20" t="e">
        <f t="shared" si="41"/>
        <v>#DIV/0!</v>
      </c>
    </row>
    <row r="77" spans="1:22" hidden="1" x14ac:dyDescent="0.3">
      <c r="A77" s="5">
        <v>20</v>
      </c>
      <c r="B77" s="8" t="s">
        <v>160</v>
      </c>
      <c r="C77" s="11">
        <f>+SUMIFS('2021'!Z:Z,'2021'!D:D,CRUCE!A77,'2021'!AT:AT,CRUCE!B77)</f>
        <v>4525325</v>
      </c>
      <c r="D77" s="11">
        <f>+SUMIFS('2022'!Y:Y,'2022'!D:D,CRUCE!A77,'2022'!AS:AS,CRUCE!B77)</f>
        <v>6787980</v>
      </c>
      <c r="E77" s="136">
        <f t="shared" si="37"/>
        <v>0.49999834266047188</v>
      </c>
      <c r="F77" s="11">
        <f>+SUMIFS('2023'!Y:Y,'2023'!D:D,CRUCE!A77,'2023'!AS:AS,CRUCE!B77)</f>
        <v>0</v>
      </c>
      <c r="G77" s="136">
        <f t="shared" si="38"/>
        <v>-1</v>
      </c>
      <c r="H77" s="11">
        <f>+SUMIFS('2024'!J:J,'2024'!D:D,CRUCE!A77,'2024'!AT:AT,CRUCE!B77)</f>
        <v>0</v>
      </c>
      <c r="I77" s="7" t="str">
        <f t="shared" si="45"/>
        <v>20Lotería del Quindío E.I.C.E.4525325</v>
      </c>
      <c r="J77" s="7" t="str">
        <f t="shared" si="46"/>
        <v>20Lotería del Quindío E.I.C.E.6787980</v>
      </c>
      <c r="K77" s="7" t="str">
        <f t="shared" si="47"/>
        <v>20Lotería del Quindío E.I.C.E.0</v>
      </c>
      <c r="L77" s="7" t="str">
        <f t="shared" si="48"/>
        <v>20Lotería del Quindío E.I.C.E.0</v>
      </c>
      <c r="M77" t="s">
        <v>1906</v>
      </c>
      <c r="N77" s="136">
        <f t="shared" si="49"/>
        <v>-0.25000082866976403</v>
      </c>
      <c r="O77" s="136"/>
      <c r="P77" s="20">
        <f t="shared" si="39"/>
        <v>0</v>
      </c>
      <c r="Q77" s="136">
        <v>0.05</v>
      </c>
      <c r="R77" s="136">
        <v>0.05</v>
      </c>
      <c r="S77" s="20">
        <f t="shared" si="40"/>
        <v>0</v>
      </c>
      <c r="T77" s="136">
        <v>0.05</v>
      </c>
      <c r="U77" s="136">
        <v>0.05</v>
      </c>
      <c r="V77" s="20">
        <f t="shared" si="41"/>
        <v>0</v>
      </c>
    </row>
    <row r="78" spans="1:22" hidden="1" x14ac:dyDescent="0.3">
      <c r="A78" s="5">
        <v>20</v>
      </c>
      <c r="B78" s="8" t="s">
        <v>307</v>
      </c>
      <c r="C78" s="11">
        <f>+SUMIFS('2021'!Z:Z,'2021'!D:D,CRUCE!A78,'2021'!AT:AT,CRUCE!B78)</f>
        <v>32187827.699999999</v>
      </c>
      <c r="D78" s="11">
        <f>+SUMIFS('2022'!Y:Y,'2022'!D:D,CRUCE!A78,'2022'!AS:AS,CRUCE!B78)</f>
        <v>87477434.370000005</v>
      </c>
      <c r="E78" s="136">
        <f t="shared" si="37"/>
        <v>1.7177178648188178</v>
      </c>
      <c r="F78" s="11">
        <f>+SUMIFS('2023'!Y:Y,'2023'!D:D,CRUCE!A78,'2023'!AS:AS,CRUCE!B78)</f>
        <v>0</v>
      </c>
      <c r="G78" s="136">
        <f t="shared" si="38"/>
        <v>-1</v>
      </c>
      <c r="H78" s="11">
        <f>+SUMIFS('2024'!J:J,'2024'!D:D,CRUCE!A78,'2024'!AT:AT,CRUCE!B78)</f>
        <v>0</v>
      </c>
      <c r="I78" s="7" t="str">
        <f t="shared" si="45"/>
        <v>20Ministerio de Defensa Nacional32187827,7</v>
      </c>
      <c r="J78" s="7" t="str">
        <f t="shared" si="46"/>
        <v>20Ministerio de Defensa Nacional87477434,37</v>
      </c>
      <c r="K78" s="7" t="str">
        <f t="shared" si="47"/>
        <v>20Ministerio de Defensa Nacional0</v>
      </c>
      <c r="L78" s="7" t="str">
        <f t="shared" si="48"/>
        <v>20Ministerio de Defensa Nacional0</v>
      </c>
      <c r="M78" t="s">
        <v>1906</v>
      </c>
      <c r="N78" s="136">
        <f t="shared" si="49"/>
        <v>0.35885893240940892</v>
      </c>
      <c r="O78" s="136"/>
      <c r="P78" s="20">
        <f t="shared" si="39"/>
        <v>0</v>
      </c>
      <c r="Q78" s="136">
        <v>0.05</v>
      </c>
      <c r="R78" s="136">
        <v>0.05</v>
      </c>
      <c r="S78" s="20">
        <f t="shared" si="40"/>
        <v>0</v>
      </c>
      <c r="T78" s="136">
        <v>0.05</v>
      </c>
      <c r="U78" s="136">
        <v>0.05</v>
      </c>
      <c r="V78" s="20">
        <f t="shared" si="41"/>
        <v>0</v>
      </c>
    </row>
    <row r="79" spans="1:22" hidden="1" x14ac:dyDescent="0.3">
      <c r="A79" s="5">
        <v>20</v>
      </c>
      <c r="B79" s="8" t="s">
        <v>335</v>
      </c>
      <c r="C79" s="11">
        <f>+SUMIFS('2021'!Z:Z,'2021'!D:D,CRUCE!A79,'2021'!AT:AT,CRUCE!B79)</f>
        <v>5229968</v>
      </c>
      <c r="D79" s="11">
        <f>+SUMIFS('2022'!Y:Y,'2022'!D:D,CRUCE!A79,'2022'!AS:AS,CRUCE!B79)</f>
        <v>5110433</v>
      </c>
      <c r="E79" s="136">
        <f t="shared" si="37"/>
        <v>-2.2855780379535784E-2</v>
      </c>
      <c r="F79" s="11">
        <f>+SUMIFS('2023'!Y:Y,'2023'!D:D,CRUCE!A79,'2023'!AS:AS,CRUCE!B79)</f>
        <v>0</v>
      </c>
      <c r="G79" s="136">
        <f t="shared" si="38"/>
        <v>-1</v>
      </c>
      <c r="H79" s="11">
        <f>+SUMIFS('2024'!J:J,'2024'!D:D,CRUCE!A79,'2024'!AT:AT,CRUCE!B79)</f>
        <v>0</v>
      </c>
      <c r="I79" s="7" t="str">
        <f t="shared" si="45"/>
        <v>20Montenegro5229968</v>
      </c>
      <c r="J79" s="7" t="str">
        <f t="shared" si="46"/>
        <v>20Montenegro5110433</v>
      </c>
      <c r="K79" s="7" t="str">
        <f t="shared" si="47"/>
        <v>20Montenegro0</v>
      </c>
      <c r="L79" s="7" t="str">
        <f t="shared" si="48"/>
        <v>20Montenegro0</v>
      </c>
      <c r="M79" t="s">
        <v>1906</v>
      </c>
      <c r="N79" s="136">
        <f t="shared" si="49"/>
        <v>-0.51142789018976786</v>
      </c>
      <c r="O79" s="136"/>
      <c r="P79" s="20">
        <f t="shared" si="39"/>
        <v>0</v>
      </c>
      <c r="Q79" s="136">
        <v>0.05</v>
      </c>
      <c r="R79" s="136">
        <v>0.05</v>
      </c>
      <c r="S79" s="20">
        <f t="shared" si="40"/>
        <v>0</v>
      </c>
      <c r="T79" s="136">
        <v>0.05</v>
      </c>
      <c r="U79" s="136">
        <v>0.05</v>
      </c>
      <c r="V79" s="20">
        <f t="shared" si="41"/>
        <v>0</v>
      </c>
    </row>
    <row r="80" spans="1:22" hidden="1" x14ac:dyDescent="0.3">
      <c r="A80" s="5">
        <v>20</v>
      </c>
      <c r="B80" s="8" t="s">
        <v>196</v>
      </c>
      <c r="C80" s="11">
        <f>+SUMIFS('2021'!Z:Z,'2021'!D:D,CRUCE!A80,'2021'!AT:AT,CRUCE!B80)</f>
        <v>0</v>
      </c>
      <c r="D80" s="11">
        <f>+SUMIFS('2022'!Y:Y,'2022'!D:D,CRUCE!A80,'2022'!AS:AS,CRUCE!B80)</f>
        <v>0</v>
      </c>
      <c r="E80" s="136" t="e">
        <f t="shared" si="37"/>
        <v>#DIV/0!</v>
      </c>
      <c r="F80" s="11">
        <f>+SUMIFS('2023'!Y:Y,'2023'!D:D,CRUCE!A80,'2023'!AS:AS,CRUCE!B80)</f>
        <v>0</v>
      </c>
      <c r="G80" s="136" t="e">
        <f t="shared" si="38"/>
        <v>#DIV/0!</v>
      </c>
      <c r="H80" s="11">
        <f>+SUMIFS('2024'!J:J,'2024'!D:D,CRUCE!A80,'2024'!AT:AT,CRUCE!B80)</f>
        <v>0</v>
      </c>
      <c r="I80" s="7" t="str">
        <f t="shared" si="45"/>
        <v>20Multas de tránsito y transporte0</v>
      </c>
      <c r="J80" s="7" t="str">
        <f t="shared" si="46"/>
        <v>20Multas de tránsito y transporte0</v>
      </c>
      <c r="K80" s="7" t="str">
        <f t="shared" si="47"/>
        <v>20Multas de tránsito y transporte0</v>
      </c>
      <c r="L80" s="7" t="str">
        <f t="shared" si="48"/>
        <v>20Multas de tránsito y transporte0</v>
      </c>
      <c r="M80" t="s">
        <v>1906</v>
      </c>
      <c r="N80" s="136" t="e">
        <f t="shared" si="49"/>
        <v>#DIV/0!</v>
      </c>
      <c r="O80" s="136"/>
      <c r="P80" s="20" t="e">
        <f t="shared" si="39"/>
        <v>#DIV/0!</v>
      </c>
      <c r="Q80" s="136">
        <v>0.05</v>
      </c>
      <c r="R80" s="136">
        <v>0.05</v>
      </c>
      <c r="S80" s="20" t="e">
        <f t="shared" si="40"/>
        <v>#DIV/0!</v>
      </c>
      <c r="T80" s="136">
        <v>0.05</v>
      </c>
      <c r="U80" s="136">
        <v>0.05</v>
      </c>
      <c r="V80" s="20" t="e">
        <f t="shared" si="41"/>
        <v>#DIV/0!</v>
      </c>
    </row>
    <row r="81" spans="1:22" hidden="1" x14ac:dyDescent="0.3">
      <c r="A81" s="5">
        <v>20</v>
      </c>
      <c r="B81" s="8" t="s">
        <v>209</v>
      </c>
      <c r="C81" s="11">
        <f>+SUMIFS('2021'!Z:Z,'2021'!D:D,CRUCE!A81,'2021'!AT:AT,CRUCE!B81)</f>
        <v>0</v>
      </c>
      <c r="D81" s="11">
        <f>+SUMIFS('2022'!Y:Y,'2022'!D:D,CRUCE!A81,'2022'!AS:AS,CRUCE!B81)</f>
        <v>0</v>
      </c>
      <c r="E81" s="136" t="e">
        <f t="shared" si="37"/>
        <v>#DIV/0!</v>
      </c>
      <c r="F81" s="11">
        <f>+SUMIFS('2023'!Y:Y,'2023'!D:D,CRUCE!A81,'2023'!AS:AS,CRUCE!B81)</f>
        <v>0</v>
      </c>
      <c r="G81" s="136" t="e">
        <f t="shared" si="38"/>
        <v>#DIV/0!</v>
      </c>
      <c r="H81" s="11">
        <f>+SUMIFS('2024'!J:J,'2024'!D:D,CRUCE!A81,'2024'!AT:AT,CRUCE!B81)</f>
        <v>0</v>
      </c>
      <c r="I81" s="7" t="str">
        <f t="shared" si="45"/>
        <v>20Multas y sanciones por infracciones al régimen del monopolio de juegos de suerte y azar0</v>
      </c>
      <c r="J81" s="7" t="str">
        <f t="shared" si="46"/>
        <v>20Multas y sanciones por infracciones al régimen del monopolio de juegos de suerte y azar0</v>
      </c>
      <c r="K81" s="7" t="str">
        <f t="shared" si="47"/>
        <v>20Multas y sanciones por infracciones al régimen del monopolio de juegos de suerte y azar0</v>
      </c>
      <c r="L81" s="7" t="str">
        <f t="shared" si="48"/>
        <v>20Multas y sanciones por infracciones al régimen del monopolio de juegos de suerte y azar0</v>
      </c>
      <c r="M81" t="s">
        <v>1906</v>
      </c>
      <c r="N81" s="136" t="e">
        <f t="shared" si="49"/>
        <v>#DIV/0!</v>
      </c>
      <c r="O81" s="136"/>
      <c r="P81" s="20" t="e">
        <f t="shared" si="39"/>
        <v>#DIV/0!</v>
      </c>
      <c r="Q81" s="136">
        <v>0.05</v>
      </c>
      <c r="R81" s="136">
        <v>0.05</v>
      </c>
      <c r="S81" s="20" t="e">
        <f t="shared" si="40"/>
        <v>#DIV/0!</v>
      </c>
      <c r="T81" s="136">
        <v>0.05</v>
      </c>
      <c r="U81" s="136">
        <v>0.05</v>
      </c>
      <c r="V81" s="20" t="e">
        <f t="shared" si="41"/>
        <v>#DIV/0!</v>
      </c>
    </row>
    <row r="82" spans="1:22" x14ac:dyDescent="0.3">
      <c r="A82" s="5">
        <v>20</v>
      </c>
      <c r="B82" s="8" t="s">
        <v>211</v>
      </c>
      <c r="C82" s="11">
        <f>+SUMIFS('2021'!Z:Z,'2021'!D:D,CRUCE!A82,'2021'!AT:AT,CRUCE!B82)</f>
        <v>118353.94</v>
      </c>
      <c r="D82" s="11">
        <f>+SUMIFS('2022'!Y:Y,'2022'!D:D,CRUCE!A82,'2022'!AS:AS,CRUCE!B82)</f>
        <v>2508943</v>
      </c>
      <c r="E82" s="136">
        <f t="shared" si="37"/>
        <v>20.198643661546036</v>
      </c>
      <c r="F82" s="11">
        <f>+SUMIFS('2023'!Y:Y,'2023'!D:D,CRUCE!A82,'2023'!AS:AS,CRUCE!B82)</f>
        <v>1045235</v>
      </c>
      <c r="G82" s="136">
        <f t="shared" si="38"/>
        <v>-0.58339627484562229</v>
      </c>
      <c r="H82" s="11">
        <f>+SUMIFS('2024'!J:J,'2024'!D:D,CRUCE!A82,'2024'!AT:AT,CRUCE!B82)</f>
        <v>2282365.5</v>
      </c>
      <c r="I82" s="7" t="str">
        <f t="shared" si="45"/>
        <v>20Multas y sanciones por violación al régimen de venta de medicamentos controlados118353,94</v>
      </c>
      <c r="J82" s="7" t="str">
        <f t="shared" si="46"/>
        <v>20Multas y sanciones por violación al régimen de venta de medicamentos controlados2508943</v>
      </c>
      <c r="K82" s="7" t="str">
        <f t="shared" si="47"/>
        <v>20Multas y sanciones por violación al régimen de venta de medicamentos controlados1045235</v>
      </c>
      <c r="L82" s="7" t="str">
        <f t="shared" si="48"/>
        <v>20Multas y sanciones por violación al régimen de venta de medicamentos controlados2282365,5</v>
      </c>
      <c r="M82" t="s">
        <v>1906</v>
      </c>
      <c r="N82" s="136">
        <v>0.05</v>
      </c>
      <c r="P82" s="20">
        <f t="shared" si="39"/>
        <v>2396483.7749999999</v>
      </c>
      <c r="Q82" s="136">
        <f>+N82</f>
        <v>0.05</v>
      </c>
      <c r="R82" s="136">
        <f>+Q82</f>
        <v>0.05</v>
      </c>
      <c r="S82" s="20">
        <f t="shared" si="40"/>
        <v>2516307.9637500001</v>
      </c>
      <c r="T82" s="136">
        <v>0.05</v>
      </c>
      <c r="U82" s="136">
        <f>+R82</f>
        <v>0.05</v>
      </c>
      <c r="V82" s="20">
        <f t="shared" si="41"/>
        <v>2642123.3619375001</v>
      </c>
    </row>
    <row r="83" spans="1:22" hidden="1" x14ac:dyDescent="0.3">
      <c r="A83" s="5">
        <v>20</v>
      </c>
      <c r="B83" s="8" t="s">
        <v>253</v>
      </c>
      <c r="C83" s="11">
        <f>+SUMIFS('2021'!Z:Z,'2021'!D:D,CRUCE!A83,'2021'!AT:AT,CRUCE!B83)</f>
        <v>4657704792.6000004</v>
      </c>
      <c r="D83" s="11">
        <f>+SUMIFS('2022'!Y:Y,'2022'!D:D,CRUCE!A83,'2022'!AS:AS,CRUCE!B83)</f>
        <v>0</v>
      </c>
      <c r="E83" s="136">
        <f t="shared" si="37"/>
        <v>-1</v>
      </c>
      <c r="F83" s="11">
        <f>+SUMIFS('2023'!Y:Y,'2023'!D:D,CRUCE!A83,'2023'!AS:AS,CRUCE!B83)</f>
        <v>0</v>
      </c>
      <c r="G83" s="136" t="e">
        <f t="shared" si="38"/>
        <v>#DIV/0!</v>
      </c>
      <c r="H83" s="11">
        <f>+SUMIFS('2024'!J:J,'2024'!D:D,CRUCE!A83,'2024'!AT:AT,CRUCE!B83)</f>
        <v>0</v>
      </c>
      <c r="I83" s="7" t="str">
        <f t="shared" si="45"/>
        <v>20Participación de la sobretasa al ACPM4657704792,6</v>
      </c>
      <c r="J83" s="7" t="str">
        <f t="shared" si="46"/>
        <v>20Participación de la sobretasa al ACPM0</v>
      </c>
      <c r="K83" s="7" t="str">
        <f t="shared" si="47"/>
        <v>20Participación de la sobretasa al ACPM0</v>
      </c>
      <c r="L83" s="7" t="str">
        <f t="shared" si="48"/>
        <v>20Participación de la sobretasa al ACPM0</v>
      </c>
      <c r="M83" t="s">
        <v>1906</v>
      </c>
      <c r="N83" s="136" t="e">
        <f t="shared" si="49"/>
        <v>#DIV/0!</v>
      </c>
      <c r="O83" s="136"/>
      <c r="P83" s="20" t="e">
        <f t="shared" si="39"/>
        <v>#DIV/0!</v>
      </c>
      <c r="Q83" s="136">
        <v>0.05</v>
      </c>
      <c r="R83" s="136">
        <v>0.05</v>
      </c>
      <c r="S83" s="20" t="e">
        <f t="shared" si="40"/>
        <v>#DIV/0!</v>
      </c>
      <c r="T83" s="136">
        <v>0.05</v>
      </c>
      <c r="U83" s="136">
        <v>0.05</v>
      </c>
      <c r="V83" s="20" t="e">
        <f t="shared" si="41"/>
        <v>#DIV/0!</v>
      </c>
    </row>
    <row r="84" spans="1:22" x14ac:dyDescent="0.3">
      <c r="A84" s="5">
        <v>20</v>
      </c>
      <c r="B84" s="8" t="s">
        <v>1108</v>
      </c>
      <c r="C84" s="11">
        <f>+SUMIFS('2021'!Z:Z,'2021'!D:D,CRUCE!A84,'2021'!AT:AT,CRUCE!B84)</f>
        <v>0</v>
      </c>
      <c r="D84" s="11">
        <f>+SUMIFS('2022'!Y:Y,'2022'!D:D,CRUCE!A84,'2022'!AS:AS,CRUCE!B84)</f>
        <v>3506426459.0599999</v>
      </c>
      <c r="E84" s="136" t="e">
        <f t="shared" si="37"/>
        <v>#DIV/0!</v>
      </c>
      <c r="F84" s="11">
        <f>+SUMIFS('2023'!Y:Y,'2023'!D:D,CRUCE!A84,'2023'!AS:AS,CRUCE!B84)</f>
        <v>2376694008.27</v>
      </c>
      <c r="G84" s="136">
        <f t="shared" si="38"/>
        <v>-0.32218911874537298</v>
      </c>
      <c r="H84" s="139">
        <f>+SUMIFS('2024'!J:J,'2024'!D:D,CRUCE!A84,'2024'!AT:AT,CRUCE!B84)</f>
        <v>3504941927</v>
      </c>
      <c r="I84" s="7" t="str">
        <f t="shared" si="45"/>
        <v>20Participación por el consumo de licores destilados introducidos de producción extranjera recaudado p0</v>
      </c>
      <c r="J84" s="7" t="str">
        <f t="shared" si="46"/>
        <v>20Participación por el consumo de licores destilados introducidos de producción extranjera recaudado p3506426459,06</v>
      </c>
      <c r="K84" s="7" t="str">
        <f t="shared" si="47"/>
        <v>20Participación por el consumo de licores destilados introducidos de producción extranjera recaudado p2376694008,27</v>
      </c>
      <c r="L84" s="7" t="str">
        <f t="shared" si="48"/>
        <v>20Participación por el consumo de licores destilados introducidos de producción extranjera recaudado p3504941927</v>
      </c>
      <c r="M84" t="s">
        <v>1906</v>
      </c>
      <c r="N84" s="136">
        <v>0.05</v>
      </c>
      <c r="P84" s="20">
        <f t="shared" si="39"/>
        <v>3680189023.3499999</v>
      </c>
      <c r="Q84" s="136">
        <f t="shared" ref="Q84:Q86" si="50">+N84</f>
        <v>0.05</v>
      </c>
      <c r="R84" s="136">
        <f t="shared" ref="R84:R86" si="51">+Q84</f>
        <v>0.05</v>
      </c>
      <c r="S84" s="20">
        <f t="shared" si="40"/>
        <v>3864198474.5174999</v>
      </c>
      <c r="T84" s="136">
        <v>0.05</v>
      </c>
      <c r="U84" s="136">
        <v>1</v>
      </c>
      <c r="V84" s="20">
        <f t="shared" si="41"/>
        <v>7728396949.0349998</v>
      </c>
    </row>
    <row r="85" spans="1:22" x14ac:dyDescent="0.3">
      <c r="A85" s="5">
        <v>20</v>
      </c>
      <c r="B85" s="8" t="s">
        <v>363</v>
      </c>
      <c r="C85" s="11">
        <f>+SUMIFS('2021'!Z:Z,'2021'!D:D,CRUCE!A85,'2021'!AT:AT,CRUCE!B85)</f>
        <v>11175268390.690001</v>
      </c>
      <c r="D85" s="11">
        <f>+SUMIFS('2022'!Y:Y,'2022'!D:D,CRUCE!A85,'2022'!AS:AS,CRUCE!B85)</f>
        <v>11320120725.049999</v>
      </c>
      <c r="E85" s="136">
        <f t="shared" si="37"/>
        <v>1.2961866265393113E-2</v>
      </c>
      <c r="F85" s="11">
        <f>+SUMIFS('2023'!Y:Y,'2023'!D:D,CRUCE!A85,'2023'!AS:AS,CRUCE!B85)</f>
        <v>11744143511.52</v>
      </c>
      <c r="G85" s="136">
        <f t="shared" si="38"/>
        <v>3.7457443853199573E-2</v>
      </c>
      <c r="H85" s="139">
        <f>+SUMIFS('2024'!J:J,'2024'!D:D,CRUCE!A85,'2024'!AT:AT,CRUCE!B85)</f>
        <v>12680890781.209999</v>
      </c>
      <c r="I85" s="7" t="str">
        <f t="shared" si="45"/>
        <v>20Participación por el consumo de licores destilados introducidos de producción nacional11175268390,69</v>
      </c>
      <c r="J85" s="7" t="str">
        <f t="shared" si="46"/>
        <v>20Participación por el consumo de licores destilados introducidos de producción nacional11320120725,05</v>
      </c>
      <c r="K85" s="7" t="str">
        <f t="shared" si="47"/>
        <v>20Participación por el consumo de licores destilados introducidos de producción nacional11744143511,52</v>
      </c>
      <c r="L85" s="7" t="str">
        <f t="shared" si="48"/>
        <v>20Participación por el consumo de licores destilados introducidos de producción nacional12680890781,21</v>
      </c>
      <c r="M85" t="s">
        <v>1906</v>
      </c>
      <c r="N85" s="136">
        <v>0.05</v>
      </c>
      <c r="O85" s="11">
        <f>+'[1]F Y U 2024 Presupuesto OK R (2)'!$F$42</f>
        <v>17001330000</v>
      </c>
      <c r="P85" s="20">
        <f t="shared" si="39"/>
        <v>13314935320.270498</v>
      </c>
      <c r="Q85" s="136">
        <f t="shared" si="50"/>
        <v>0.05</v>
      </c>
      <c r="R85" s="136">
        <f t="shared" si="51"/>
        <v>0.05</v>
      </c>
      <c r="S85" s="20">
        <f t="shared" si="40"/>
        <v>13980682086.284023</v>
      </c>
      <c r="T85" s="136">
        <v>0.05</v>
      </c>
      <c r="U85" s="136">
        <v>1</v>
      </c>
      <c r="V85" s="20">
        <f t="shared" si="41"/>
        <v>27961364172.568047</v>
      </c>
    </row>
    <row r="86" spans="1:22" x14ac:dyDescent="0.3">
      <c r="A86" s="5">
        <v>20</v>
      </c>
      <c r="B86" s="8" t="s">
        <v>1114</v>
      </c>
      <c r="C86" s="11">
        <f>+SUMIFS('2021'!Z:Z,'2021'!D:D,CRUCE!A86,'2021'!AT:AT,CRUCE!B86)</f>
        <v>0</v>
      </c>
      <c r="D86" s="11">
        <f>+SUMIFS('2022'!Y:Y,'2022'!D:D,CRUCE!A86,'2022'!AS:AS,CRUCE!B86)</f>
        <v>7606897.9500000002</v>
      </c>
      <c r="E86" s="136" t="e">
        <f t="shared" si="37"/>
        <v>#DIV/0!</v>
      </c>
      <c r="F86" s="11">
        <f>+SUMIFS('2023'!Y:Y,'2023'!D:D,CRUCE!A86,'2023'!AS:AS,CRUCE!B86)</f>
        <v>5359984</v>
      </c>
      <c r="G86" s="136">
        <f t="shared" si="38"/>
        <v>-0.29537847947598667</v>
      </c>
      <c r="H86" s="139">
        <f>+SUMIFS('2024'!J:J,'2024'!D:D,CRUCE!A86,'2024'!AT:AT,CRUCE!B86)</f>
        <v>2624700</v>
      </c>
      <c r="I86" s="7" t="str">
        <f t="shared" ref="I86" si="52">+$A86&amp;$B86&amp;C86</f>
        <v>20Participación por la utilización de alcohol potable producido0</v>
      </c>
      <c r="J86" s="7" t="str">
        <f t="shared" ref="J86" si="53">+$A86&amp;$B86&amp;D86</f>
        <v>20Participación por la utilización de alcohol potable producido7606897,95</v>
      </c>
      <c r="K86" s="7" t="str">
        <f t="shared" ref="K86" si="54">+$A86&amp;$B86&amp;F86</f>
        <v>20Participación por la utilización de alcohol potable producido5359984</v>
      </c>
      <c r="L86" s="7" t="str">
        <f t="shared" ref="L86" si="55">+$A86&amp;$B86&amp;H86</f>
        <v>20Participación por la utilización de alcohol potable producido2624700</v>
      </c>
      <c r="M86" t="s">
        <v>1906</v>
      </c>
      <c r="N86" s="136">
        <v>0.05</v>
      </c>
      <c r="O86" s="11">
        <f>+H86+H85+H84+H46+H47</f>
        <v>17001330400.269999</v>
      </c>
      <c r="P86" s="20">
        <f t="shared" si="39"/>
        <v>2755935</v>
      </c>
      <c r="Q86" s="136">
        <f t="shared" si="50"/>
        <v>0.05</v>
      </c>
      <c r="R86" s="136">
        <f t="shared" si="51"/>
        <v>0.05</v>
      </c>
      <c r="S86" s="20">
        <f t="shared" si="40"/>
        <v>2893731.75</v>
      </c>
      <c r="T86" s="136">
        <v>0.05</v>
      </c>
      <c r="U86" s="136">
        <v>1</v>
      </c>
      <c r="V86" s="20">
        <f t="shared" si="41"/>
        <v>5787463.5</v>
      </c>
    </row>
    <row r="87" spans="1:22" hidden="1" x14ac:dyDescent="0.3">
      <c r="A87" s="5">
        <v>20</v>
      </c>
      <c r="B87" s="8" t="s">
        <v>339</v>
      </c>
      <c r="C87" s="11">
        <f>+SUMIFS('2021'!Z:Z,'2021'!D:D,CRUCE!A87,'2021'!AT:AT,CRUCE!B87)</f>
        <v>0</v>
      </c>
      <c r="D87" s="11">
        <f>+SUMIFS('2022'!Y:Y,'2022'!D:D,CRUCE!A87,'2022'!AS:AS,CRUCE!B87)</f>
        <v>0</v>
      </c>
      <c r="E87" s="136" t="e">
        <f t="shared" si="37"/>
        <v>#DIV/0!</v>
      </c>
      <c r="F87" s="11">
        <f>+SUMIFS('2023'!Y:Y,'2023'!D:D,CRUCE!A87,'2023'!AS:AS,CRUCE!B87)</f>
        <v>0</v>
      </c>
      <c r="G87" s="136" t="e">
        <f t="shared" si="38"/>
        <v>#DIV/0!</v>
      </c>
      <c r="H87" s="11">
        <f>+SUMIFS('2024'!J:J,'2024'!D:D,CRUCE!A87,'2024'!AT:AT,CRUCE!B87)</f>
        <v>0</v>
      </c>
      <c r="I87" s="7" t="str">
        <f t="shared" ref="I87" si="56">+$A87&amp;$B87&amp;C87</f>
        <v>20Pereira0</v>
      </c>
      <c r="J87" s="7" t="str">
        <f t="shared" ref="J87" si="57">+$A87&amp;$B87&amp;D87</f>
        <v>20Pereira0</v>
      </c>
      <c r="K87" s="7" t="str">
        <f t="shared" ref="K87" si="58">+$A87&amp;$B87&amp;F87</f>
        <v>20Pereira0</v>
      </c>
      <c r="L87" s="7" t="str">
        <f t="shared" ref="L87" si="59">+$A87&amp;$B87&amp;H87</f>
        <v>20Pereira0</v>
      </c>
      <c r="M87" t="s">
        <v>1906</v>
      </c>
      <c r="N87" s="136" t="e">
        <f t="shared" si="49"/>
        <v>#DIV/0!</v>
      </c>
      <c r="O87" s="136"/>
      <c r="P87" s="20" t="e">
        <f t="shared" si="39"/>
        <v>#DIV/0!</v>
      </c>
      <c r="Q87" s="136">
        <v>0.05</v>
      </c>
      <c r="R87" s="136">
        <v>0.05</v>
      </c>
      <c r="S87" s="20" t="e">
        <f t="shared" si="40"/>
        <v>#DIV/0!</v>
      </c>
      <c r="T87" s="136">
        <v>0.05</v>
      </c>
      <c r="U87" s="136">
        <v>0.05</v>
      </c>
      <c r="V87" s="20" t="e">
        <f t="shared" si="41"/>
        <v>#DIV/0!</v>
      </c>
    </row>
    <row r="88" spans="1:22" hidden="1" x14ac:dyDescent="0.3">
      <c r="A88" s="5">
        <v>20</v>
      </c>
      <c r="B88" s="8" t="s">
        <v>309</v>
      </c>
      <c r="C88" s="11">
        <f>+SUMIFS('2021'!Z:Z,'2021'!D:D,CRUCE!A88,'2021'!AT:AT,CRUCE!B88)</f>
        <v>0</v>
      </c>
      <c r="D88" s="11">
        <f>+SUMIFS('2022'!Y:Y,'2022'!D:D,CRUCE!A88,'2022'!AS:AS,CRUCE!B88)</f>
        <v>0</v>
      </c>
      <c r="E88" s="136" t="e">
        <f t="shared" si="37"/>
        <v>#DIV/0!</v>
      </c>
      <c r="F88" s="11">
        <f>+SUMIFS('2023'!Y:Y,'2023'!D:D,CRUCE!A88,'2023'!AS:AS,CRUCE!B88)</f>
        <v>0</v>
      </c>
      <c r="G88" s="136" t="e">
        <f t="shared" si="38"/>
        <v>#DIV/0!</v>
      </c>
      <c r="H88" s="11">
        <f>+SUMIFS('2024'!J:J,'2024'!D:D,CRUCE!A88,'2024'!AT:AT,CRUCE!B88)</f>
        <v>0</v>
      </c>
      <c r="I88" s="7" t="str">
        <f t="shared" si="45"/>
        <v>20Policía Nacional0</v>
      </c>
      <c r="J88" s="7" t="str">
        <f t="shared" si="46"/>
        <v>20Policía Nacional0</v>
      </c>
      <c r="K88" s="7" t="str">
        <f t="shared" si="47"/>
        <v>20Policía Nacional0</v>
      </c>
      <c r="L88" s="7" t="str">
        <f t="shared" si="48"/>
        <v>20Policía Nacional0</v>
      </c>
      <c r="M88" t="s">
        <v>1906</v>
      </c>
      <c r="N88" s="136" t="e">
        <f t="shared" si="49"/>
        <v>#DIV/0!</v>
      </c>
      <c r="O88" s="136"/>
      <c r="P88" s="20" t="e">
        <f t="shared" si="39"/>
        <v>#DIV/0!</v>
      </c>
      <c r="Q88" s="136">
        <v>0.05</v>
      </c>
      <c r="R88" s="136">
        <v>0.05</v>
      </c>
      <c r="S88" s="20" t="e">
        <f t="shared" si="40"/>
        <v>#DIV/0!</v>
      </c>
      <c r="T88" s="136">
        <v>0.05</v>
      </c>
      <c r="U88" s="136">
        <v>0.05</v>
      </c>
      <c r="V88" s="20" t="e">
        <f t="shared" si="41"/>
        <v>#DIV/0!</v>
      </c>
    </row>
    <row r="89" spans="1:22" hidden="1" x14ac:dyDescent="0.3">
      <c r="A89" s="5">
        <v>20</v>
      </c>
      <c r="B89" s="8" t="s">
        <v>323</v>
      </c>
      <c r="C89" s="11">
        <f>+SUMIFS('2021'!Z:Z,'2021'!D:D,CRUCE!A89,'2021'!AT:AT,CRUCE!B89)</f>
        <v>0</v>
      </c>
      <c r="D89" s="11">
        <f>+SUMIFS('2022'!Y:Y,'2022'!D:D,CRUCE!A89,'2022'!AS:AS,CRUCE!B89)</f>
        <v>0</v>
      </c>
      <c r="E89" s="136" t="e">
        <f t="shared" si="37"/>
        <v>#DIV/0!</v>
      </c>
      <c r="F89" s="11">
        <f>+SUMIFS('2023'!Y:Y,'2023'!D:D,CRUCE!A89,'2023'!AS:AS,CRUCE!B89)</f>
        <v>0</v>
      </c>
      <c r="G89" s="136" t="e">
        <f t="shared" si="38"/>
        <v>#DIV/0!</v>
      </c>
      <c r="H89" s="11">
        <f>+SUMIFS('2024'!J:J,'2024'!D:D,CRUCE!A89,'2024'!AT:AT,CRUCE!B89)</f>
        <v>0</v>
      </c>
      <c r="I89" s="7" t="str">
        <f t="shared" si="45"/>
        <v>20Puerto Salgar0</v>
      </c>
      <c r="J89" s="7" t="str">
        <f t="shared" si="46"/>
        <v>20Puerto Salgar0</v>
      </c>
      <c r="K89" s="7" t="str">
        <f t="shared" si="47"/>
        <v>20Puerto Salgar0</v>
      </c>
      <c r="L89" s="7" t="str">
        <f t="shared" si="48"/>
        <v>20Puerto Salgar0</v>
      </c>
      <c r="M89" t="s">
        <v>1906</v>
      </c>
      <c r="N89" s="136" t="e">
        <f t="shared" si="49"/>
        <v>#DIV/0!</v>
      </c>
      <c r="O89" s="136"/>
      <c r="P89" s="20" t="e">
        <f t="shared" si="39"/>
        <v>#DIV/0!</v>
      </c>
      <c r="Q89" s="136">
        <v>0.05</v>
      </c>
      <c r="R89" s="136">
        <v>0.05</v>
      </c>
      <c r="S89" s="20" t="e">
        <f t="shared" si="40"/>
        <v>#DIV/0!</v>
      </c>
      <c r="T89" s="136">
        <v>0.05</v>
      </c>
      <c r="U89" s="136">
        <v>0.05</v>
      </c>
      <c r="V89" s="20" t="e">
        <f t="shared" si="41"/>
        <v>#DIV/0!</v>
      </c>
    </row>
    <row r="90" spans="1:22" hidden="1" x14ac:dyDescent="0.3">
      <c r="A90" s="5">
        <v>20</v>
      </c>
      <c r="B90" s="8" t="s">
        <v>337</v>
      </c>
      <c r="C90" s="11">
        <f>+SUMIFS('2021'!Z:Z,'2021'!D:D,CRUCE!A90,'2021'!AT:AT,CRUCE!B90)</f>
        <v>0</v>
      </c>
      <c r="D90" s="11">
        <f>+SUMIFS('2022'!Y:Y,'2022'!D:D,CRUCE!A90,'2022'!AS:AS,CRUCE!B90)</f>
        <v>0</v>
      </c>
      <c r="E90" s="136" t="e">
        <f t="shared" si="37"/>
        <v>#DIV/0!</v>
      </c>
      <c r="F90" s="11">
        <f>+SUMIFS('2023'!Y:Y,'2023'!D:D,CRUCE!A90,'2023'!AS:AS,CRUCE!B90)</f>
        <v>0</v>
      </c>
      <c r="G90" s="136" t="e">
        <f t="shared" si="38"/>
        <v>#DIV/0!</v>
      </c>
      <c r="H90" s="11">
        <f>+SUMIFS('2024'!J:J,'2024'!D:D,CRUCE!A90,'2024'!AT:AT,CRUCE!B90)</f>
        <v>0</v>
      </c>
      <c r="I90" s="7" t="str">
        <f t="shared" si="45"/>
        <v>20Quimbaya0</v>
      </c>
      <c r="J90" s="7" t="str">
        <f t="shared" si="46"/>
        <v>20Quimbaya0</v>
      </c>
      <c r="K90" s="7" t="str">
        <f t="shared" si="47"/>
        <v>20Quimbaya0</v>
      </c>
      <c r="L90" s="7" t="str">
        <f t="shared" si="48"/>
        <v>20Quimbaya0</v>
      </c>
      <c r="M90" t="s">
        <v>1906</v>
      </c>
      <c r="N90" s="136" t="e">
        <f t="shared" si="49"/>
        <v>#DIV/0!</v>
      </c>
      <c r="O90" s="136"/>
      <c r="P90" s="20" t="e">
        <f t="shared" si="39"/>
        <v>#DIV/0!</v>
      </c>
      <c r="Q90" s="136">
        <v>0.05</v>
      </c>
      <c r="R90" s="136">
        <v>0.05</v>
      </c>
      <c r="S90" s="20" t="e">
        <f t="shared" si="40"/>
        <v>#DIV/0!</v>
      </c>
      <c r="T90" s="136">
        <v>0.05</v>
      </c>
      <c r="U90" s="136">
        <v>0.05</v>
      </c>
      <c r="V90" s="20" t="e">
        <f t="shared" si="41"/>
        <v>#DIV/0!</v>
      </c>
    </row>
    <row r="91" spans="1:22" hidden="1" x14ac:dyDescent="0.3">
      <c r="A91" s="5">
        <v>20</v>
      </c>
      <c r="B91" s="8" t="s">
        <v>1208</v>
      </c>
      <c r="C91" s="11">
        <f>+SUMIFS('2021'!Z:Z,'2021'!D:D,CRUCE!A91,'2021'!AT:AT,CRUCE!B91)</f>
        <v>0</v>
      </c>
      <c r="D91" s="11">
        <f>+SUMIFS('2022'!Y:Y,'2022'!D:D,CRUCE!A91,'2022'!AS:AS,CRUCE!B91)</f>
        <v>0</v>
      </c>
      <c r="E91" s="136" t="e">
        <f t="shared" si="37"/>
        <v>#DIV/0!</v>
      </c>
      <c r="F91" s="11">
        <f>+SUMIFS('2023'!Y:Y,'2023'!D:D,CRUCE!A91,'2023'!AS:AS,CRUCE!B91)</f>
        <v>0</v>
      </c>
      <c r="G91" s="136" t="e">
        <f t="shared" si="38"/>
        <v>#DIV/0!</v>
      </c>
      <c r="H91" s="11">
        <f>+SUMIFS('2024'!J:J,'2024'!D:D,CRUCE!A91,'2024'!AT:AT,CRUCE!B91)</f>
        <v>0</v>
      </c>
      <c r="I91" s="7" t="str">
        <f t="shared" si="45"/>
        <v>20Recursos no apropiados0</v>
      </c>
      <c r="J91" s="7" t="str">
        <f t="shared" si="46"/>
        <v>20Recursos no apropiados0</v>
      </c>
      <c r="K91" s="7" t="str">
        <f t="shared" si="47"/>
        <v>20Recursos no apropiados0</v>
      </c>
      <c r="L91" s="7" t="str">
        <f t="shared" si="48"/>
        <v>20Recursos no apropiados0</v>
      </c>
      <c r="M91" t="s">
        <v>1906</v>
      </c>
      <c r="N91" s="136" t="e">
        <f t="shared" si="49"/>
        <v>#DIV/0!</v>
      </c>
      <c r="O91" s="136"/>
      <c r="P91" s="20" t="e">
        <f t="shared" si="39"/>
        <v>#DIV/0!</v>
      </c>
      <c r="Q91" s="136">
        <v>0.05</v>
      </c>
      <c r="R91" s="136">
        <v>0.05</v>
      </c>
      <c r="S91" s="20" t="e">
        <f t="shared" si="40"/>
        <v>#DIV/0!</v>
      </c>
      <c r="T91" s="136">
        <v>0.05</v>
      </c>
      <c r="U91" s="136">
        <v>0.05</v>
      </c>
      <c r="V91" s="20" t="e">
        <f t="shared" si="41"/>
        <v>#DIV/0!</v>
      </c>
    </row>
    <row r="92" spans="1:22" x14ac:dyDescent="0.3">
      <c r="A92" s="5">
        <v>20</v>
      </c>
      <c r="B92" s="8" t="s">
        <v>459</v>
      </c>
      <c r="C92" s="11">
        <f>+SUMIFS('2021'!Z:Z,'2021'!D:D,CRUCE!A92,'2021'!AT:AT,CRUCE!B92)</f>
        <v>97633590.069999993</v>
      </c>
      <c r="D92" s="11">
        <f>+SUMIFS('2022'!Y:Y,'2022'!D:D,CRUCE!A92,'2022'!AS:AS,CRUCE!B92)</f>
        <v>100405457.84</v>
      </c>
      <c r="E92" s="136">
        <f t="shared" si="37"/>
        <v>2.839051363380856E-2</v>
      </c>
      <c r="F92" s="11">
        <f>+SUMIFS('2023'!Y:Y,'2023'!D:D,CRUCE!A92,'2023'!AS:AS,CRUCE!B92)</f>
        <v>513142893.41000003</v>
      </c>
      <c r="G92" s="136">
        <f t="shared" si="38"/>
        <v>4.1107071711949486</v>
      </c>
      <c r="H92" s="11">
        <f>+SUMIFS('2024'!J:J,'2024'!D:D,CRUCE!A92,'2024'!AT:AT,CRUCE!B92)</f>
        <v>10000000</v>
      </c>
      <c r="I92" s="7" t="str">
        <f t="shared" si="45"/>
        <v>20Reintegros97633590,07</v>
      </c>
      <c r="J92" s="7" t="str">
        <f t="shared" si="46"/>
        <v>20Reintegros100405457,84</v>
      </c>
      <c r="K92" s="7" t="str">
        <f t="shared" si="47"/>
        <v>20Reintegros513142893,41</v>
      </c>
      <c r="L92" s="7" t="str">
        <f t="shared" si="48"/>
        <v>20Reintegros10000000</v>
      </c>
      <c r="M92" t="s">
        <v>1906</v>
      </c>
      <c r="N92" s="136">
        <v>0.05</v>
      </c>
      <c r="O92" s="11">
        <f>+O85-O86</f>
        <v>-400.26999855041504</v>
      </c>
      <c r="P92" s="20">
        <f t="shared" si="39"/>
        <v>10500000</v>
      </c>
      <c r="Q92" s="136">
        <f t="shared" ref="Q92:Q97" si="60">+N92</f>
        <v>0.05</v>
      </c>
      <c r="R92" s="136">
        <f t="shared" ref="R92:R97" si="61">+Q92</f>
        <v>0.05</v>
      </c>
      <c r="S92" s="20">
        <f t="shared" si="40"/>
        <v>11025000</v>
      </c>
      <c r="T92" s="136">
        <v>0.05</v>
      </c>
      <c r="U92" s="136">
        <f t="shared" ref="U92:U97" si="62">+R92</f>
        <v>0.05</v>
      </c>
      <c r="V92" s="20">
        <f t="shared" si="41"/>
        <v>11576250</v>
      </c>
    </row>
    <row r="93" spans="1:22" x14ac:dyDescent="0.3">
      <c r="A93" s="5">
        <v>20</v>
      </c>
      <c r="B93" s="8" t="s">
        <v>192</v>
      </c>
      <c r="C93" s="11">
        <f>+SUMIFS('2021'!Z:Z,'2021'!D:D,CRUCE!A93,'2021'!AT:AT,CRUCE!B93)</f>
        <v>411247709.19</v>
      </c>
      <c r="D93" s="11">
        <f>+SUMIFS('2022'!Y:Y,'2022'!D:D,CRUCE!A93,'2022'!AS:AS,CRUCE!B93)</f>
        <v>160247716.12</v>
      </c>
      <c r="E93" s="136">
        <f t="shared" si="37"/>
        <v>-0.6103377294535538</v>
      </c>
      <c r="F93" s="11">
        <f>+SUMIFS('2023'!Y:Y,'2023'!D:D,CRUCE!A93,'2023'!AS:AS,CRUCE!B93)</f>
        <v>142687775</v>
      </c>
      <c r="G93" s="136">
        <f t="shared" si="38"/>
        <v>-0.10957997745721634</v>
      </c>
      <c r="H93" s="140">
        <f>+SUMIFS('2024'!J:J,'2024'!D:D,CRUCE!A93,'2024'!AT:AT,CRUCE!B93)</f>
        <v>217044000</v>
      </c>
      <c r="I93" s="7" t="str">
        <f t="shared" si="45"/>
        <v>20Sanciones administrativas411247709,19</v>
      </c>
      <c r="J93" s="7" t="str">
        <f t="shared" si="46"/>
        <v>20Sanciones administrativas160247716,12</v>
      </c>
      <c r="K93" s="7" t="str">
        <f t="shared" si="47"/>
        <v>20Sanciones administrativas142687775</v>
      </c>
      <c r="L93" s="7" t="str">
        <f t="shared" si="48"/>
        <v>20Sanciones administrativas217044000</v>
      </c>
      <c r="M93" t="s">
        <v>1906</v>
      </c>
      <c r="N93" s="136">
        <v>0.05</v>
      </c>
      <c r="P93" s="20">
        <f t="shared" si="39"/>
        <v>227896200</v>
      </c>
      <c r="Q93" s="136">
        <f t="shared" si="60"/>
        <v>0.05</v>
      </c>
      <c r="R93" s="136">
        <f t="shared" si="61"/>
        <v>0.05</v>
      </c>
      <c r="S93" s="20">
        <f t="shared" si="40"/>
        <v>239291010</v>
      </c>
      <c r="T93" s="136">
        <v>0.05</v>
      </c>
      <c r="U93" s="136">
        <f t="shared" si="62"/>
        <v>0.05</v>
      </c>
      <c r="V93" s="20">
        <f t="shared" si="41"/>
        <v>251255560.5</v>
      </c>
    </row>
    <row r="94" spans="1:22" x14ac:dyDescent="0.3">
      <c r="A94" s="5">
        <v>20</v>
      </c>
      <c r="B94" s="8" t="s">
        <v>190</v>
      </c>
      <c r="C94" s="11">
        <f>+SUMIFS('2021'!Z:Z,'2021'!D:D,CRUCE!A94,'2021'!AT:AT,CRUCE!B94)</f>
        <v>13829399.970000001</v>
      </c>
      <c r="D94" s="11">
        <f>+SUMIFS('2022'!Y:Y,'2022'!D:D,CRUCE!A94,'2022'!AS:AS,CRUCE!B94)</f>
        <v>0</v>
      </c>
      <c r="E94" s="136">
        <f t="shared" si="37"/>
        <v>-1</v>
      </c>
      <c r="F94" s="11">
        <f>+SUMIFS('2023'!Y:Y,'2023'!D:D,CRUCE!A94,'2023'!AS:AS,CRUCE!B94)</f>
        <v>0</v>
      </c>
      <c r="G94" s="136" t="e">
        <f t="shared" si="38"/>
        <v>#DIV/0!</v>
      </c>
      <c r="H94" s="140">
        <f>+SUMIFS('2024'!J:J,'2024'!D:D,CRUCE!A94,'2024'!AT:AT,CRUCE!B94)</f>
        <v>1000000</v>
      </c>
      <c r="I94" s="7" t="str">
        <f t="shared" si="45"/>
        <v>20Sanciones contractuales13829399,97</v>
      </c>
      <c r="J94" s="7" t="str">
        <f t="shared" si="46"/>
        <v>20Sanciones contractuales0</v>
      </c>
      <c r="K94" s="7" t="str">
        <f t="shared" si="47"/>
        <v>20Sanciones contractuales0</v>
      </c>
      <c r="L94" s="7" t="str">
        <f t="shared" si="48"/>
        <v>20Sanciones contractuales1000000</v>
      </c>
      <c r="M94" t="s">
        <v>1906</v>
      </c>
      <c r="N94" s="136">
        <v>0.05</v>
      </c>
      <c r="P94" s="20">
        <f t="shared" si="39"/>
        <v>1050000</v>
      </c>
      <c r="Q94" s="136">
        <f t="shared" si="60"/>
        <v>0.05</v>
      </c>
      <c r="R94" s="136">
        <f t="shared" si="61"/>
        <v>0.05</v>
      </c>
      <c r="S94" s="20">
        <f t="shared" si="40"/>
        <v>1102500</v>
      </c>
      <c r="T94" s="136">
        <v>0.05</v>
      </c>
      <c r="U94" s="136">
        <f t="shared" si="62"/>
        <v>0.05</v>
      </c>
      <c r="V94" s="20">
        <f t="shared" si="41"/>
        <v>1157625</v>
      </c>
    </row>
    <row r="95" spans="1:22" x14ac:dyDescent="0.3">
      <c r="A95" s="5">
        <v>20</v>
      </c>
      <c r="B95" s="8" t="s">
        <v>188</v>
      </c>
      <c r="C95" s="11">
        <f>+SUMIFS('2021'!Z:Z,'2021'!D:D,CRUCE!A95,'2021'!AT:AT,CRUCE!B95)</f>
        <v>43592416.200000003</v>
      </c>
      <c r="D95" s="11">
        <f>+SUMIFS('2022'!Y:Y,'2022'!D:D,CRUCE!A95,'2022'!AS:AS,CRUCE!B95)</f>
        <v>61695257.200000003</v>
      </c>
      <c r="E95" s="136">
        <f t="shared" si="37"/>
        <v>0.41527500831669889</v>
      </c>
      <c r="F95" s="11">
        <f>+SUMIFS('2023'!Y:Y,'2023'!D:D,CRUCE!A95,'2023'!AS:AS,CRUCE!B95)</f>
        <v>42649694.219999999</v>
      </c>
      <c r="G95" s="136">
        <f t="shared" si="38"/>
        <v>-0.30870384279717378</v>
      </c>
      <c r="H95" s="140">
        <f>+SUMIFS('2024'!J:J,'2024'!D:D,CRUCE!A95,'2024'!AT:AT,CRUCE!B95)</f>
        <v>77643000</v>
      </c>
      <c r="I95" s="7" t="str">
        <f t="shared" si="45"/>
        <v>20Sanciones disciplinarias43592416,2</v>
      </c>
      <c r="J95" s="7" t="str">
        <f t="shared" si="46"/>
        <v>20Sanciones disciplinarias61695257,2</v>
      </c>
      <c r="K95" s="7" t="str">
        <f t="shared" si="47"/>
        <v>20Sanciones disciplinarias42649694,22</v>
      </c>
      <c r="L95" s="7" t="str">
        <f t="shared" si="48"/>
        <v>20Sanciones disciplinarias77643000</v>
      </c>
      <c r="M95" t="s">
        <v>1906</v>
      </c>
      <c r="N95" s="136">
        <f t="shared" si="49"/>
        <v>5.3285582759762556E-2</v>
      </c>
      <c r="P95" s="20">
        <f t="shared" si="39"/>
        <v>81780252.50221625</v>
      </c>
      <c r="Q95" s="136">
        <f t="shared" si="60"/>
        <v>5.3285582759762556E-2</v>
      </c>
      <c r="R95" s="136">
        <f t="shared" si="61"/>
        <v>5.3285582759762556E-2</v>
      </c>
      <c r="S95" s="20">
        <f t="shared" si="40"/>
        <v>86137960.915037379</v>
      </c>
      <c r="T95" s="136">
        <v>0.05</v>
      </c>
      <c r="U95" s="136">
        <f t="shared" si="62"/>
        <v>5.3285582759762556E-2</v>
      </c>
      <c r="V95" s="20">
        <f t="shared" si="41"/>
        <v>90727872.360132799</v>
      </c>
    </row>
    <row r="96" spans="1:22" x14ac:dyDescent="0.3">
      <c r="A96" s="5">
        <v>20</v>
      </c>
      <c r="B96" s="8" t="s">
        <v>194</v>
      </c>
      <c r="C96" s="11">
        <f>+SUMIFS('2021'!Z:Z,'2021'!D:D,CRUCE!A96,'2021'!AT:AT,CRUCE!B96)</f>
        <v>11692237.199999999</v>
      </c>
      <c r="D96" s="11">
        <f>+SUMIFS('2022'!Y:Y,'2022'!D:D,CRUCE!A96,'2022'!AS:AS,CRUCE!B96)</f>
        <v>1183176</v>
      </c>
      <c r="E96" s="136">
        <f t="shared" si="37"/>
        <v>-0.89880670570042831</v>
      </c>
      <c r="F96" s="11">
        <f>+SUMIFS('2023'!Y:Y,'2023'!D:D,CRUCE!A96,'2023'!AS:AS,CRUCE!B96)</f>
        <v>9959056</v>
      </c>
      <c r="G96" s="136">
        <f t="shared" si="38"/>
        <v>7.4172227969465236</v>
      </c>
      <c r="H96" s="140">
        <f>+SUMIFS('2024'!J:J,'2024'!D:D,CRUCE!A96,'2024'!AT:AT,CRUCE!B96)</f>
        <v>1000000</v>
      </c>
      <c r="I96" s="7" t="str">
        <f t="shared" si="45"/>
        <v>20Sanciones fiscales11692237,2</v>
      </c>
      <c r="J96" s="7" t="str">
        <f t="shared" si="46"/>
        <v>20Sanciones fiscales1183176</v>
      </c>
      <c r="K96" s="7" t="str">
        <f t="shared" si="47"/>
        <v>20Sanciones fiscales9959056</v>
      </c>
      <c r="L96" s="7" t="str">
        <f t="shared" si="48"/>
        <v>20Sanciones fiscales1000000</v>
      </c>
      <c r="M96" t="s">
        <v>1906</v>
      </c>
      <c r="N96" s="136">
        <v>0.05</v>
      </c>
      <c r="P96" s="20">
        <f t="shared" si="39"/>
        <v>1050000</v>
      </c>
      <c r="Q96" s="136">
        <f t="shared" si="60"/>
        <v>0.05</v>
      </c>
      <c r="R96" s="136">
        <f t="shared" si="61"/>
        <v>0.05</v>
      </c>
      <c r="S96" s="20">
        <f t="shared" si="40"/>
        <v>1102500</v>
      </c>
      <c r="T96" s="136">
        <v>0.08</v>
      </c>
      <c r="U96" s="136">
        <f t="shared" si="62"/>
        <v>0.05</v>
      </c>
      <c r="V96" s="20">
        <f t="shared" si="41"/>
        <v>1157625</v>
      </c>
    </row>
    <row r="97" spans="1:22" x14ac:dyDescent="0.3">
      <c r="A97" s="5">
        <v>20</v>
      </c>
      <c r="B97" s="8" t="s">
        <v>207</v>
      </c>
      <c r="C97" s="11">
        <f>+SUMIFS('2021'!Z:Z,'2021'!D:D,CRUCE!A97,'2021'!AT:AT,CRUCE!B97)</f>
        <v>4901033.34</v>
      </c>
      <c r="D97" s="11">
        <f>+SUMIFS('2022'!Y:Y,'2022'!D:D,CRUCE!A97,'2022'!AS:AS,CRUCE!B97)</f>
        <v>7352396</v>
      </c>
      <c r="E97" s="136">
        <f t="shared" si="37"/>
        <v>0.50017261461845108</v>
      </c>
      <c r="F97" s="11">
        <f>+SUMIFS('2023'!Y:Y,'2023'!D:D,CRUCE!A97,'2023'!AS:AS,CRUCE!B97)</f>
        <v>52140452</v>
      </c>
      <c r="G97" s="136">
        <f t="shared" si="38"/>
        <v>6.0916272736125752</v>
      </c>
      <c r="H97" s="11">
        <f>+SUMIFS('2024'!J:J,'2024'!D:D,CRUCE!A97,'2024'!AT:AT,CRUCE!B97)</f>
        <v>114118425</v>
      </c>
      <c r="I97" s="7" t="str">
        <f t="shared" si="45"/>
        <v>20Sanciones sanitarias4901033,34</v>
      </c>
      <c r="J97" s="7" t="str">
        <f t="shared" si="46"/>
        <v>20Sanciones sanitarias7352396</v>
      </c>
      <c r="K97" s="7" t="str">
        <f t="shared" si="47"/>
        <v>20Sanciones sanitarias52140452</v>
      </c>
      <c r="L97" s="7" t="str">
        <f t="shared" si="48"/>
        <v>20Sanciones sanitarias114118425</v>
      </c>
      <c r="M97" t="s">
        <v>1906</v>
      </c>
      <c r="N97" s="136">
        <v>0.05</v>
      </c>
      <c r="O97" s="11">
        <f>+O74-H74</f>
        <v>116400790.5</v>
      </c>
      <c r="P97" s="20">
        <f t="shared" si="39"/>
        <v>119824346.25</v>
      </c>
      <c r="Q97" s="136">
        <f t="shared" si="60"/>
        <v>0.05</v>
      </c>
      <c r="R97" s="136">
        <f t="shared" si="61"/>
        <v>0.05</v>
      </c>
      <c r="S97" s="20">
        <f t="shared" si="40"/>
        <v>125815563.5625</v>
      </c>
      <c r="T97" s="136">
        <v>0.08</v>
      </c>
      <c r="U97" s="136">
        <f t="shared" si="62"/>
        <v>0.05</v>
      </c>
      <c r="V97" s="20">
        <f t="shared" si="41"/>
        <v>132106341.74062499</v>
      </c>
    </row>
    <row r="98" spans="1:22" hidden="1" x14ac:dyDescent="0.3">
      <c r="A98" s="5">
        <v>20</v>
      </c>
      <c r="B98" s="8" t="s">
        <v>234</v>
      </c>
      <c r="C98" s="11">
        <f>+SUMIFS('2021'!Z:Z,'2021'!D:D,CRUCE!A98,'2021'!AT:AT,CRUCE!B98)</f>
        <v>25165497.34</v>
      </c>
      <c r="D98" s="11">
        <f>+SUMIFS('2022'!Y:Y,'2022'!D:D,CRUCE!A98,'2022'!AS:AS,CRUCE!B98)</f>
        <v>182063576.34999999</v>
      </c>
      <c r="E98" s="136">
        <f t="shared" si="37"/>
        <v>6.2346504378681189</v>
      </c>
      <c r="F98" s="11">
        <f>+SUMIFS('2023'!Y:Y,'2023'!D:D,CRUCE!A98,'2023'!AS:AS,CRUCE!B98)</f>
        <v>138508410.56</v>
      </c>
      <c r="G98" s="136">
        <f t="shared" si="38"/>
        <v>-0.23923052959406502</v>
      </c>
      <c r="H98" s="11">
        <f>+SUMIFS('2024'!J:J,'2024'!D:D,CRUCE!A98,'2024'!AT:AT,CRUCE!B98)</f>
        <v>0</v>
      </c>
      <c r="I98" s="7" t="str">
        <f t="shared" si="45"/>
        <v>20Servicion inmobiliarios relativos a bienes raíces propios o arrendados25165497,34</v>
      </c>
      <c r="J98" s="7" t="str">
        <f t="shared" si="46"/>
        <v>20Servicion inmobiliarios relativos a bienes raíces propios o arrendados182063576,35</v>
      </c>
      <c r="K98" s="7" t="str">
        <f t="shared" si="47"/>
        <v>20Servicion inmobiliarios relativos a bienes raíces propios o arrendados138508410,56</v>
      </c>
      <c r="L98" s="7" t="str">
        <f t="shared" si="48"/>
        <v>20Servicion inmobiliarios relativos a bienes raíces propios o arrendados0</v>
      </c>
      <c r="M98" t="s">
        <v>1906</v>
      </c>
      <c r="N98" s="136">
        <f t="shared" si="49"/>
        <v>2.9977099541370271</v>
      </c>
      <c r="O98" s="136"/>
      <c r="P98" s="20">
        <f t="shared" si="39"/>
        <v>0</v>
      </c>
      <c r="Q98" s="136">
        <v>0.08</v>
      </c>
      <c r="R98" s="136">
        <v>0.08</v>
      </c>
      <c r="S98" s="20">
        <f t="shared" si="40"/>
        <v>0</v>
      </c>
      <c r="T98" s="136">
        <v>0.08</v>
      </c>
      <c r="U98" s="136">
        <v>0.08</v>
      </c>
      <c r="V98" s="20">
        <f t="shared" si="41"/>
        <v>0</v>
      </c>
    </row>
    <row r="99" spans="1:22" hidden="1" x14ac:dyDescent="0.3">
      <c r="A99" s="5">
        <v>20</v>
      </c>
      <c r="B99" s="8" t="s">
        <v>240</v>
      </c>
      <c r="C99" s="11">
        <f>+SUMIFS('2021'!Z:Z,'2021'!D:D,CRUCE!A99,'2021'!AT:AT,CRUCE!B99)</f>
        <v>0</v>
      </c>
      <c r="D99" s="11">
        <f>+SUMIFS('2022'!Y:Y,'2022'!D:D,CRUCE!A99,'2022'!AS:AS,CRUCE!B99)</f>
        <v>0</v>
      </c>
      <c r="E99" s="136" t="e">
        <f t="shared" si="37"/>
        <v>#DIV/0!</v>
      </c>
      <c r="F99" s="11">
        <f>+SUMIFS('2023'!Y:Y,'2023'!D:D,CRUCE!A99,'2023'!AS:AS,CRUCE!B99)</f>
        <v>0</v>
      </c>
      <c r="G99" s="136" t="e">
        <f t="shared" si="38"/>
        <v>#DIV/0!</v>
      </c>
      <c r="H99" s="11">
        <f>+SUMIFS('2024'!J:J,'2024'!D:D,CRUCE!A99,'2024'!AT:AT,CRUCE!B99)</f>
        <v>0</v>
      </c>
      <c r="I99" s="7" t="str">
        <f t="shared" si="45"/>
        <v>20Servicios de organización de viajes, operadores turísticos y servicios conexos0</v>
      </c>
      <c r="J99" s="7" t="str">
        <f t="shared" si="46"/>
        <v>20Servicios de organización de viajes, operadores turísticos y servicios conexos0</v>
      </c>
      <c r="K99" s="7" t="str">
        <f t="shared" si="47"/>
        <v>20Servicios de organización de viajes, operadores turísticos y servicios conexos0</v>
      </c>
      <c r="L99" s="7" t="str">
        <f t="shared" si="48"/>
        <v>20Servicios de organización de viajes, operadores turísticos y servicios conexos0</v>
      </c>
      <c r="M99" t="s">
        <v>1906</v>
      </c>
      <c r="N99" s="136" t="e">
        <f t="shared" si="49"/>
        <v>#DIV/0!</v>
      </c>
      <c r="O99" s="136"/>
      <c r="P99" s="20" t="e">
        <f t="shared" si="39"/>
        <v>#DIV/0!</v>
      </c>
      <c r="Q99" s="136">
        <v>0.08</v>
      </c>
      <c r="R99" s="136">
        <v>0.08</v>
      </c>
      <c r="S99" s="20" t="e">
        <f t="shared" si="40"/>
        <v>#DIV/0!</v>
      </c>
      <c r="T99" s="136">
        <v>0.08</v>
      </c>
      <c r="U99" s="136">
        <v>0.08</v>
      </c>
      <c r="V99" s="20" t="e">
        <f t="shared" si="41"/>
        <v>#DIV/0!</v>
      </c>
    </row>
    <row r="100" spans="1:22" x14ac:dyDescent="0.3">
      <c r="A100" s="5">
        <v>20</v>
      </c>
      <c r="B100" s="8" t="s">
        <v>230</v>
      </c>
      <c r="C100" s="11">
        <f>+SUMIFS('2021'!Z:Z,'2021'!D:D,CRUCE!A100,'2021'!AT:AT,CRUCE!B100)</f>
        <v>0</v>
      </c>
      <c r="D100" s="11">
        <f>+SUMIFS('2022'!Y:Y,'2022'!D:D,CRUCE!A100,'2022'!AS:AS,CRUCE!B100)</f>
        <v>0</v>
      </c>
      <c r="E100" s="136" t="e">
        <f t="shared" si="37"/>
        <v>#DIV/0!</v>
      </c>
      <c r="F100" s="11">
        <f>+SUMIFS('2023'!Y:Y,'2023'!D:D,CRUCE!A100,'2023'!AS:AS,CRUCE!B100)</f>
        <v>0</v>
      </c>
      <c r="G100" s="136" t="e">
        <f t="shared" si="38"/>
        <v>#DIV/0!</v>
      </c>
      <c r="H100" s="140">
        <f>+SUMIFS('2024'!J:J,'2024'!D:D,CRUCE!A100,'2024'!AT:AT,CRUCE!B100)</f>
        <v>250000000</v>
      </c>
      <c r="I100" s="7" t="str">
        <f t="shared" si="45"/>
        <v>20Servicios financieros y servicios conexos, servicios inmobiliarios y servicios de leasing0</v>
      </c>
      <c r="J100" s="7" t="str">
        <f t="shared" si="46"/>
        <v>20Servicios financieros y servicios conexos, servicios inmobiliarios y servicios de leasing0</v>
      </c>
      <c r="K100" s="7" t="str">
        <f t="shared" si="47"/>
        <v>20Servicios financieros y servicios conexos, servicios inmobiliarios y servicios de leasing0</v>
      </c>
      <c r="L100" s="7" t="str">
        <f t="shared" si="48"/>
        <v>20Servicios financieros y servicios conexos, servicios inmobiliarios y servicios de leasing250000000</v>
      </c>
      <c r="M100" t="s">
        <v>1906</v>
      </c>
      <c r="N100" s="136">
        <v>0.05</v>
      </c>
      <c r="O100" s="11">
        <f>+O97-H97</f>
        <v>2282365.5</v>
      </c>
      <c r="P100" s="20">
        <f t="shared" si="39"/>
        <v>262500000</v>
      </c>
      <c r="Q100" s="136">
        <f t="shared" ref="Q100:Q101" si="63">+N100</f>
        <v>0.05</v>
      </c>
      <c r="R100" s="136">
        <f t="shared" ref="R100:R101" si="64">+Q100</f>
        <v>0.05</v>
      </c>
      <c r="S100" s="20">
        <f t="shared" si="40"/>
        <v>275625000</v>
      </c>
      <c r="T100" s="136">
        <v>0.1</v>
      </c>
      <c r="U100" s="136">
        <f t="shared" ref="U100:U101" si="65">+R100</f>
        <v>0.05</v>
      </c>
      <c r="V100" s="20">
        <f t="shared" si="41"/>
        <v>289406250</v>
      </c>
    </row>
    <row r="101" spans="1:22" x14ac:dyDescent="0.3">
      <c r="A101" s="5">
        <v>20</v>
      </c>
      <c r="B101" s="8" t="s">
        <v>226</v>
      </c>
      <c r="C101" s="11">
        <f>+SUMIFS('2021'!Z:Z,'2021'!D:D,CRUCE!A101,'2021'!AT:AT,CRUCE!B101)</f>
        <v>126602308.92999999</v>
      </c>
      <c r="D101" s="11">
        <f>+SUMIFS('2022'!Y:Y,'2022'!D:D,CRUCE!A101,'2022'!AS:AS,CRUCE!B101)</f>
        <v>136595092.78</v>
      </c>
      <c r="E101" s="136">
        <f t="shared" si="37"/>
        <v>7.8930502409123873E-2</v>
      </c>
      <c r="F101" s="11">
        <f>+SUMIFS('2023'!Y:Y,'2023'!D:D,CRUCE!A101,'2023'!AS:AS,CRUCE!B101)</f>
        <v>164599377.40000001</v>
      </c>
      <c r="G101" s="136">
        <f t="shared" si="38"/>
        <v>0.20501676927079432</v>
      </c>
      <c r="H101" s="140">
        <f>+SUMIFS('2024'!J:J,'2024'!D:D,CRUCE!A101,'2024'!AT:AT,CRUCE!B101)</f>
        <v>70000000</v>
      </c>
      <c r="I101" s="7" t="str">
        <f t="shared" si="45"/>
        <v>20Servicios para la comunidad, sociales y personales126602308,93</v>
      </c>
      <c r="J101" s="7" t="str">
        <f t="shared" si="46"/>
        <v>20Servicios para la comunidad, sociales y personales136595092,78</v>
      </c>
      <c r="K101" s="7" t="str">
        <f t="shared" si="47"/>
        <v>20Servicios para la comunidad, sociales y personales164599377,4</v>
      </c>
      <c r="L101" s="7" t="str">
        <f t="shared" si="48"/>
        <v>20Servicios para la comunidad, sociales y personales70000000</v>
      </c>
      <c r="M101" t="s">
        <v>1906</v>
      </c>
      <c r="N101" s="136">
        <v>0.05</v>
      </c>
      <c r="P101" s="20">
        <f t="shared" si="39"/>
        <v>73500000</v>
      </c>
      <c r="Q101" s="136">
        <f t="shared" si="63"/>
        <v>0.05</v>
      </c>
      <c r="R101" s="136">
        <f t="shared" si="64"/>
        <v>0.05</v>
      </c>
      <c r="S101" s="20">
        <f t="shared" si="40"/>
        <v>77175000</v>
      </c>
      <c r="T101" s="136">
        <v>0.02</v>
      </c>
      <c r="U101" s="136">
        <f t="shared" si="65"/>
        <v>0.05</v>
      </c>
      <c r="V101" s="20">
        <f t="shared" si="41"/>
        <v>81033750</v>
      </c>
    </row>
    <row r="102" spans="1:22" hidden="1" x14ac:dyDescent="0.3">
      <c r="A102" s="5">
        <v>20</v>
      </c>
      <c r="B102" s="8" t="s">
        <v>343</v>
      </c>
      <c r="C102" s="11">
        <f>+SUMIFS('2021'!Z:Z,'2021'!D:D,CRUCE!A102,'2021'!AT:AT,CRUCE!B102)</f>
        <v>12263685</v>
      </c>
      <c r="D102" s="11">
        <f>+SUMIFS('2022'!Y:Y,'2022'!D:D,CRUCE!A102,'2022'!AS:AS,CRUCE!B102)</f>
        <v>11268440</v>
      </c>
      <c r="E102" s="136">
        <f t="shared" si="37"/>
        <v>-8.1153829375102182E-2</v>
      </c>
      <c r="F102" s="11">
        <f>+SUMIFS('2023'!Y:Y,'2023'!D:D,CRUCE!A102,'2023'!AS:AS,CRUCE!B102)</f>
        <v>0</v>
      </c>
      <c r="G102" s="136">
        <f t="shared" si="38"/>
        <v>-1</v>
      </c>
      <c r="H102" s="11">
        <f>+SUMIFS('2024'!J:J,'2024'!D:D,CRUCE!A102,'2024'!AT:AT,CRUCE!B102)</f>
        <v>0</v>
      </c>
      <c r="I102" s="7" t="str">
        <f t="shared" si="45"/>
        <v>20Sevilla12263685</v>
      </c>
      <c r="J102" s="7" t="str">
        <f t="shared" si="46"/>
        <v>20Sevilla11268440</v>
      </c>
      <c r="K102" s="7" t="str">
        <f t="shared" si="47"/>
        <v>20Sevilla0</v>
      </c>
      <c r="L102" s="7" t="str">
        <f t="shared" si="48"/>
        <v>20Sevilla0</v>
      </c>
      <c r="M102" t="s">
        <v>1906</v>
      </c>
      <c r="N102" s="136">
        <f t="shared" si="49"/>
        <v>-0.54057691468755109</v>
      </c>
      <c r="O102" s="136"/>
      <c r="P102" s="20">
        <f t="shared" si="39"/>
        <v>0</v>
      </c>
      <c r="Q102" s="136">
        <v>0.02</v>
      </c>
      <c r="R102" s="136">
        <v>0.02</v>
      </c>
      <c r="S102" s="20">
        <f t="shared" si="40"/>
        <v>0</v>
      </c>
      <c r="T102" s="136">
        <v>0.02</v>
      </c>
      <c r="U102" s="136">
        <v>0.02</v>
      </c>
      <c r="V102" s="20">
        <f t="shared" si="41"/>
        <v>0</v>
      </c>
    </row>
    <row r="103" spans="1:22" x14ac:dyDescent="0.3">
      <c r="A103" s="5">
        <v>20</v>
      </c>
      <c r="B103" s="8" t="s">
        <v>112</v>
      </c>
      <c r="C103" s="11">
        <f>+SUMIFS('2021'!Z:Z,'2021'!D:D,CRUCE!A103,'2021'!AT:AT,CRUCE!B103)</f>
        <v>8034714604.3299999</v>
      </c>
      <c r="D103" s="11">
        <f>+SUMIFS('2022'!Y:Y,'2022'!D:D,CRUCE!A103,'2022'!AS:AS,CRUCE!B103)</f>
        <v>9426916500</v>
      </c>
      <c r="E103" s="136">
        <f t="shared" si="37"/>
        <v>0.17327334749634124</v>
      </c>
      <c r="F103" s="11">
        <f>+SUMIFS('2023'!Y:Y,'2023'!D:D,CRUCE!A103,'2023'!AS:AS,CRUCE!B103)</f>
        <v>10186449100</v>
      </c>
      <c r="G103" s="136">
        <f t="shared" si="38"/>
        <v>8.0570629855478193E-2</v>
      </c>
      <c r="H103" s="140">
        <f>+SUMIFS('2024'!J:J,'2024'!D:D,CRUCE!A103,'2024'!AT:AT,CRUCE!B103)</f>
        <v>11867811000</v>
      </c>
      <c r="I103" s="7" t="str">
        <f t="shared" si="45"/>
        <v>20Sobretasa a la gasolina 8034714604,33</v>
      </c>
      <c r="J103" s="7" t="str">
        <f t="shared" si="46"/>
        <v>20Sobretasa a la gasolina 9426916500</v>
      </c>
      <c r="K103" s="7" t="str">
        <f t="shared" si="47"/>
        <v>20Sobretasa a la gasolina 10186449100</v>
      </c>
      <c r="L103" s="7" t="str">
        <f t="shared" si="48"/>
        <v>20Sobretasa a la gasolina 11867811000</v>
      </c>
      <c r="M103" t="s">
        <v>1906</v>
      </c>
      <c r="N103" s="136">
        <v>0.05</v>
      </c>
      <c r="P103" s="20">
        <f t="shared" si="39"/>
        <v>12461201550</v>
      </c>
      <c r="Q103" s="136">
        <f>+N103</f>
        <v>0.05</v>
      </c>
      <c r="R103" s="136">
        <f>+Q103</f>
        <v>0.05</v>
      </c>
      <c r="S103" s="20">
        <f t="shared" si="40"/>
        <v>13084261627.5</v>
      </c>
      <c r="T103" s="136">
        <v>0.03</v>
      </c>
      <c r="U103" s="136">
        <f>+R103</f>
        <v>0.05</v>
      </c>
      <c r="V103" s="20">
        <f t="shared" si="41"/>
        <v>13738474708.875</v>
      </c>
    </row>
    <row r="104" spans="1:22" hidden="1" x14ac:dyDescent="0.3">
      <c r="A104" s="5">
        <v>20</v>
      </c>
      <c r="B104" s="8" t="s">
        <v>311</v>
      </c>
      <c r="C104" s="11">
        <f>+SUMIFS('2021'!Z:Z,'2021'!D:D,CRUCE!A104,'2021'!AT:AT,CRUCE!B104)</f>
        <v>1120088</v>
      </c>
      <c r="D104" s="11">
        <f>+SUMIFS('2022'!Y:Y,'2022'!D:D,CRUCE!A104,'2022'!AS:AS,CRUCE!B104)</f>
        <v>1920796</v>
      </c>
      <c r="E104" s="136">
        <f t="shared" si="37"/>
        <v>0.714861689438687</v>
      </c>
      <c r="F104" s="11">
        <f>+SUMIFS('2023'!Y:Y,'2023'!D:D,CRUCE!A104,'2023'!AS:AS,CRUCE!B104)</f>
        <v>0</v>
      </c>
      <c r="G104" s="136">
        <f t="shared" si="38"/>
        <v>-1</v>
      </c>
      <c r="H104" s="11">
        <f>+SUMIFS('2024'!J:J,'2024'!D:D,CRUCE!A104,'2024'!AT:AT,CRUCE!B104)</f>
        <v>0</v>
      </c>
      <c r="I104" s="7" t="str">
        <f t="shared" si="45"/>
        <v>20Superintendencia Financiera de Colombia1120088</v>
      </c>
      <c r="J104" s="7" t="str">
        <f t="shared" si="46"/>
        <v>20Superintendencia Financiera de Colombia1920796</v>
      </c>
      <c r="K104" s="7" t="str">
        <f t="shared" si="47"/>
        <v>20Superintendencia Financiera de Colombia0</v>
      </c>
      <c r="L104" s="7" t="str">
        <f t="shared" si="48"/>
        <v>20Superintendencia Financiera de Colombia0</v>
      </c>
      <c r="M104" t="s">
        <v>1906</v>
      </c>
      <c r="N104" s="136">
        <f t="shared" si="49"/>
        <v>-0.1425691552806565</v>
      </c>
      <c r="O104" s="136"/>
      <c r="P104" s="20">
        <f t="shared" si="39"/>
        <v>0</v>
      </c>
      <c r="Q104" s="136">
        <v>0.02</v>
      </c>
      <c r="R104" s="136">
        <v>0.02</v>
      </c>
      <c r="S104" s="20">
        <f t="shared" si="40"/>
        <v>0</v>
      </c>
      <c r="T104" s="136">
        <v>0.02</v>
      </c>
      <c r="U104" s="136">
        <v>0.02</v>
      </c>
      <c r="V104" s="20">
        <f t="shared" si="41"/>
        <v>0</v>
      </c>
    </row>
    <row r="105" spans="1:22" hidden="1" x14ac:dyDescent="0.3">
      <c r="A105" s="5">
        <v>20</v>
      </c>
      <c r="B105" s="8" t="s">
        <v>321</v>
      </c>
      <c r="C105" s="11">
        <f>+SUMIFS('2021'!Z:Z,'2021'!D:D,CRUCE!A105,'2021'!AT:AT,CRUCE!B105)</f>
        <v>1271053</v>
      </c>
      <c r="D105" s="11">
        <f>+SUMIFS('2022'!Y:Y,'2022'!D:D,CRUCE!A105,'2022'!AS:AS,CRUCE!B105)</f>
        <v>1272540</v>
      </c>
      <c r="E105" s="136">
        <f t="shared" si="37"/>
        <v>1.1698961412309322E-3</v>
      </c>
      <c r="F105" s="11">
        <f>+SUMIFS('2023'!Y:Y,'2023'!D:D,CRUCE!A105,'2023'!AS:AS,CRUCE!B105)</f>
        <v>0</v>
      </c>
      <c r="G105" s="136">
        <f t="shared" si="38"/>
        <v>-1</v>
      </c>
      <c r="H105" s="11">
        <f>+SUMIFS('2024'!J:J,'2024'!D:D,CRUCE!A105,'2024'!AT:AT,CRUCE!B105)</f>
        <v>0</v>
      </c>
      <c r="I105" s="7" t="str">
        <f t="shared" si="45"/>
        <v>20Supía1271053</v>
      </c>
      <c r="J105" s="7" t="str">
        <f t="shared" si="46"/>
        <v>20Supía1272540</v>
      </c>
      <c r="K105" s="7" t="str">
        <f t="shared" si="47"/>
        <v>20Supía0</v>
      </c>
      <c r="L105" s="7" t="str">
        <f t="shared" si="48"/>
        <v>20Supía0</v>
      </c>
      <c r="M105" t="s">
        <v>1906</v>
      </c>
      <c r="N105" s="136">
        <f t="shared" si="49"/>
        <v>-0.49941505192938451</v>
      </c>
      <c r="O105" s="136"/>
      <c r="P105" s="20">
        <f t="shared" si="39"/>
        <v>0</v>
      </c>
      <c r="Q105" s="136">
        <v>0.05</v>
      </c>
      <c r="R105" s="136">
        <v>0.05</v>
      </c>
      <c r="S105" s="20">
        <f t="shared" si="40"/>
        <v>0</v>
      </c>
      <c r="T105" s="136">
        <v>0.05</v>
      </c>
      <c r="U105" s="136">
        <v>0.05</v>
      </c>
      <c r="V105" s="20">
        <f t="shared" si="41"/>
        <v>0</v>
      </c>
    </row>
    <row r="106" spans="1:22" x14ac:dyDescent="0.3">
      <c r="A106" s="5">
        <v>20</v>
      </c>
      <c r="B106" s="8" t="s">
        <v>377</v>
      </c>
      <c r="C106" s="11">
        <f>+SUMIFS('2021'!Z:Z,'2021'!D:D,CRUCE!A106,'2021'!AT:AT,CRUCE!B106)</f>
        <v>63371376.450000003</v>
      </c>
      <c r="D106" s="11">
        <f>+SUMIFS('2022'!Y:Y,'2022'!D:D,CRUCE!A106,'2022'!AS:AS,CRUCE!B106)</f>
        <v>0</v>
      </c>
      <c r="E106" s="136">
        <f t="shared" si="37"/>
        <v>-1</v>
      </c>
      <c r="F106" s="11">
        <f>+SUMIFS('2023'!Y:Y,'2023'!D:D,CRUCE!A106,'2023'!AS:AS,CRUCE!B106)</f>
        <v>369817745</v>
      </c>
      <c r="G106" s="136" t="e">
        <f t="shared" si="38"/>
        <v>#DIV/0!</v>
      </c>
      <c r="H106" s="140">
        <f>+SUMIFS('2024'!J:J,'2024'!D:D,CRUCE!A106,'2024'!AT:AT,CRUCE!B106)</f>
        <v>200000000</v>
      </c>
      <c r="I106" s="7" t="str">
        <f t="shared" si="45"/>
        <v>20Terminal de Transportes de Armenia63371376,45</v>
      </c>
      <c r="J106" s="7" t="str">
        <f t="shared" si="46"/>
        <v>20Terminal de Transportes de Armenia0</v>
      </c>
      <c r="K106" s="7" t="str">
        <f t="shared" si="47"/>
        <v>20Terminal de Transportes de Armenia369817745</v>
      </c>
      <c r="L106" s="7" t="str">
        <f t="shared" si="48"/>
        <v>20Terminal de Transportes de Armenia200000000</v>
      </c>
      <c r="M106" t="s">
        <v>1906</v>
      </c>
      <c r="N106" s="136">
        <v>0.05</v>
      </c>
      <c r="P106" s="20">
        <f t="shared" si="39"/>
        <v>210000000</v>
      </c>
      <c r="Q106" s="136">
        <f>+N106</f>
        <v>0.05</v>
      </c>
      <c r="R106" s="136">
        <f>+Q106</f>
        <v>0.05</v>
      </c>
      <c r="S106" s="20">
        <f t="shared" si="40"/>
        <v>220500000</v>
      </c>
      <c r="T106" s="136">
        <v>0.05</v>
      </c>
      <c r="U106" s="136">
        <f>+R106</f>
        <v>0.05</v>
      </c>
      <c r="V106" s="20">
        <f t="shared" si="41"/>
        <v>231525000</v>
      </c>
    </row>
    <row r="107" spans="1:22" hidden="1" x14ac:dyDescent="0.3">
      <c r="A107" s="5">
        <v>20</v>
      </c>
      <c r="B107" s="8" t="s">
        <v>174</v>
      </c>
      <c r="C107" s="11">
        <f>+SUMIFS('2021'!Z:Z,'2021'!D:D,CRUCE!A107,'2021'!AT:AT,CRUCE!B107)</f>
        <v>0</v>
      </c>
      <c r="D107" s="11">
        <f>+SUMIFS('2022'!Y:Y,'2022'!D:D,CRUCE!A107,'2022'!AS:AS,CRUCE!B107)</f>
        <v>4536421</v>
      </c>
      <c r="E107" s="136" t="e">
        <f t="shared" si="37"/>
        <v>#DIV/0!</v>
      </c>
      <c r="F107" s="11">
        <f>+SUMIFS('2023'!Y:Y,'2023'!D:D,CRUCE!A107,'2023'!AS:AS,CRUCE!B107)</f>
        <v>0</v>
      </c>
      <c r="G107" s="136">
        <f t="shared" si="38"/>
        <v>-1</v>
      </c>
      <c r="H107" s="11">
        <f>+SUMIFS('2024'!J:J,'2024'!D:D,CRUCE!A107,'2024'!AT:AT,CRUCE!B107)</f>
        <v>0</v>
      </c>
      <c r="I107" s="7" t="str">
        <f t="shared" si="45"/>
        <v>20Universidad del Quindío0</v>
      </c>
      <c r="J107" s="7" t="str">
        <f t="shared" si="46"/>
        <v>20Universidad del Quindío4536421</v>
      </c>
      <c r="K107" s="7" t="str">
        <f t="shared" si="47"/>
        <v>20Universidad del Quindío0</v>
      </c>
      <c r="L107" s="7" t="str">
        <f t="shared" si="48"/>
        <v>20Universidad del Quindío0</v>
      </c>
      <c r="M107" t="s">
        <v>1906</v>
      </c>
      <c r="N107" s="136" t="e">
        <f t="shared" si="49"/>
        <v>#DIV/0!</v>
      </c>
      <c r="O107" s="136"/>
      <c r="P107" s="20" t="e">
        <f t="shared" si="39"/>
        <v>#DIV/0!</v>
      </c>
      <c r="Q107" s="136">
        <v>0.05</v>
      </c>
      <c r="R107" s="136">
        <v>0.05</v>
      </c>
      <c r="S107" s="20" t="e">
        <f t="shared" si="40"/>
        <v>#DIV/0!</v>
      </c>
      <c r="T107" s="136">
        <v>0.05</v>
      </c>
      <c r="U107" s="136">
        <v>0.05</v>
      </c>
      <c r="V107" s="20" t="e">
        <f t="shared" si="41"/>
        <v>#DIV/0!</v>
      </c>
    </row>
    <row r="108" spans="1:22" hidden="1" x14ac:dyDescent="0.3">
      <c r="A108" s="5">
        <v>20</v>
      </c>
      <c r="B108" s="8" t="s">
        <v>319</v>
      </c>
      <c r="C108" s="11">
        <f>+SUMIFS('2021'!Z:Z,'2021'!D:D,CRUCE!A108,'2021'!AT:AT,CRUCE!B108)</f>
        <v>51694062</v>
      </c>
      <c r="D108" s="11">
        <f>+SUMIFS('2022'!Y:Y,'2022'!D:D,CRUCE!A108,'2022'!AS:AS,CRUCE!B108)</f>
        <v>40463580</v>
      </c>
      <c r="E108" s="136">
        <f t="shared" si="37"/>
        <v>-0.21724897532718554</v>
      </c>
      <c r="F108" s="11">
        <f>+SUMIFS('2023'!Y:Y,'2023'!D:D,CRUCE!A108,'2023'!AS:AS,CRUCE!B108)</f>
        <v>0</v>
      </c>
      <c r="G108" s="136">
        <f t="shared" si="38"/>
        <v>-1</v>
      </c>
      <c r="H108" s="11">
        <f>+SUMIFS('2024'!J:J,'2024'!D:D,CRUCE!A108,'2024'!AT:AT,CRUCE!B108)</f>
        <v>0</v>
      </c>
      <c r="I108" s="7" t="str">
        <f t="shared" si="45"/>
        <v>20Universidad del Valle51694062</v>
      </c>
      <c r="J108" s="7" t="str">
        <f t="shared" si="46"/>
        <v>20Universidad del Valle40463580</v>
      </c>
      <c r="K108" s="7" t="str">
        <f t="shared" si="47"/>
        <v>20Universidad del Valle0</v>
      </c>
      <c r="L108" s="7" t="str">
        <f t="shared" si="48"/>
        <v>20Universidad del Valle0</v>
      </c>
      <c r="M108" t="s">
        <v>1906</v>
      </c>
      <c r="N108" s="136">
        <f t="shared" si="49"/>
        <v>-0.60862448766359278</v>
      </c>
      <c r="O108" s="136"/>
      <c r="P108" s="20">
        <f t="shared" si="39"/>
        <v>0</v>
      </c>
      <c r="Q108" s="136">
        <v>0.05</v>
      </c>
      <c r="R108" s="136">
        <v>0.05</v>
      </c>
      <c r="S108" s="20">
        <f t="shared" si="40"/>
        <v>0</v>
      </c>
      <c r="T108" s="136">
        <v>0.05</v>
      </c>
      <c r="U108" s="136">
        <v>0.05</v>
      </c>
      <c r="V108" s="20">
        <f t="shared" si="41"/>
        <v>0</v>
      </c>
    </row>
    <row r="109" spans="1:22" x14ac:dyDescent="0.3">
      <c r="A109" s="5">
        <v>21</v>
      </c>
      <c r="B109" s="8" t="s">
        <v>608</v>
      </c>
      <c r="C109" s="11">
        <f>+SUMIFS('2021'!Z:Z,'2021'!D:D,CRUCE!A109,'2021'!AT:AT,CRUCE!B109)</f>
        <v>3286467.8</v>
      </c>
      <c r="D109" s="11">
        <f>+SUMIFS('2022'!Y:Y,'2022'!D:D,CRUCE!A109,'2022'!AS:AS,CRUCE!B109)</f>
        <v>234111300.41999999</v>
      </c>
      <c r="E109" s="136">
        <v>0.03</v>
      </c>
      <c r="F109" s="11">
        <f>+SUMIFS('2023'!Y:Y,'2023'!D:D,CRUCE!A109,'2023'!AS:AS,CRUCE!B109)</f>
        <v>715982292.37</v>
      </c>
      <c r="G109" s="136">
        <v>0.03</v>
      </c>
      <c r="H109" s="11">
        <f>+SUMIFS('2024'!J:J,'2024'!D:D,CRUCE!A109,'2024'!AT:AT,CRUCE!B109)</f>
        <v>248000000</v>
      </c>
      <c r="I109" s="7" t="str">
        <f t="shared" si="45"/>
        <v>21Rendimientos Prestacion de Servicio educativo3286467,8</v>
      </c>
      <c r="J109" s="7" t="str">
        <f t="shared" si="46"/>
        <v>21Rendimientos Prestacion de Servicio educativo234111300,42</v>
      </c>
      <c r="K109" s="7" t="str">
        <f t="shared" si="47"/>
        <v>21Rendimientos Prestacion de Servicio educativo715982292,37</v>
      </c>
      <c r="L109" s="7" t="str">
        <f t="shared" si="48"/>
        <v>21Rendimientos Prestacion de Servicio educativo248000000</v>
      </c>
      <c r="M109" t="s">
        <v>1906</v>
      </c>
      <c r="N109" s="136">
        <v>0.02</v>
      </c>
      <c r="O109" s="136"/>
      <c r="P109" s="20">
        <f>+H109*1.02</f>
        <v>252960000</v>
      </c>
      <c r="Q109" s="136">
        <f>+N109</f>
        <v>0.02</v>
      </c>
      <c r="R109" s="136">
        <f>+Q109</f>
        <v>0.02</v>
      </c>
      <c r="S109" s="20">
        <f>+P109*1.02</f>
        <v>258019200</v>
      </c>
      <c r="T109" s="136">
        <v>0.05</v>
      </c>
      <c r="U109" s="136">
        <f>+R109</f>
        <v>0.02</v>
      </c>
      <c r="V109" s="20">
        <f>+S109*1.02</f>
        <v>263179584</v>
      </c>
    </row>
    <row r="110" spans="1:22" hidden="1" x14ac:dyDescent="0.3">
      <c r="A110" s="5">
        <v>23</v>
      </c>
      <c r="B110" s="8" t="s">
        <v>1150</v>
      </c>
      <c r="C110" s="11">
        <f>+SUMIFS('2021'!Z:Z,'2021'!D:D,CRUCE!A110,'2021'!AT:AT,CRUCE!B110)</f>
        <v>0</v>
      </c>
      <c r="D110" s="11">
        <f>+SUMIFS('2022'!Y:Y,'2022'!D:D,CRUCE!A110,'2022'!AS:AS,CRUCE!B110)</f>
        <v>2370689.27</v>
      </c>
      <c r="E110" s="136" t="e">
        <f t="shared" si="37"/>
        <v>#DIV/0!</v>
      </c>
      <c r="F110" s="11">
        <f>+SUMIFS('2023'!Y:Y,'2023'!D:D,CRUCE!A110,'2023'!AS:AS,CRUCE!B110)</f>
        <v>4411210.95</v>
      </c>
      <c r="G110" s="136">
        <f t="shared" si="38"/>
        <v>0.8607292848632162</v>
      </c>
      <c r="H110" s="11">
        <f>+SUMIFS('2024'!J:J,'2024'!D:D,CRUCE!A110,'2024'!AT:AT,CRUCE!B110)</f>
        <v>0</v>
      </c>
      <c r="I110" s="7" t="str">
        <f t="shared" si="45"/>
        <v>23Depósitos Sobretasa al ACPM0</v>
      </c>
      <c r="J110" s="7" t="str">
        <f t="shared" si="46"/>
        <v>23Depósitos Sobretasa al ACPM2370689,27</v>
      </c>
      <c r="K110" s="7" t="str">
        <f t="shared" si="47"/>
        <v>23Depósitos Sobretasa al ACPM4411210,95</v>
      </c>
      <c r="L110" s="7" t="str">
        <f t="shared" si="48"/>
        <v>23Depósitos Sobretasa al ACPM0</v>
      </c>
      <c r="M110" t="s">
        <v>1906</v>
      </c>
      <c r="N110" s="136" t="e">
        <f t="shared" si="49"/>
        <v>#DIV/0!</v>
      </c>
      <c r="O110" s="136"/>
      <c r="P110" s="20">
        <f>+H110*1.02</f>
        <v>0</v>
      </c>
      <c r="Q110" s="136">
        <v>0.05</v>
      </c>
      <c r="R110" s="136">
        <v>0.05</v>
      </c>
      <c r="S110" s="20">
        <f>+P110*1.02</f>
        <v>0</v>
      </c>
      <c r="T110" s="136">
        <v>0.05</v>
      </c>
      <c r="U110" s="136">
        <v>0.05</v>
      </c>
      <c r="V110" s="20">
        <f>+S110*1.02</f>
        <v>0</v>
      </c>
    </row>
    <row r="111" spans="1:22" x14ac:dyDescent="0.3">
      <c r="A111" s="5">
        <v>23</v>
      </c>
      <c r="B111" s="8" t="s">
        <v>253</v>
      </c>
      <c r="C111" s="11">
        <f>+SUMIFS('2021'!Z:Z,'2021'!D:D,CRUCE!A111,'2021'!AT:AT,CRUCE!B111)</f>
        <v>0</v>
      </c>
      <c r="D111" s="11">
        <f>+SUMIFS('2022'!Y:Y,'2022'!D:D,CRUCE!A111,'2022'!AS:AS,CRUCE!B111)</f>
        <v>3186665345</v>
      </c>
      <c r="E111" s="136" t="e">
        <f t="shared" si="37"/>
        <v>#DIV/0!</v>
      </c>
      <c r="F111" s="11">
        <f>+SUMIFS('2023'!Y:Y,'2023'!D:D,CRUCE!A111,'2023'!AS:AS,CRUCE!B111)</f>
        <v>2606014815</v>
      </c>
      <c r="G111" s="136">
        <f t="shared" si="38"/>
        <v>-0.18221258498670498</v>
      </c>
      <c r="H111" s="11">
        <f>+SUMIFS('2024'!J:J,'2024'!D:D,CRUCE!A111,'2024'!AT:AT,CRUCE!B111)</f>
        <v>3569066000</v>
      </c>
      <c r="I111" s="7" t="str">
        <f t="shared" si="45"/>
        <v>23Participación de la sobretasa al ACPM0</v>
      </c>
      <c r="J111" s="7" t="str">
        <f t="shared" si="46"/>
        <v>23Participación de la sobretasa al ACPM3186665345</v>
      </c>
      <c r="K111" s="7" t="str">
        <f t="shared" si="47"/>
        <v>23Participación de la sobretasa al ACPM2606014815</v>
      </c>
      <c r="L111" s="7" t="str">
        <f t="shared" si="48"/>
        <v>23Participación de la sobretasa al ACPM3569066000</v>
      </c>
      <c r="M111" t="s">
        <v>1906</v>
      </c>
      <c r="N111" s="136">
        <v>0.05</v>
      </c>
      <c r="O111" s="136"/>
      <c r="P111" s="20">
        <f t="shared" si="39"/>
        <v>3747519300</v>
      </c>
      <c r="Q111" s="136">
        <f t="shared" ref="Q111:Q123" si="66">+N111</f>
        <v>0.05</v>
      </c>
      <c r="R111" s="136">
        <f t="shared" ref="R111:R129" si="67">+Q111</f>
        <v>0.05</v>
      </c>
      <c r="S111" s="20">
        <f t="shared" si="40"/>
        <v>3934895265</v>
      </c>
      <c r="T111" s="136">
        <v>0.05</v>
      </c>
      <c r="U111" s="136">
        <f t="shared" ref="U111:U119" si="68">+R111</f>
        <v>0.05</v>
      </c>
      <c r="V111" s="20">
        <f t="shared" si="41"/>
        <v>4131640028.25</v>
      </c>
    </row>
    <row r="112" spans="1:22" x14ac:dyDescent="0.3">
      <c r="A112" s="5">
        <v>25</v>
      </c>
      <c r="B112" s="8" t="s">
        <v>566</v>
      </c>
      <c r="C112" s="11">
        <f>+SUMIFS('2021'!Z:Z,'2021'!D:D,CRUCE!A112,'2021'!AT:AT,CRUCE!B112)</f>
        <v>137464911058</v>
      </c>
      <c r="D112" s="11">
        <f>+SUMIFS('2022'!Y:Y,'2022'!D:D,CRUCE!A112,'2022'!AS:AS,CRUCE!B112)</f>
        <v>146126277465</v>
      </c>
      <c r="E112" s="136">
        <v>0.03</v>
      </c>
      <c r="F112" s="11">
        <f>+SUMIFS('2023'!Y:Y,'2023'!D:D,CRUCE!A112,'2023'!AS:AS,CRUCE!B112)</f>
        <v>168588310824</v>
      </c>
      <c r="G112" s="136">
        <v>0.03</v>
      </c>
      <c r="H112" s="11">
        <f>+SUMIFS('2024'!J:J,'2024'!D:D,CRUCE!A112,'2024'!AT:AT,CRUCE!B112)</f>
        <v>175675359999.98999</v>
      </c>
      <c r="I112" s="7" t="str">
        <f t="shared" si="45"/>
        <v>25Prestación de servicio educativo137464911058</v>
      </c>
      <c r="J112" s="7" t="str">
        <f t="shared" si="46"/>
        <v>25Prestación de servicio educativo146126277465</v>
      </c>
      <c r="K112" s="7" t="str">
        <f t="shared" si="47"/>
        <v>25Prestación de servicio educativo168588310824</v>
      </c>
      <c r="L112" s="7" t="str">
        <f t="shared" si="48"/>
        <v>25Prestación de servicio educativo175675359999,99</v>
      </c>
      <c r="M112" t="s">
        <v>1906</v>
      </c>
      <c r="N112" s="136">
        <v>0.05</v>
      </c>
      <c r="O112" s="136"/>
      <c r="P112" s="20">
        <f t="shared" si="39"/>
        <v>184459127999.9895</v>
      </c>
      <c r="Q112" s="136">
        <f t="shared" si="66"/>
        <v>0.05</v>
      </c>
      <c r="R112" s="136">
        <f t="shared" si="67"/>
        <v>0.05</v>
      </c>
      <c r="S112" s="20">
        <f t="shared" si="40"/>
        <v>193682084399.98898</v>
      </c>
      <c r="T112" s="136">
        <v>0.05</v>
      </c>
      <c r="U112" s="136">
        <f t="shared" si="68"/>
        <v>0.05</v>
      </c>
      <c r="V112" s="20">
        <f t="shared" si="41"/>
        <v>203366188619.98843</v>
      </c>
    </row>
    <row r="113" spans="1:22" x14ac:dyDescent="0.3">
      <c r="A113" s="5">
        <v>26</v>
      </c>
      <c r="B113" s="8" t="s">
        <v>566</v>
      </c>
      <c r="C113" s="11">
        <f>+SUMIFS('2021'!Z:Z,'2021'!D:D,CRUCE!A113,'2021'!AT:AT,CRUCE!B113)</f>
        <v>28315024554</v>
      </c>
      <c r="D113" s="11">
        <f>+SUMIFS('2022'!Y:Y,'2022'!D:D,CRUCE!A113,'2022'!AS:AS,CRUCE!B113)</f>
        <v>20731219763</v>
      </c>
      <c r="E113" s="136">
        <v>0.03</v>
      </c>
      <c r="F113" s="11">
        <f>+SUMIFS('2023'!Y:Y,'2023'!D:D,CRUCE!A113,'2023'!AS:AS,CRUCE!B113)</f>
        <v>13109794348</v>
      </c>
      <c r="G113" s="136">
        <v>0.03</v>
      </c>
      <c r="H113" s="11">
        <f>+SUMIFS('2024'!J:J,'2024'!D:D,CRUCE!A113,'2024'!AT:AT,CRUCE!B113)</f>
        <v>33454400000</v>
      </c>
      <c r="I113" s="7" t="str">
        <f t="shared" si="45"/>
        <v>26Prestación de servicio educativo28315024554</v>
      </c>
      <c r="J113" s="7" t="str">
        <f t="shared" si="46"/>
        <v>26Prestación de servicio educativo20731219763</v>
      </c>
      <c r="K113" s="7" t="str">
        <f t="shared" si="47"/>
        <v>26Prestación de servicio educativo13109794348</v>
      </c>
      <c r="L113" s="7" t="str">
        <f t="shared" si="48"/>
        <v>26Prestación de servicio educativo33454400000</v>
      </c>
      <c r="M113" t="s">
        <v>1906</v>
      </c>
      <c r="N113" s="136">
        <v>0.05</v>
      </c>
      <c r="O113" s="136"/>
      <c r="P113" s="20">
        <f t="shared" si="39"/>
        <v>35127120000</v>
      </c>
      <c r="Q113" s="136">
        <f t="shared" si="66"/>
        <v>0.05</v>
      </c>
      <c r="R113" s="136">
        <f t="shared" si="67"/>
        <v>0.05</v>
      </c>
      <c r="S113" s="20">
        <f t="shared" si="40"/>
        <v>36883476000</v>
      </c>
      <c r="T113" s="136">
        <v>0.05</v>
      </c>
      <c r="U113" s="136">
        <f t="shared" si="68"/>
        <v>0.05</v>
      </c>
      <c r="V113" s="20">
        <f t="shared" si="41"/>
        <v>38727649800</v>
      </c>
    </row>
    <row r="114" spans="1:22" x14ac:dyDescent="0.3">
      <c r="A114" s="5">
        <v>27</v>
      </c>
      <c r="B114" s="8" t="s">
        <v>246</v>
      </c>
      <c r="C114" s="11">
        <f>+SUMIFS('2021'!Z:Z,'2021'!D:D,CRUCE!A114,'2021'!AT:AT,CRUCE!B114)</f>
        <v>2877368096.1199999</v>
      </c>
      <c r="D114" s="11">
        <f>+SUMIFS('2022'!Y:Y,'2022'!D:D,CRUCE!A114,'2022'!AS:AS,CRUCE!B114)</f>
        <v>2866923608</v>
      </c>
      <c r="E114" s="136">
        <f t="shared" si="37"/>
        <v>-3.6298755567922654E-3</v>
      </c>
      <c r="F114" s="11">
        <f>+SUMIFS('2023'!Y:Y,'2023'!D:D,CRUCE!A114,'2023'!AS:AS,CRUCE!B114)</f>
        <v>3701358406</v>
      </c>
      <c r="G114" s="136">
        <v>0.03</v>
      </c>
      <c r="H114" s="11">
        <f>+SUMIFS('2024'!J:J,'2024'!D:D,CRUCE!A114,'2024'!AT:AT,CRUCE!B114)</f>
        <v>4052617000</v>
      </c>
      <c r="I114" s="7" t="str">
        <f t="shared" si="45"/>
        <v>27Agua potable y saneamiento básico2877368096,12</v>
      </c>
      <c r="J114" s="7" t="str">
        <f t="shared" si="46"/>
        <v>27Agua potable y saneamiento básico2866923608</v>
      </c>
      <c r="K114" s="7" t="str">
        <f t="shared" si="47"/>
        <v>27Agua potable y saneamiento básico3701358406</v>
      </c>
      <c r="L114" s="7" t="str">
        <f t="shared" si="48"/>
        <v>27Agua potable y saneamiento básico4052617000</v>
      </c>
      <c r="M114" t="s">
        <v>1906</v>
      </c>
      <c r="N114" s="136">
        <v>0.05</v>
      </c>
      <c r="O114" s="136"/>
      <c r="P114" s="20">
        <f t="shared" si="39"/>
        <v>4255247850</v>
      </c>
      <c r="Q114" s="136">
        <f t="shared" si="66"/>
        <v>0.05</v>
      </c>
      <c r="R114" s="136">
        <f t="shared" si="67"/>
        <v>0.05</v>
      </c>
      <c r="S114" s="20">
        <f t="shared" si="40"/>
        <v>4468010242.5</v>
      </c>
      <c r="T114" s="136">
        <v>0.05</v>
      </c>
      <c r="U114" s="136">
        <f t="shared" si="68"/>
        <v>0.05</v>
      </c>
      <c r="V114" s="20">
        <f t="shared" si="41"/>
        <v>4691410754.625</v>
      </c>
    </row>
    <row r="115" spans="1:22" x14ac:dyDescent="0.3">
      <c r="A115" s="5">
        <v>27</v>
      </c>
      <c r="B115" s="8" t="s">
        <v>1144</v>
      </c>
      <c r="C115" s="11">
        <f>+SUMIFS('2021'!Z:Z,'2021'!D:D,CRUCE!A115,'2021'!AT:AT,CRUCE!B115)</f>
        <v>0</v>
      </c>
      <c r="D115" s="11">
        <f>+SUMIFS('2022'!Y:Y,'2022'!D:D,CRUCE!A115,'2022'!AS:AS,CRUCE!B115)</f>
        <v>18387856.039999999</v>
      </c>
      <c r="E115" s="136" t="e">
        <f t="shared" si="37"/>
        <v>#DIV/0!</v>
      </c>
      <c r="F115" s="11">
        <f>+SUMIFS('2023'!Y:Y,'2023'!D:D,CRUCE!A115,'2023'!AS:AS,CRUCE!B115)</f>
        <v>26421015.370000001</v>
      </c>
      <c r="G115" s="136">
        <f t="shared" si="38"/>
        <v>0.43687308147970483</v>
      </c>
      <c r="H115" s="11">
        <f>+SUMIFS('2024'!J:J,'2024'!D:D,CRUCE!A115,'2024'!AT:AT,CRUCE!B115)</f>
        <v>7000000</v>
      </c>
      <c r="I115" s="7" t="str">
        <f t="shared" si="45"/>
        <v>27Depósitos SGP Agua Potable0</v>
      </c>
      <c r="J115" s="7" t="str">
        <f t="shared" si="46"/>
        <v>27Depósitos SGP Agua Potable18387856,04</v>
      </c>
      <c r="K115" s="7" t="str">
        <f t="shared" si="47"/>
        <v>27Depósitos SGP Agua Potable26421015,37</v>
      </c>
      <c r="L115" s="7" t="str">
        <f t="shared" si="48"/>
        <v>27Depósitos SGP Agua Potable7000000</v>
      </c>
      <c r="M115" t="s">
        <v>1906</v>
      </c>
      <c r="N115" s="136">
        <v>0.02</v>
      </c>
      <c r="O115" s="136"/>
      <c r="P115" s="20">
        <f>+H115*1.02</f>
        <v>7140000</v>
      </c>
      <c r="Q115" s="136">
        <f t="shared" si="66"/>
        <v>0.02</v>
      </c>
      <c r="R115" s="136">
        <f t="shared" si="67"/>
        <v>0.02</v>
      </c>
      <c r="S115" s="20">
        <f t="shared" ref="S115:S116" si="69">+P115*1.02</f>
        <v>7282800</v>
      </c>
      <c r="T115" s="136">
        <v>0.05</v>
      </c>
      <c r="U115" s="136">
        <f t="shared" si="68"/>
        <v>0.02</v>
      </c>
      <c r="V115" s="20">
        <f t="shared" ref="V115:V116" si="70">+S115*1.02</f>
        <v>7428456</v>
      </c>
    </row>
    <row r="116" spans="1:22" x14ac:dyDescent="0.3">
      <c r="A116" s="5">
        <v>33</v>
      </c>
      <c r="B116" s="8" t="s">
        <v>1127</v>
      </c>
      <c r="C116" s="11">
        <f>+SUMIFS('2021'!Z:Z,'2021'!D:D,CRUCE!A116,'2021'!AT:AT,CRUCE!B116)</f>
        <v>861916.82</v>
      </c>
      <c r="D116" s="11">
        <f>+SUMIFS('2022'!Y:Y,'2022'!D:D,CRUCE!A116,'2022'!AS:AS,CRUCE!B116)</f>
        <v>2003900.82</v>
      </c>
      <c r="E116" s="136">
        <f t="shared" si="37"/>
        <v>1.3249352762369808</v>
      </c>
      <c r="F116" s="11">
        <f>+SUMIFS('2023'!Y:Y,'2023'!D:D,CRUCE!A116,'2023'!AS:AS,CRUCE!B116)</f>
        <v>11751208.369999999</v>
      </c>
      <c r="G116" s="136">
        <f t="shared" si="38"/>
        <v>4.8641666557130296</v>
      </c>
      <c r="H116" s="11">
        <f>+SUMIFS('2024'!J:J,'2024'!D:D,CRUCE!A116,'2024'!AT:AT,CRUCE!B116)</f>
        <v>1000000</v>
      </c>
      <c r="I116" s="7" t="str">
        <f t="shared" si="45"/>
        <v>33Depósitos Estampilla Procultura Seguridad Social 10%861916,82</v>
      </c>
      <c r="J116" s="7" t="str">
        <f t="shared" si="46"/>
        <v>33Depósitos Estampilla Procultura Seguridad Social 10%2003900,82</v>
      </c>
      <c r="K116" s="7" t="str">
        <f t="shared" si="47"/>
        <v>33Depósitos Estampilla Procultura Seguridad Social 10%11751208,37</v>
      </c>
      <c r="L116" s="7" t="str">
        <f t="shared" si="48"/>
        <v>33Depósitos Estampilla Procultura Seguridad Social 10%1000000</v>
      </c>
      <c r="M116" t="s">
        <v>1906</v>
      </c>
      <c r="N116" s="136">
        <v>0.05</v>
      </c>
      <c r="O116" s="136"/>
      <c r="P116" s="20">
        <f>+H116*1.02</f>
        <v>1020000</v>
      </c>
      <c r="Q116" s="136">
        <f t="shared" si="66"/>
        <v>0.05</v>
      </c>
      <c r="R116" s="136">
        <f t="shared" si="67"/>
        <v>0.05</v>
      </c>
      <c r="S116" s="20">
        <f t="shared" si="69"/>
        <v>1040400</v>
      </c>
      <c r="T116" s="136">
        <v>0.05</v>
      </c>
      <c r="U116" s="136">
        <f t="shared" si="68"/>
        <v>0.05</v>
      </c>
      <c r="V116" s="20">
        <f t="shared" si="70"/>
        <v>1061208</v>
      </c>
    </row>
    <row r="117" spans="1:22" x14ac:dyDescent="0.3">
      <c r="A117" s="5">
        <v>33</v>
      </c>
      <c r="B117" s="8" t="s">
        <v>1064</v>
      </c>
      <c r="C117" s="11">
        <f>+SUMIFS('2021'!Z:Z,'2021'!D:D,CRUCE!A117,'2021'!AT:AT,CRUCE!B117)</f>
        <v>178952369.99000001</v>
      </c>
      <c r="D117" s="11">
        <f>+SUMIFS('2022'!Y:Y,'2022'!D:D,CRUCE!A117,'2022'!AS:AS,CRUCE!B117)</f>
        <v>243601650</v>
      </c>
      <c r="E117" s="136">
        <f t="shared" si="37"/>
        <v>0.3612652909464828</v>
      </c>
      <c r="F117" s="11">
        <f>+SUMIFS('2023'!Y:Y,'2023'!D:D,CRUCE!A117,'2023'!AS:AS,CRUCE!B117)</f>
        <v>344034717.64999998</v>
      </c>
      <c r="G117" s="136">
        <f t="shared" si="38"/>
        <v>0.41228402044895829</v>
      </c>
      <c r="H117" s="11">
        <f>+SUMIFS('2024'!J:J,'2024'!D:D,CRUCE!A117,'2024'!AT:AT,CRUCE!B117)</f>
        <v>316682000</v>
      </c>
      <c r="I117" s="7" t="str">
        <f t="shared" si="45"/>
        <v>33Estampilla pro cultura (10% Seguridad Social Artista)178952369,99</v>
      </c>
      <c r="J117" s="7" t="str">
        <f t="shared" si="46"/>
        <v>33Estampilla pro cultura (10% Seguridad Social Artista)243601650</v>
      </c>
      <c r="K117" s="7" t="str">
        <f t="shared" si="47"/>
        <v>33Estampilla pro cultura (10% Seguridad Social Artista)344034717,65</v>
      </c>
      <c r="L117" s="7" t="str">
        <f t="shared" si="48"/>
        <v>33Estampilla pro cultura (10% Seguridad Social Artista)316682000</v>
      </c>
      <c r="M117" t="s">
        <v>1906</v>
      </c>
      <c r="N117" s="136">
        <v>0.19</v>
      </c>
      <c r="O117" s="136"/>
      <c r="P117" s="20">
        <f t="shared" si="39"/>
        <v>376851580</v>
      </c>
      <c r="Q117" s="136">
        <f t="shared" si="66"/>
        <v>0.19</v>
      </c>
      <c r="R117" s="136">
        <f t="shared" si="67"/>
        <v>0.19</v>
      </c>
      <c r="S117" s="20">
        <f t="shared" si="40"/>
        <v>448453380.19999999</v>
      </c>
      <c r="T117" s="136">
        <v>0.05</v>
      </c>
      <c r="U117" s="136">
        <f t="shared" si="68"/>
        <v>0.19</v>
      </c>
      <c r="V117" s="20">
        <f t="shared" si="41"/>
        <v>533659522.43799996</v>
      </c>
    </row>
    <row r="118" spans="1:22" x14ac:dyDescent="0.3">
      <c r="A118" s="5">
        <v>34</v>
      </c>
      <c r="B118" s="8" t="s">
        <v>1129</v>
      </c>
      <c r="C118" s="11">
        <f>+SUMIFS('2021'!Z:Z,'2021'!D:D,CRUCE!A118,'2021'!AT:AT,CRUCE!B118)</f>
        <v>861916.82</v>
      </c>
      <c r="D118" s="11">
        <f>+SUMIFS('2022'!Y:Y,'2022'!D:D,CRUCE!A118,'2022'!AS:AS,CRUCE!B118)</f>
        <v>2003900.82</v>
      </c>
      <c r="E118" s="136">
        <f t="shared" si="37"/>
        <v>1.3249352762369808</v>
      </c>
      <c r="F118" s="11">
        <f>+SUMIFS('2023'!Y:Y,'2023'!D:D,CRUCE!A118,'2023'!AS:AS,CRUCE!B118)</f>
        <v>11751208.68</v>
      </c>
      <c r="G118" s="136">
        <f t="shared" si="38"/>
        <v>4.8641668104113052</v>
      </c>
      <c r="H118" s="11">
        <f>+SUMIFS('2024'!J:J,'2024'!D:D,CRUCE!A118,'2024'!AT:AT,CRUCE!B118)</f>
        <v>1000000</v>
      </c>
      <c r="I118" s="7" t="str">
        <f t="shared" si="45"/>
        <v>34Depósitos Estampilla Procultura Bibliotecas 10%861916,82</v>
      </c>
      <c r="J118" s="7" t="str">
        <f t="shared" si="46"/>
        <v>34Depósitos Estampilla Procultura Bibliotecas 10%2003900,82</v>
      </c>
      <c r="K118" s="7" t="str">
        <f t="shared" si="47"/>
        <v>34Depósitos Estampilla Procultura Bibliotecas 10%11751208,68</v>
      </c>
      <c r="L118" s="7" t="str">
        <f t="shared" si="48"/>
        <v>34Depósitos Estampilla Procultura Bibliotecas 10%1000000</v>
      </c>
      <c r="M118" t="s">
        <v>1906</v>
      </c>
      <c r="N118" s="136">
        <v>0.05</v>
      </c>
      <c r="O118" s="136"/>
      <c r="P118" s="20">
        <f>+H118*1.02</f>
        <v>1020000</v>
      </c>
      <c r="Q118" s="136">
        <f t="shared" si="66"/>
        <v>0.05</v>
      </c>
      <c r="R118" s="136">
        <f t="shared" si="67"/>
        <v>0.05</v>
      </c>
      <c r="S118" s="20">
        <f>+P118*1.02</f>
        <v>1040400</v>
      </c>
      <c r="T118" s="136">
        <v>0.05</v>
      </c>
      <c r="U118" s="136">
        <f t="shared" si="68"/>
        <v>0.05</v>
      </c>
      <c r="V118" s="20">
        <f>+S118*1.02</f>
        <v>1061208</v>
      </c>
    </row>
    <row r="119" spans="1:22" x14ac:dyDescent="0.3">
      <c r="A119" s="5">
        <v>34</v>
      </c>
      <c r="B119" s="8" t="s">
        <v>1066</v>
      </c>
      <c r="C119" s="11">
        <f>+SUMIFS('2021'!Z:Z,'2021'!D:D,CRUCE!A119,'2021'!AT:AT,CRUCE!B119)</f>
        <v>178952369.99000001</v>
      </c>
      <c r="D119" s="11">
        <f>+SUMIFS('2022'!Y:Y,'2022'!D:D,CRUCE!A119,'2022'!AS:AS,CRUCE!B119)</f>
        <v>243704770</v>
      </c>
      <c r="E119" s="136">
        <f t="shared" si="37"/>
        <v>0.36184153366406047</v>
      </c>
      <c r="F119" s="11">
        <f>+SUMIFS('2023'!Y:Y,'2023'!D:D,CRUCE!A119,'2023'!AS:AS,CRUCE!B119)</f>
        <v>344040557.66000003</v>
      </c>
      <c r="G119" s="136">
        <f t="shared" si="38"/>
        <v>0.41171039721545061</v>
      </c>
      <c r="H119" s="11">
        <f>+SUMIFS('2024'!J:J,'2024'!D:D,CRUCE!A119,'2024'!AT:AT,CRUCE!B119)</f>
        <v>316682000</v>
      </c>
      <c r="I119" s="7" t="str">
        <f t="shared" si="45"/>
        <v>34Estampilla pro cultura (10% Bibliotecas)178952369,99</v>
      </c>
      <c r="J119" s="7" t="str">
        <f t="shared" si="46"/>
        <v>34Estampilla pro cultura (10% Bibliotecas)243704770</v>
      </c>
      <c r="K119" s="7" t="str">
        <f t="shared" si="47"/>
        <v>34Estampilla pro cultura (10% Bibliotecas)344040557,66</v>
      </c>
      <c r="L119" s="7" t="str">
        <f t="shared" si="48"/>
        <v>34Estampilla pro cultura (10% Bibliotecas)316682000</v>
      </c>
      <c r="M119" t="s">
        <v>1906</v>
      </c>
      <c r="N119" s="136">
        <v>0.19</v>
      </c>
      <c r="O119" s="136"/>
      <c r="P119" s="20">
        <f t="shared" si="39"/>
        <v>376851580</v>
      </c>
      <c r="Q119" s="136">
        <f t="shared" si="66"/>
        <v>0.19</v>
      </c>
      <c r="R119" s="136">
        <f t="shared" si="67"/>
        <v>0.19</v>
      </c>
      <c r="S119" s="20">
        <f t="shared" si="40"/>
        <v>448453380.19999999</v>
      </c>
      <c r="T119" s="136">
        <v>0.05</v>
      </c>
      <c r="U119" s="136">
        <f t="shared" si="68"/>
        <v>0.19</v>
      </c>
      <c r="V119" s="20">
        <f t="shared" si="41"/>
        <v>533659522.43799996</v>
      </c>
    </row>
    <row r="120" spans="1:22" x14ac:dyDescent="0.3">
      <c r="A120" s="5">
        <v>35</v>
      </c>
      <c r="B120" s="8" t="s">
        <v>1098</v>
      </c>
      <c r="C120" s="11">
        <f>+SUMIFS('2021'!Z:Z,'2021'!D:D,CRUCE!A120,'2021'!AT:AT,CRUCE!B120)</f>
        <v>0</v>
      </c>
      <c r="D120" s="11">
        <f>+SUMIFS('2022'!Y:Y,'2022'!D:D,CRUCE!A120,'2022'!AS:AS,CRUCE!B120)</f>
        <v>44065957.229999997</v>
      </c>
      <c r="E120" s="136" t="e">
        <f t="shared" si="37"/>
        <v>#DIV/0!</v>
      </c>
      <c r="F120" s="11">
        <f>+SUMIFS('2023'!Y:Y,'2023'!D:D,CRUCE!A120,'2023'!AS:AS,CRUCE!B120)</f>
        <v>11273220</v>
      </c>
      <c r="G120" s="136">
        <f t="shared" si="38"/>
        <v>-0.74417394495347033</v>
      </c>
      <c r="H120" s="139">
        <f>+SUMIFS('2024'!J:J,'2024'!D:D,CRUCE!A120,'2024'!AT:AT,CRUCE!B120)</f>
        <v>43878373.030000001</v>
      </c>
      <c r="I120" s="7" t="str">
        <f t="shared" si="45"/>
        <v>35Derechos de monopolio por la introducción de licores destilados de producción extranjera (Monopolio 0</v>
      </c>
      <c r="J120" s="7" t="str">
        <f t="shared" si="46"/>
        <v>35Derechos de monopolio por la introducción de licores destilados de producción extranjera (Monopolio 44065957,23</v>
      </c>
      <c r="K120" s="7" t="str">
        <f t="shared" si="47"/>
        <v>35Derechos de monopolio por la introducción de licores destilados de producción extranjera (Monopolio 11273220</v>
      </c>
      <c r="L120" s="7" t="str">
        <f t="shared" si="48"/>
        <v>35Derechos de monopolio por la introducción de licores destilados de producción extranjera (Monopolio 43878373,03</v>
      </c>
      <c r="M120" t="s">
        <v>1906</v>
      </c>
      <c r="N120" s="136">
        <v>0.05</v>
      </c>
      <c r="O120" s="136"/>
      <c r="P120" s="20">
        <f t="shared" si="39"/>
        <v>46072291.681500003</v>
      </c>
      <c r="Q120" s="136">
        <f t="shared" si="66"/>
        <v>0.05</v>
      </c>
      <c r="R120" s="136">
        <f t="shared" si="67"/>
        <v>0.05</v>
      </c>
      <c r="S120" s="20">
        <f t="shared" si="40"/>
        <v>48375906.265575007</v>
      </c>
      <c r="T120" s="136">
        <v>0.05</v>
      </c>
      <c r="U120" s="136">
        <v>1</v>
      </c>
      <c r="V120" s="20">
        <f t="shared" si="41"/>
        <v>96751812.531150013</v>
      </c>
    </row>
    <row r="121" spans="1:22" x14ac:dyDescent="0.3">
      <c r="A121" s="5">
        <v>35</v>
      </c>
      <c r="B121" s="8" t="s">
        <v>1091</v>
      </c>
      <c r="C121" s="11">
        <f>+SUMIFS('2021'!Z:Z,'2021'!D:D,CRUCE!A121,'2021'!AT:AT,CRUCE!B121)</f>
        <v>0</v>
      </c>
      <c r="D121" s="11">
        <f>+SUMIFS('2022'!Y:Y,'2022'!D:D,CRUCE!A121,'2022'!AS:AS,CRUCE!B121)</f>
        <v>0</v>
      </c>
      <c r="E121" s="136" t="e">
        <f t="shared" si="37"/>
        <v>#DIV/0!</v>
      </c>
      <c r="F121" s="11">
        <f>+SUMIFS('2023'!Y:Y,'2023'!D:D,CRUCE!A121,'2023'!AS:AS,CRUCE!B121)</f>
        <v>106109360</v>
      </c>
      <c r="G121" s="136" t="e">
        <f t="shared" si="38"/>
        <v>#DIV/0!</v>
      </c>
      <c r="H121" s="139">
        <f>+SUMIFS('2024'!J:J,'2024'!D:D,CRUCE!A121,'2024'!AT:AT,CRUCE!B121)</f>
        <v>203517633.16</v>
      </c>
      <c r="I121" s="7" t="str">
        <f t="shared" si="45"/>
        <v>35Derechos de monopolio por la introducción de licores destilados de producción nacional (Monopolio pa0</v>
      </c>
      <c r="J121" s="7" t="str">
        <f t="shared" si="46"/>
        <v>35Derechos de monopolio por la introducción de licores destilados de producción nacional (Monopolio pa0</v>
      </c>
      <c r="K121" s="7" t="str">
        <f t="shared" si="47"/>
        <v>35Derechos de monopolio por la introducción de licores destilados de producción nacional (Monopolio pa106109360</v>
      </c>
      <c r="L121" s="7" t="str">
        <f t="shared" si="48"/>
        <v>35Derechos de monopolio por la introducción de licores destilados de producción nacional (Monopolio pa203517633,16</v>
      </c>
      <c r="M121" t="s">
        <v>1906</v>
      </c>
      <c r="N121" s="136">
        <v>0.05</v>
      </c>
      <c r="O121" s="136"/>
      <c r="P121" s="20">
        <f t="shared" si="39"/>
        <v>213693514.81799999</v>
      </c>
      <c r="Q121" s="136">
        <f t="shared" si="66"/>
        <v>0.05</v>
      </c>
      <c r="R121" s="136">
        <f t="shared" si="67"/>
        <v>0.05</v>
      </c>
      <c r="S121" s="20">
        <f t="shared" si="40"/>
        <v>224378190.5589</v>
      </c>
      <c r="T121" s="136">
        <v>0.05</v>
      </c>
      <c r="U121" s="136">
        <v>1</v>
      </c>
      <c r="V121" s="20">
        <f t="shared" si="41"/>
        <v>448756381.1178</v>
      </c>
    </row>
    <row r="122" spans="1:22" x14ac:dyDescent="0.3">
      <c r="A122" s="5">
        <v>35</v>
      </c>
      <c r="B122" s="8" t="s">
        <v>1108</v>
      </c>
      <c r="C122" s="11">
        <f>+SUMIFS('2021'!Z:Z,'2021'!D:D,CRUCE!A122,'2021'!AT:AT,CRUCE!B122)</f>
        <v>0</v>
      </c>
      <c r="D122" s="11">
        <f>+SUMIFS('2022'!Y:Y,'2022'!D:D,CRUCE!A122,'2022'!AS:AS,CRUCE!B122)</f>
        <v>1066974427.0700001</v>
      </c>
      <c r="E122" s="136" t="e">
        <f t="shared" si="37"/>
        <v>#DIV/0!</v>
      </c>
      <c r="F122" s="11">
        <f>+SUMIFS('2023'!Y:Y,'2023'!D:D,CRUCE!A122,'2023'!AS:AS,CRUCE!B122)</f>
        <v>2165108285.73</v>
      </c>
      <c r="G122" s="136">
        <f t="shared" si="38"/>
        <v>1.029203541152871</v>
      </c>
      <c r="H122" s="139">
        <f>+SUMIFS('2024'!J:J,'2024'!D:D,CRUCE!A122,'2024'!AT:AT,CRUCE!B122)</f>
        <v>1066721629.96</v>
      </c>
      <c r="I122" s="7" t="str">
        <f t="shared" si="45"/>
        <v>35Participación por el consumo de licores destilados introducidos de producción extranjera recaudado p0</v>
      </c>
      <c r="J122" s="7" t="str">
        <f t="shared" si="46"/>
        <v>35Participación por el consumo de licores destilados introducidos de producción extranjera recaudado p1066974427,07</v>
      </c>
      <c r="K122" s="7" t="str">
        <f t="shared" si="47"/>
        <v>35Participación por el consumo de licores destilados introducidos de producción extranjera recaudado p2165108285,73</v>
      </c>
      <c r="L122" s="7" t="str">
        <f t="shared" si="48"/>
        <v>35Participación por el consumo de licores destilados introducidos de producción extranjera recaudado p1066721629,96</v>
      </c>
      <c r="M122" t="s">
        <v>1906</v>
      </c>
      <c r="N122" s="136">
        <v>0.05</v>
      </c>
      <c r="O122" s="136"/>
      <c r="P122" s="20">
        <f t="shared" si="39"/>
        <v>1120057711.4579999</v>
      </c>
      <c r="Q122" s="136">
        <f t="shared" si="66"/>
        <v>0.05</v>
      </c>
      <c r="R122" s="136">
        <f t="shared" si="67"/>
        <v>0.05</v>
      </c>
      <c r="S122" s="20">
        <f t="shared" si="40"/>
        <v>1176060597.0309</v>
      </c>
      <c r="T122" s="136">
        <v>0.05</v>
      </c>
      <c r="U122" s="136">
        <v>1</v>
      </c>
      <c r="V122" s="20">
        <f t="shared" si="41"/>
        <v>2352121194.0618</v>
      </c>
    </row>
    <row r="123" spans="1:22" x14ac:dyDescent="0.3">
      <c r="A123" s="5">
        <v>35</v>
      </c>
      <c r="B123" s="8" t="s">
        <v>363</v>
      </c>
      <c r="C123" s="11">
        <f>+SUMIFS('2021'!Z:Z,'2021'!D:D,CRUCE!A123,'2021'!AT:AT,CRUCE!B123)</f>
        <v>1989494714.3000002</v>
      </c>
      <c r="D123" s="11">
        <f>+SUMIFS('2022'!Y:Y,'2022'!D:D,CRUCE!A123,'2022'!AS:AS,CRUCE!B123)</f>
        <v>79604519.859999999</v>
      </c>
      <c r="E123" s="136">
        <f t="shared" si="37"/>
        <v>-0.9599875690607157</v>
      </c>
      <c r="F123" s="11">
        <f>+SUMIFS('2023'!Y:Y,'2023'!D:D,CRUCE!A123,'2023'!AS:AS,CRUCE!B123)</f>
        <v>3574304546.8800001</v>
      </c>
      <c r="G123" s="136">
        <f t="shared" si="38"/>
        <v>43.900773890303064</v>
      </c>
      <c r="H123" s="139">
        <f>+SUMIFS('2024'!J:J,'2024'!D:D,CRUCE!A123,'2024'!AT:AT,CRUCE!B123)</f>
        <v>3859258163.8499999</v>
      </c>
      <c r="I123" s="7" t="str">
        <f t="shared" si="45"/>
        <v>35Participación por el consumo de licores destilados introducidos de producción nacional1989494714,3</v>
      </c>
      <c r="J123" s="7" t="str">
        <f t="shared" si="46"/>
        <v>35Participación por el consumo de licores destilados introducidos de producción nacional79604519,86</v>
      </c>
      <c r="K123" s="7" t="str">
        <f t="shared" si="47"/>
        <v>35Participación por el consumo de licores destilados introducidos de producción nacional3574304546,88</v>
      </c>
      <c r="L123" s="7" t="str">
        <f t="shared" si="48"/>
        <v>35Participación por el consumo de licores destilados introducidos de producción nacional3859258163,85</v>
      </c>
      <c r="M123" t="s">
        <v>1906</v>
      </c>
      <c r="N123" s="136">
        <v>0.05</v>
      </c>
      <c r="O123" s="136"/>
      <c r="P123" s="20">
        <f t="shared" si="39"/>
        <v>4052221072.0425</v>
      </c>
      <c r="Q123" s="136">
        <f t="shared" si="66"/>
        <v>0.05</v>
      </c>
      <c r="R123" s="136">
        <f t="shared" si="67"/>
        <v>0.05</v>
      </c>
      <c r="S123" s="20">
        <f t="shared" si="40"/>
        <v>4254832125.6446252</v>
      </c>
      <c r="T123" s="136">
        <v>0.05</v>
      </c>
      <c r="U123" s="136">
        <v>1</v>
      </c>
      <c r="V123" s="20">
        <f t="shared" si="41"/>
        <v>8509664251.2892504</v>
      </c>
    </row>
    <row r="124" spans="1:22" hidden="1" x14ac:dyDescent="0.3">
      <c r="A124" s="5">
        <v>35</v>
      </c>
      <c r="B124" s="8" t="s">
        <v>1104</v>
      </c>
      <c r="C124" s="11">
        <f>+SUMIFS('2021'!Z:Z,'2021'!D:D,CRUCE!A124,'2021'!AT:AT,CRUCE!B124)</f>
        <v>0</v>
      </c>
      <c r="D124" s="11">
        <f>+SUMIFS('2022'!Y:Y,'2022'!D:D,CRUCE!A124,'2022'!AS:AS,CRUCE!B124)</f>
        <v>3365646100.1599998</v>
      </c>
      <c r="E124" s="136" t="e">
        <f t="shared" si="37"/>
        <v>#DIV/0!</v>
      </c>
      <c r="F124" s="11">
        <f>+SUMIFS('2023'!Y:Y,'2023'!D:D,CRUCE!A124,'2023'!AS:AS,CRUCE!B124)</f>
        <v>0</v>
      </c>
      <c r="G124" s="136">
        <f t="shared" si="38"/>
        <v>-1</v>
      </c>
      <c r="H124" s="11">
        <f>+SUMIFS('2024'!J:J,'2024'!D:D,CRUCE!A124,'2024'!AT:AT,CRUCE!B124)</f>
        <v>0</v>
      </c>
      <c r="I124" s="7" t="str">
        <f t="shared" si="45"/>
        <v>35Participación por el consumo de licores destilados introducidos de producción nacional recaudado p0</v>
      </c>
      <c r="J124" s="7" t="str">
        <f t="shared" si="46"/>
        <v>35Participación por el consumo de licores destilados introducidos de producción nacional recaudado p3365646100,16</v>
      </c>
      <c r="K124" s="7" t="str">
        <f t="shared" si="47"/>
        <v>35Participación por el consumo de licores destilados introducidos de producción nacional recaudado p0</v>
      </c>
      <c r="L124" s="7" t="str">
        <f t="shared" si="48"/>
        <v>35Participación por el consumo de licores destilados introducidos de producción nacional recaudado p0</v>
      </c>
      <c r="M124" t="s">
        <v>1906</v>
      </c>
      <c r="N124" s="136" t="e">
        <f t="shared" si="49"/>
        <v>#DIV/0!</v>
      </c>
      <c r="O124" s="136"/>
      <c r="P124" s="20" t="e">
        <f t="shared" si="39"/>
        <v>#DIV/0!</v>
      </c>
      <c r="Q124" s="136">
        <v>0.05</v>
      </c>
      <c r="R124" s="136">
        <v>0.05</v>
      </c>
      <c r="S124" s="20" t="e">
        <f t="shared" si="40"/>
        <v>#DIV/0!</v>
      </c>
      <c r="T124" s="136">
        <v>0.05</v>
      </c>
      <c r="U124" s="136">
        <v>0.05</v>
      </c>
      <c r="V124" s="20" t="e">
        <f t="shared" si="41"/>
        <v>#DIV/0!</v>
      </c>
    </row>
    <row r="125" spans="1:22" x14ac:dyDescent="0.3">
      <c r="A125" s="5">
        <v>35</v>
      </c>
      <c r="B125" s="8" t="s">
        <v>1114</v>
      </c>
      <c r="C125" s="11">
        <f>+SUMIFS('2021'!Z:Z,'2021'!D:D,CRUCE!A125,'2021'!AT:AT,CRUCE!B125)</f>
        <v>0</v>
      </c>
      <c r="D125" s="11">
        <f>+SUMIFS('2022'!Y:Y,'2022'!D:D,CRUCE!A125,'2022'!AS:AS,CRUCE!B125)</f>
        <v>2730752.05</v>
      </c>
      <c r="E125" s="136" t="e">
        <f t="shared" si="37"/>
        <v>#DIV/0!</v>
      </c>
      <c r="F125" s="11">
        <f>+SUMIFS('2023'!Y:Y,'2023'!D:D,CRUCE!A125,'2023'!AS:AS,CRUCE!B125)</f>
        <v>1877484</v>
      </c>
      <c r="G125" s="136">
        <f t="shared" si="38"/>
        <v>-0.31246632223529774</v>
      </c>
      <c r="H125" s="139">
        <f>+SUMIFS('2024'!J:J,'2024'!D:D,CRUCE!A125,'2024'!AT:AT,CRUCE!B125)</f>
        <v>942200</v>
      </c>
      <c r="I125" s="7" t="str">
        <f t="shared" si="45"/>
        <v>35Participación por la utilización de alcohol potable producido0</v>
      </c>
      <c r="J125" s="7" t="str">
        <f t="shared" si="46"/>
        <v>35Participación por la utilización de alcohol potable producido2730752,05</v>
      </c>
      <c r="K125" s="7" t="str">
        <f t="shared" si="47"/>
        <v>35Participación por la utilización de alcohol potable producido1877484</v>
      </c>
      <c r="L125" s="7" t="str">
        <f t="shared" si="48"/>
        <v>35Participación por la utilización de alcohol potable producido942200</v>
      </c>
      <c r="M125" t="s">
        <v>1906</v>
      </c>
      <c r="N125" s="136">
        <v>0.05</v>
      </c>
      <c r="O125" s="136"/>
      <c r="P125" s="20">
        <f t="shared" si="39"/>
        <v>989310</v>
      </c>
      <c r="Q125" s="136">
        <f>+N125</f>
        <v>0.05</v>
      </c>
      <c r="R125" s="136">
        <f t="shared" si="67"/>
        <v>0.05</v>
      </c>
      <c r="S125" s="20">
        <f t="shared" si="40"/>
        <v>1038775.5</v>
      </c>
      <c r="T125" s="136">
        <v>0.05</v>
      </c>
      <c r="U125" s="136">
        <v>1</v>
      </c>
      <c r="V125" s="20">
        <f t="shared" si="41"/>
        <v>2077551</v>
      </c>
    </row>
    <row r="126" spans="1:22" hidden="1" x14ac:dyDescent="0.3">
      <c r="A126" s="5">
        <v>35</v>
      </c>
      <c r="B126" s="8" t="s">
        <v>459</v>
      </c>
      <c r="C126" s="11">
        <f>+SUMIFS('2021'!Z:Z,'2021'!D:D,CRUCE!A126,'2021'!AT:AT,CRUCE!B126)</f>
        <v>1818304</v>
      </c>
      <c r="D126" s="11">
        <f>+SUMIFS('2022'!Y:Y,'2022'!D:D,CRUCE!A126,'2022'!AS:AS,CRUCE!B126)</f>
        <v>0</v>
      </c>
      <c r="E126" s="136">
        <f t="shared" si="37"/>
        <v>-1</v>
      </c>
      <c r="F126" s="11">
        <f>+SUMIFS('2023'!Y:Y,'2023'!D:D,CRUCE!A126,'2023'!AS:AS,CRUCE!B126)</f>
        <v>0</v>
      </c>
      <c r="G126" s="136" t="e">
        <f t="shared" si="38"/>
        <v>#DIV/0!</v>
      </c>
      <c r="H126" s="11">
        <f>+SUMIFS('2024'!J:J,'2024'!D:D,CRUCE!A126,'2024'!AT:AT,CRUCE!B126)</f>
        <v>0</v>
      </c>
      <c r="I126" s="7" t="str">
        <f t="shared" si="45"/>
        <v>35Reintegros1818304</v>
      </c>
      <c r="J126" s="7" t="str">
        <f t="shared" si="46"/>
        <v>35Reintegros0</v>
      </c>
      <c r="K126" s="7" t="str">
        <f t="shared" si="47"/>
        <v>35Reintegros0</v>
      </c>
      <c r="L126" s="7" t="str">
        <f t="shared" si="48"/>
        <v>35Reintegros0</v>
      </c>
      <c r="M126" t="s">
        <v>1906</v>
      </c>
      <c r="N126" s="136" t="e">
        <f t="shared" si="49"/>
        <v>#DIV/0!</v>
      </c>
      <c r="O126" s="136"/>
      <c r="P126" s="20" t="e">
        <f t="shared" si="39"/>
        <v>#DIV/0!</v>
      </c>
      <c r="Q126" s="136">
        <v>0.05</v>
      </c>
      <c r="R126" s="136">
        <v>0.05</v>
      </c>
      <c r="S126" s="20" t="e">
        <f t="shared" si="40"/>
        <v>#DIV/0!</v>
      </c>
      <c r="T126" s="136">
        <v>0.05</v>
      </c>
      <c r="U126" s="136">
        <v>0.05</v>
      </c>
      <c r="V126" s="20" t="e">
        <f t="shared" si="41"/>
        <v>#DIV/0!</v>
      </c>
    </row>
    <row r="127" spans="1:22" x14ac:dyDescent="0.3">
      <c r="A127" s="5">
        <v>39</v>
      </c>
      <c r="B127" s="8" t="s">
        <v>1131</v>
      </c>
      <c r="C127" s="11">
        <f>+SUMIFS('2021'!Z:Z,'2021'!D:D,CRUCE!A127,'2021'!AT:AT,CRUCE!B127)</f>
        <v>4309584.01</v>
      </c>
      <c r="D127" s="11">
        <f>+SUMIFS('2022'!Y:Y,'2022'!D:D,CRUCE!A127,'2022'!AS:AS,CRUCE!B127)</f>
        <v>9231216.7200000007</v>
      </c>
      <c r="E127" s="136">
        <f t="shared" si="37"/>
        <v>1.1420203663694217</v>
      </c>
      <c r="F127" s="11">
        <f>+SUMIFS('2023'!Y:Y,'2023'!D:D,CRUCE!A127,'2023'!AS:AS,CRUCE!B127)</f>
        <v>58756045.390000001</v>
      </c>
      <c r="G127" s="136">
        <f t="shared" si="38"/>
        <v>5.3649296915217475</v>
      </c>
      <c r="H127" s="11">
        <f>+SUMIFS('2024'!J:J,'2024'!D:D,CRUCE!A127,'2024'!AT:AT,CRUCE!B127)</f>
        <v>5000000</v>
      </c>
      <c r="I127" s="7" t="str">
        <f t="shared" si="45"/>
        <v>39Depósitos Estampilla Procultura Concertacion 50%4309584,01</v>
      </c>
      <c r="J127" s="7" t="str">
        <f t="shared" si="46"/>
        <v>39Depósitos Estampilla Procultura Concertacion 50%9231216,72</v>
      </c>
      <c r="K127" s="7" t="str">
        <f t="shared" si="47"/>
        <v>39Depósitos Estampilla Procultura Concertacion 50%58756045,39</v>
      </c>
      <c r="L127" s="7" t="str">
        <f t="shared" si="48"/>
        <v>39Depósitos Estampilla Procultura Concertacion 50%5000000</v>
      </c>
      <c r="M127" t="s">
        <v>1906</v>
      </c>
      <c r="N127" s="136">
        <v>0.02</v>
      </c>
      <c r="O127" s="136"/>
      <c r="P127" s="20">
        <f>+H127*1.02</f>
        <v>5100000</v>
      </c>
      <c r="Q127" s="136">
        <f t="shared" ref="Q127:Q132" si="71">+N127</f>
        <v>0.02</v>
      </c>
      <c r="R127" s="136">
        <f t="shared" si="67"/>
        <v>0.02</v>
      </c>
      <c r="S127" s="20">
        <f>+P127*1.02</f>
        <v>5202000</v>
      </c>
      <c r="T127" s="136">
        <v>0.05</v>
      </c>
      <c r="U127" s="136">
        <f t="shared" ref="U127:U132" si="72">+R127</f>
        <v>0.02</v>
      </c>
      <c r="V127" s="20">
        <f>+S127*1.02</f>
        <v>5306040</v>
      </c>
    </row>
    <row r="128" spans="1:22" x14ac:dyDescent="0.3">
      <c r="A128" s="5">
        <v>39</v>
      </c>
      <c r="B128" s="8" t="s">
        <v>1068</v>
      </c>
      <c r="C128" s="11">
        <f>+SUMIFS('2021'!Z:Z,'2021'!D:D,CRUCE!A128,'2021'!AT:AT,CRUCE!B128)</f>
        <v>894761850.03999996</v>
      </c>
      <c r="D128" s="11">
        <f>+SUMIFS('2022'!Y:Y,'2022'!D:D,CRUCE!A128,'2022'!AS:AS,CRUCE!B128)</f>
        <v>1217905130</v>
      </c>
      <c r="E128" s="136">
        <f t="shared" si="37"/>
        <v>0.36115004226605557</v>
      </c>
      <c r="F128" s="11">
        <f>+SUMIFS('2023'!Y:Y,'2023'!D:D,CRUCE!A128,'2023'!AS:AS,CRUCE!B128)</f>
        <v>1720157748.3800001</v>
      </c>
      <c r="G128" s="136">
        <f>+(F128-D128)/D128</f>
        <v>0.41239059267284645</v>
      </c>
      <c r="H128" s="11">
        <f>+SUMIFS('2024'!J:J,'2024'!D:D,CRUCE!A128,'2024'!AT:AT,CRUCE!B128)</f>
        <v>1583411000</v>
      </c>
      <c r="I128" s="7" t="str">
        <f t="shared" si="45"/>
        <v>39Estampilla pro cultura (50% Concertacion)894761850,04</v>
      </c>
      <c r="J128" s="7" t="str">
        <f t="shared" si="46"/>
        <v>39Estampilla pro cultura (50% Concertacion)1217905130</v>
      </c>
      <c r="K128" s="7" t="str">
        <f t="shared" si="47"/>
        <v>39Estampilla pro cultura (50% Concertacion)1720157748,38</v>
      </c>
      <c r="L128" s="7" t="str">
        <f t="shared" si="48"/>
        <v>39Estampilla pro cultura (50% Concertacion)1583411000</v>
      </c>
      <c r="M128" t="s">
        <v>1906</v>
      </c>
      <c r="N128" s="136">
        <v>0.19</v>
      </c>
      <c r="O128" s="136"/>
      <c r="P128" s="20">
        <f t="shared" si="39"/>
        <v>1884259090</v>
      </c>
      <c r="Q128" s="136">
        <f t="shared" si="71"/>
        <v>0.19</v>
      </c>
      <c r="R128" s="136">
        <f t="shared" si="67"/>
        <v>0.19</v>
      </c>
      <c r="S128" s="20">
        <f t="shared" si="40"/>
        <v>2242268317.0999999</v>
      </c>
      <c r="T128" s="136">
        <v>0.05</v>
      </c>
      <c r="U128" s="136">
        <f t="shared" si="72"/>
        <v>0.19</v>
      </c>
      <c r="V128" s="20">
        <f t="shared" si="41"/>
        <v>2668299297.349</v>
      </c>
    </row>
    <row r="129" spans="1:22" x14ac:dyDescent="0.3">
      <c r="A129" s="5">
        <v>41</v>
      </c>
      <c r="B129" s="8" t="s">
        <v>1133</v>
      </c>
      <c r="C129" s="11">
        <f>+SUMIFS('2021'!Z:Z,'2021'!D:D,CRUCE!A129,'2021'!AT:AT,CRUCE!B129)</f>
        <v>861916.82</v>
      </c>
      <c r="D129" s="11">
        <f>+SUMIFS('2022'!Y:Y,'2022'!D:D,CRUCE!A129,'2022'!AS:AS,CRUCE!B129)</f>
        <v>2792188.18</v>
      </c>
      <c r="E129" s="136">
        <f t="shared" si="37"/>
        <v>2.2395100260370837</v>
      </c>
      <c r="F129" s="11">
        <f>+SUMIFS('2023'!Y:Y,'2023'!D:D,CRUCE!A129,'2023'!AS:AS,CRUCE!B129)</f>
        <v>11751206.83</v>
      </c>
      <c r="G129" s="136">
        <f t="shared" si="38"/>
        <v>3.2086013092427028</v>
      </c>
      <c r="H129" s="11">
        <f>+SUMIFS('2024'!J:J,'2024'!D:D,CRUCE!A129,'2024'!AT:AT,CRUCE!B129)</f>
        <v>1000000</v>
      </c>
      <c r="I129" s="7" t="str">
        <f t="shared" si="45"/>
        <v>41Depósitos Estampilla Procultura Estimulos 10%861916,82</v>
      </c>
      <c r="J129" s="7" t="str">
        <f t="shared" si="46"/>
        <v>41Depósitos Estampilla Procultura Estimulos 10%2792188,18</v>
      </c>
      <c r="K129" s="7" t="str">
        <f t="shared" si="47"/>
        <v>41Depósitos Estampilla Procultura Estimulos 10%11751206,83</v>
      </c>
      <c r="L129" s="7" t="str">
        <f t="shared" si="48"/>
        <v>41Depósitos Estampilla Procultura Estimulos 10%1000000</v>
      </c>
      <c r="M129" t="s">
        <v>1906</v>
      </c>
      <c r="N129" s="136">
        <v>0.02</v>
      </c>
      <c r="O129" s="136"/>
      <c r="P129" s="20">
        <f>+H129*1.02</f>
        <v>1020000</v>
      </c>
      <c r="Q129" s="136">
        <f t="shared" si="71"/>
        <v>0.02</v>
      </c>
      <c r="R129" s="136">
        <f t="shared" si="67"/>
        <v>0.02</v>
      </c>
      <c r="S129" s="20">
        <f>+P129*1.02</f>
        <v>1040400</v>
      </c>
      <c r="T129" s="136">
        <v>0.05</v>
      </c>
      <c r="U129" s="136">
        <f t="shared" si="72"/>
        <v>0.02</v>
      </c>
      <c r="V129" s="20">
        <f>+S129*1.02</f>
        <v>1061208</v>
      </c>
    </row>
    <row r="130" spans="1:22" x14ac:dyDescent="0.3">
      <c r="A130" s="5">
        <v>41</v>
      </c>
      <c r="B130" s="8" t="s">
        <v>1070</v>
      </c>
      <c r="C130" s="11">
        <f>+SUMIFS('2021'!Z:Z,'2021'!D:D,CRUCE!A130,'2021'!AT:AT,CRUCE!B130)</f>
        <v>178952369.97999999</v>
      </c>
      <c r="D130" s="11">
        <f>+SUMIFS('2022'!Y:Y,'2022'!D:D,CRUCE!A130,'2022'!AS:AS,CRUCE!B130)</f>
        <v>243601650</v>
      </c>
      <c r="E130" s="136">
        <f t="shared" si="37"/>
        <v>0.36126529102255156</v>
      </c>
      <c r="F130" s="11">
        <f>+SUMIFS('2023'!Y:Y,'2023'!D:D,CRUCE!A130,'2023'!AS:AS,CRUCE!B130)</f>
        <v>344034717.58999997</v>
      </c>
      <c r="G130" s="136">
        <f t="shared" si="38"/>
        <v>0.41228402020265453</v>
      </c>
      <c r="H130" s="11">
        <f>+SUMIFS('2024'!J:J,'2024'!D:D,CRUCE!A130,'2024'!AT:AT,CRUCE!B130)</f>
        <v>316682000</v>
      </c>
      <c r="I130" s="7" t="str">
        <f t="shared" si="45"/>
        <v>41Estampilla pro cultura (10% Estimulos)178952369,98</v>
      </c>
      <c r="J130" s="7" t="str">
        <f t="shared" si="46"/>
        <v>41Estampilla pro cultura (10% Estimulos)243601650</v>
      </c>
      <c r="K130" s="7" t="str">
        <f t="shared" si="47"/>
        <v>41Estampilla pro cultura (10% Estimulos)344034717,59</v>
      </c>
      <c r="L130" s="7" t="str">
        <f t="shared" si="48"/>
        <v>41Estampilla pro cultura (10% Estimulos)316682000</v>
      </c>
      <c r="M130" t="s">
        <v>1906</v>
      </c>
      <c r="N130" s="136">
        <v>0.19</v>
      </c>
      <c r="O130" s="136"/>
      <c r="P130" s="20">
        <f t="shared" si="39"/>
        <v>376851580</v>
      </c>
      <c r="Q130" s="136">
        <f t="shared" si="71"/>
        <v>0.19</v>
      </c>
      <c r="R130" s="136">
        <f t="shared" ref="R130:R132" si="73">+Q130</f>
        <v>0.19</v>
      </c>
      <c r="S130" s="20">
        <f t="shared" si="40"/>
        <v>448453380.19999999</v>
      </c>
      <c r="T130" s="136">
        <v>0.05</v>
      </c>
      <c r="U130" s="136">
        <f t="shared" si="72"/>
        <v>0.19</v>
      </c>
      <c r="V130" s="20">
        <f t="shared" si="41"/>
        <v>533659522.43799996</v>
      </c>
    </row>
    <row r="131" spans="1:22" x14ac:dyDescent="0.3">
      <c r="A131" s="5">
        <v>42</v>
      </c>
      <c r="B131" s="8" t="s">
        <v>1327</v>
      </c>
      <c r="C131" s="11">
        <f>+SUMIFS('2021'!Z:Z,'2021'!D:D,CRUCE!A131,'2021'!AT:AT,CRUCE!B131)</f>
        <v>1641312206.6300001</v>
      </c>
      <c r="D131" s="11">
        <f>+SUMIFS('2022'!Y:Y,'2022'!D:D,CRUCE!A131,'2022'!AS:AS,CRUCE!B131)</f>
        <v>3710887236.5700002</v>
      </c>
      <c r="E131" s="136">
        <v>0.03</v>
      </c>
      <c r="F131" s="11">
        <f>+SUMIFS('2023'!Y:Y,'2023'!D:D,CRUCE!A131,'2023'!AS:AS,CRUCE!B131)</f>
        <v>5371780470.6000004</v>
      </c>
      <c r="G131" s="136">
        <v>0.19</v>
      </c>
      <c r="H131" s="11">
        <f>+SUMIFS('2024'!J:J,'2024'!D:D,CRUCE!A131,'2024'!AT:AT,CRUCE!B131)</f>
        <v>2461968000</v>
      </c>
      <c r="I131" s="7" t="str">
        <f t="shared" si="45"/>
        <v>42Contribución especial sobre contratos de obras públicas1641312206,63</v>
      </c>
      <c r="J131" s="7" t="str">
        <f t="shared" si="46"/>
        <v>42Contribución especial sobre contratos de obras públicas3710887236,57</v>
      </c>
      <c r="K131" s="7" t="str">
        <f t="shared" si="47"/>
        <v>42Contribución especial sobre contratos de obras públicas5371780470,6</v>
      </c>
      <c r="L131" s="7" t="str">
        <f t="shared" si="48"/>
        <v>42Contribución especial sobre contratos de obras públicas2461968000</v>
      </c>
      <c r="M131" t="s">
        <v>1906</v>
      </c>
      <c r="N131" s="136">
        <v>0.05</v>
      </c>
      <c r="O131" s="136"/>
      <c r="P131" s="20">
        <f t="shared" si="39"/>
        <v>2585066400</v>
      </c>
      <c r="Q131" s="136">
        <f t="shared" si="71"/>
        <v>0.05</v>
      </c>
      <c r="R131" s="136">
        <f t="shared" si="73"/>
        <v>0.05</v>
      </c>
      <c r="S131" s="20">
        <f t="shared" si="40"/>
        <v>2714319720</v>
      </c>
      <c r="T131" s="136">
        <v>0.05</v>
      </c>
      <c r="U131" s="136">
        <f t="shared" si="72"/>
        <v>0.05</v>
      </c>
      <c r="V131" s="20">
        <f t="shared" si="41"/>
        <v>2850035706</v>
      </c>
    </row>
    <row r="132" spans="1:22" x14ac:dyDescent="0.3">
      <c r="A132" s="5">
        <v>42</v>
      </c>
      <c r="B132" s="8" t="s">
        <v>1142</v>
      </c>
      <c r="C132" s="11">
        <f>+SUMIFS('2021'!Z:Z,'2021'!D:D,CRUCE!A132,'2021'!AT:AT,CRUCE!B132)</f>
        <v>29657891.350000001</v>
      </c>
      <c r="D132" s="11">
        <f>+SUMIFS('2022'!Y:Y,'2022'!D:D,CRUCE!A132,'2022'!AS:AS,CRUCE!B132)</f>
        <v>115442163.69</v>
      </c>
      <c r="E132" s="136">
        <f t="shared" ref="E132:E195" si="74">+(D132-C132)/C132</f>
        <v>2.8924602672401387</v>
      </c>
      <c r="F132" s="11">
        <f>+SUMIFS('2023'!Y:Y,'2023'!D:D,CRUCE!A132,'2023'!AS:AS,CRUCE!B132)</f>
        <v>428815394.30000001</v>
      </c>
      <c r="G132" s="136">
        <f t="shared" ref="G132:G195" si="75">+(F132-D132)/D132</f>
        <v>2.7145474460398171</v>
      </c>
      <c r="H132" s="11">
        <f>+SUMIFS('2024'!J:J,'2024'!D:D,CRUCE!A132,'2024'!AT:AT,CRUCE!B132)</f>
        <v>30000000</v>
      </c>
      <c r="I132" s="7" t="str">
        <f t="shared" si="45"/>
        <v>42Depósitos Fondo de Seguridad Ciudadana29657891,35</v>
      </c>
      <c r="J132" s="7" t="str">
        <f t="shared" si="46"/>
        <v>42Depósitos Fondo de Seguridad Ciudadana115442163,69</v>
      </c>
      <c r="K132" s="7" t="str">
        <f t="shared" si="47"/>
        <v>42Depósitos Fondo de Seguridad Ciudadana428815394,3</v>
      </c>
      <c r="L132" s="7" t="str">
        <f t="shared" si="48"/>
        <v>42Depósitos Fondo de Seguridad Ciudadana30000000</v>
      </c>
      <c r="M132" t="s">
        <v>1906</v>
      </c>
      <c r="N132" s="136">
        <v>0.02</v>
      </c>
      <c r="O132" s="136"/>
      <c r="P132" s="20">
        <f>+H132*1.02</f>
        <v>30600000</v>
      </c>
      <c r="Q132" s="136">
        <f t="shared" si="71"/>
        <v>0.02</v>
      </c>
      <c r="R132" s="136">
        <f t="shared" si="73"/>
        <v>0.02</v>
      </c>
      <c r="S132" s="20">
        <f>+P132*1.02</f>
        <v>31212000</v>
      </c>
      <c r="T132" s="136">
        <v>0.05</v>
      </c>
      <c r="U132" s="136">
        <f t="shared" si="72"/>
        <v>0.02</v>
      </c>
      <c r="V132" s="20">
        <f>+S132*1.02</f>
        <v>31836240</v>
      </c>
    </row>
    <row r="133" spans="1:22" hidden="1" x14ac:dyDescent="0.3">
      <c r="A133" s="5">
        <v>46</v>
      </c>
      <c r="B133" s="8" t="s">
        <v>1162</v>
      </c>
      <c r="C133" s="11">
        <f>+SUMIFS('2021'!Z:Z,'2021'!D:D,CRUCE!A133,'2021'!AT:AT,CRUCE!B133)</f>
        <v>0</v>
      </c>
      <c r="D133" s="11">
        <f>+SUMIFS('2022'!Y:Y,'2022'!D:D,CRUCE!A133,'2022'!AS:AS,CRUCE!B133)</f>
        <v>0</v>
      </c>
      <c r="E133" s="136" t="e">
        <f t="shared" si="74"/>
        <v>#DIV/0!</v>
      </c>
      <c r="F133" s="11">
        <f>+SUMIFS('2023'!Y:Y,'2023'!D:D,CRUCE!A133,'2023'!AS:AS,CRUCE!B133)</f>
        <v>0</v>
      </c>
      <c r="G133" s="136" t="e">
        <f t="shared" si="75"/>
        <v>#DIV/0!</v>
      </c>
      <c r="H133" s="11">
        <f>+SUMIFS('2024'!J:J,'2024'!D:D,CRUCE!A133,'2024'!AT:AT,CRUCE!B133)</f>
        <v>0</v>
      </c>
      <c r="I133" s="7" t="str">
        <f t="shared" si="45"/>
        <v>46Banca comercial0</v>
      </c>
      <c r="J133" s="7" t="str">
        <f t="shared" si="46"/>
        <v>46Banca comercial0</v>
      </c>
      <c r="K133" s="7" t="str">
        <f t="shared" si="47"/>
        <v>46Banca comercial0</v>
      </c>
      <c r="L133" s="7" t="str">
        <f t="shared" si="48"/>
        <v>46Banca comercial0</v>
      </c>
      <c r="M133" t="s">
        <v>1906</v>
      </c>
      <c r="N133" s="136" t="e">
        <f t="shared" si="49"/>
        <v>#DIV/0!</v>
      </c>
      <c r="O133" s="136"/>
      <c r="P133" s="20" t="e">
        <f t="shared" ref="P133:P195" si="76">+H133+(H133*N133)</f>
        <v>#DIV/0!</v>
      </c>
      <c r="Q133" s="136">
        <v>0.05</v>
      </c>
      <c r="R133" s="136">
        <v>0.05</v>
      </c>
      <c r="S133" s="20" t="e">
        <f t="shared" ref="S133:S195" si="77">+P133+(P133*R133)</f>
        <v>#DIV/0!</v>
      </c>
      <c r="T133" s="136">
        <v>0.05</v>
      </c>
      <c r="U133" s="136">
        <v>0.05</v>
      </c>
      <c r="V133" s="20" t="e">
        <f t="shared" ref="V133:V195" si="78">+S133+(S133*U133)</f>
        <v>#DIV/0!</v>
      </c>
    </row>
    <row r="134" spans="1:22" hidden="1" x14ac:dyDescent="0.3">
      <c r="A134" s="5">
        <v>46</v>
      </c>
      <c r="B134" s="8" t="s">
        <v>459</v>
      </c>
      <c r="C134" s="11">
        <f>+SUMIFS('2021'!Z:Z,'2021'!D:D,CRUCE!A134,'2021'!AT:AT,CRUCE!B134)</f>
        <v>25627657.93</v>
      </c>
      <c r="D134" s="11">
        <f>+SUMIFS('2022'!Y:Y,'2022'!D:D,CRUCE!A134,'2022'!AS:AS,CRUCE!B134)</f>
        <v>0</v>
      </c>
      <c r="E134" s="136">
        <f t="shared" si="74"/>
        <v>-1</v>
      </c>
      <c r="F134" s="11">
        <f>+SUMIFS('2023'!Y:Y,'2023'!D:D,CRUCE!A134,'2023'!AS:AS,CRUCE!B134)</f>
        <v>0</v>
      </c>
      <c r="G134" s="136" t="e">
        <f t="shared" si="75"/>
        <v>#DIV/0!</v>
      </c>
      <c r="H134" s="11">
        <f>+SUMIFS('2024'!J:J,'2024'!D:D,CRUCE!A134,'2024'!AT:AT,CRUCE!B134)</f>
        <v>0</v>
      </c>
      <c r="I134" s="7" t="str">
        <f t="shared" si="45"/>
        <v>46Reintegros25627657,93</v>
      </c>
      <c r="J134" s="7" t="str">
        <f t="shared" si="46"/>
        <v>46Reintegros0</v>
      </c>
      <c r="K134" s="7" t="str">
        <f t="shared" si="47"/>
        <v>46Reintegros0</v>
      </c>
      <c r="L134" s="7" t="str">
        <f t="shared" si="48"/>
        <v>46Reintegros0</v>
      </c>
      <c r="M134" t="s">
        <v>1906</v>
      </c>
      <c r="N134" s="136" t="e">
        <f t="shared" si="49"/>
        <v>#DIV/0!</v>
      </c>
      <c r="O134" s="136"/>
      <c r="P134" s="20" t="e">
        <f t="shared" si="76"/>
        <v>#DIV/0!</v>
      </c>
      <c r="Q134" s="136">
        <v>0.05</v>
      </c>
      <c r="R134" s="136">
        <v>0.05</v>
      </c>
      <c r="S134" s="20" t="e">
        <f t="shared" si="77"/>
        <v>#DIV/0!</v>
      </c>
      <c r="T134" s="136">
        <v>0.05</v>
      </c>
      <c r="U134" s="136">
        <v>0.05</v>
      </c>
      <c r="V134" s="20" t="e">
        <f t="shared" si="78"/>
        <v>#DIV/0!</v>
      </c>
    </row>
    <row r="135" spans="1:22" x14ac:dyDescent="0.3">
      <c r="A135" s="5">
        <v>47</v>
      </c>
      <c r="B135" s="8" t="s">
        <v>255</v>
      </c>
      <c r="C135" s="11">
        <f>+SUMIFS('2021'!Z:Z,'2021'!D:D,CRUCE!A135,'2021'!AT:AT,CRUCE!B135)</f>
        <v>141163803</v>
      </c>
      <c r="D135" s="11">
        <f>+SUMIFS('2022'!Y:Y,'2022'!D:D,CRUCE!A135,'2022'!AS:AS,CRUCE!B135)</f>
        <v>119068844</v>
      </c>
      <c r="E135" s="136">
        <f t="shared" si="74"/>
        <v>-0.15652000392763576</v>
      </c>
      <c r="F135" s="11">
        <f>+SUMIFS('2023'!Y:Y,'2023'!D:D,CRUCE!A135,'2023'!AS:AS,CRUCE!B135)</f>
        <v>103859422</v>
      </c>
      <c r="G135" s="136">
        <f t="shared" si="75"/>
        <v>-0.12773637073355645</v>
      </c>
      <c r="H135" s="11">
        <f>+SUMIFS('2024'!J:J,'2024'!D:D,CRUCE!A135,'2024'!AT:AT,CRUCE!B135)</f>
        <v>103859000</v>
      </c>
      <c r="I135" s="7" t="str">
        <f t="shared" si="45"/>
        <v>47Participación del impuesto nacional al consumo del servicio de telefonía móvil141163803</v>
      </c>
      <c r="J135" s="7" t="str">
        <f t="shared" si="46"/>
        <v>47Participación del impuesto nacional al consumo del servicio de telefonía móvil119068844</v>
      </c>
      <c r="K135" s="7" t="str">
        <f t="shared" si="47"/>
        <v>47Participación del impuesto nacional al consumo del servicio de telefonía móvil103859422</v>
      </c>
      <c r="L135" s="7" t="str">
        <f t="shared" si="48"/>
        <v>47Participación del impuesto nacional al consumo del servicio de telefonía móvil103859000</v>
      </c>
      <c r="M135" t="s">
        <v>1906</v>
      </c>
      <c r="N135" s="136">
        <v>0.05</v>
      </c>
      <c r="O135" s="136"/>
      <c r="P135" s="20">
        <f t="shared" si="76"/>
        <v>109051950</v>
      </c>
      <c r="Q135" s="136">
        <f t="shared" ref="Q135:Q140" si="79">+N135</f>
        <v>0.05</v>
      </c>
      <c r="R135" s="136">
        <f t="shared" ref="R135:R140" si="80">+Q135</f>
        <v>0.05</v>
      </c>
      <c r="S135" s="20">
        <f t="shared" si="77"/>
        <v>114504547.5</v>
      </c>
      <c r="T135" s="136">
        <v>0.03</v>
      </c>
      <c r="U135" s="136">
        <f t="shared" ref="U135:U140" si="81">+R135</f>
        <v>0.05</v>
      </c>
      <c r="V135" s="20">
        <f t="shared" si="78"/>
        <v>120229774.875</v>
      </c>
    </row>
    <row r="136" spans="1:22" x14ac:dyDescent="0.3">
      <c r="A136" s="5">
        <v>49</v>
      </c>
      <c r="B136" s="8" t="s">
        <v>341</v>
      </c>
      <c r="C136" s="11">
        <f>+SUMIFS('2021'!Z:Z,'2021'!D:D,CRUCE!A136,'2021'!AT:AT,CRUCE!B136)</f>
        <v>0</v>
      </c>
      <c r="D136" s="11">
        <f>+SUMIFS('2022'!Y:Y,'2022'!D:D,CRUCE!A136,'2022'!AS:AS,CRUCE!B136)</f>
        <v>0</v>
      </c>
      <c r="E136" s="136" t="e">
        <f t="shared" si="74"/>
        <v>#DIV/0!</v>
      </c>
      <c r="F136" s="11">
        <f>+SUMIFS('2023'!Y:Y,'2023'!D:D,CRUCE!A136,'2023'!AS:AS,CRUCE!B136)</f>
        <v>281188</v>
      </c>
      <c r="G136" s="136">
        <v>0.05</v>
      </c>
      <c r="H136" s="11">
        <f>+SUMIFS('2024'!J:J,'2024'!D:D,CRUCE!A136,'2024'!AT:AT,CRUCE!B136)</f>
        <v>424948</v>
      </c>
      <c r="I136" s="7" t="str">
        <f t="shared" si="45"/>
        <v>49Alcalá0</v>
      </c>
      <c r="J136" s="7" t="str">
        <f t="shared" si="46"/>
        <v>49Alcalá0</v>
      </c>
      <c r="K136" s="7" t="str">
        <f t="shared" si="47"/>
        <v>49Alcalá281188</v>
      </c>
      <c r="L136" s="7" t="str">
        <f t="shared" si="48"/>
        <v>49Alcalá424948</v>
      </c>
      <c r="M136" t="s">
        <v>1906</v>
      </c>
      <c r="N136" s="136">
        <v>0.05</v>
      </c>
      <c r="O136" s="136"/>
      <c r="P136" s="20">
        <f t="shared" si="76"/>
        <v>446195.4</v>
      </c>
      <c r="Q136" s="136">
        <f t="shared" si="79"/>
        <v>0.05</v>
      </c>
      <c r="R136" s="136">
        <f t="shared" si="80"/>
        <v>0.05</v>
      </c>
      <c r="S136" s="20">
        <f t="shared" si="77"/>
        <v>468505.17000000004</v>
      </c>
      <c r="T136" s="136">
        <v>0.02</v>
      </c>
      <c r="U136" s="136">
        <f t="shared" si="81"/>
        <v>0.05</v>
      </c>
      <c r="V136" s="20">
        <f t="shared" si="78"/>
        <v>491930.42850000004</v>
      </c>
    </row>
    <row r="137" spans="1:22" x14ac:dyDescent="0.3">
      <c r="A137" s="5">
        <v>49</v>
      </c>
      <c r="B137" s="8" t="s">
        <v>1628</v>
      </c>
      <c r="C137" s="11">
        <f>+SUMIFS('2021'!Z:Z,'2021'!D:D,CRUCE!A137,'2021'!AT:AT,CRUCE!B137)</f>
        <v>0</v>
      </c>
      <c r="D137" s="11">
        <f>+SUMIFS('2022'!Y:Y,'2022'!D:D,CRUCE!A137,'2022'!AS:AS,CRUCE!B137)</f>
        <v>0</v>
      </c>
      <c r="E137" s="136" t="e">
        <f t="shared" si="74"/>
        <v>#DIV/0!</v>
      </c>
      <c r="F137" s="11">
        <f>+SUMIFS('2023'!Y:Y,'2023'!D:D,CRUCE!A137,'2023'!AS:AS,CRUCE!B137)</f>
        <v>0</v>
      </c>
      <c r="G137" s="136">
        <v>0.05</v>
      </c>
      <c r="H137" s="11">
        <f>+SUMIFS('2024'!J:J,'2024'!D:D,CRUCE!A137,'2024'!AT:AT,CRUCE!B137)</f>
        <v>135357418</v>
      </c>
      <c r="I137" s="7" t="str">
        <f t="shared" si="45"/>
        <v>49Armenia 0</v>
      </c>
      <c r="J137" s="7" t="str">
        <f t="shared" si="46"/>
        <v>49Armenia 0</v>
      </c>
      <c r="K137" s="7" t="str">
        <f t="shared" si="47"/>
        <v>49Armenia 0</v>
      </c>
      <c r="L137" s="7" t="str">
        <f t="shared" si="48"/>
        <v>49Armenia 135357418</v>
      </c>
      <c r="M137" t="s">
        <v>1906</v>
      </c>
      <c r="N137" s="136">
        <v>0.05</v>
      </c>
      <c r="O137" s="136"/>
      <c r="P137" s="20">
        <f t="shared" si="76"/>
        <v>142125288.90000001</v>
      </c>
      <c r="Q137" s="136">
        <f t="shared" si="79"/>
        <v>0.05</v>
      </c>
      <c r="R137" s="136">
        <f t="shared" si="80"/>
        <v>0.05</v>
      </c>
      <c r="S137" s="20">
        <f t="shared" si="77"/>
        <v>149231553.345</v>
      </c>
      <c r="T137" s="136">
        <v>0.19</v>
      </c>
      <c r="U137" s="136">
        <f t="shared" si="81"/>
        <v>0.05</v>
      </c>
      <c r="V137" s="20">
        <f t="shared" si="78"/>
        <v>156693131.01225001</v>
      </c>
    </row>
    <row r="138" spans="1:22" x14ac:dyDescent="0.3">
      <c r="A138" s="5">
        <v>49</v>
      </c>
      <c r="B138" s="8" t="s">
        <v>327</v>
      </c>
      <c r="C138" s="11">
        <f>+SUMIFS('2021'!Z:Z,'2021'!D:D,CRUCE!A138,'2021'!AT:AT,CRUCE!B138)</f>
        <v>0</v>
      </c>
      <c r="D138" s="11">
        <f>+SUMIFS('2022'!Y:Y,'2022'!D:D,CRUCE!A138,'2022'!AS:AS,CRUCE!B138)</f>
        <v>0</v>
      </c>
      <c r="E138" s="136" t="e">
        <f t="shared" si="74"/>
        <v>#DIV/0!</v>
      </c>
      <c r="F138" s="11">
        <f>+SUMIFS('2023'!Y:Y,'2023'!D:D,CRUCE!A138,'2023'!AS:AS,CRUCE!B138)</f>
        <v>5041698</v>
      </c>
      <c r="G138" s="136">
        <v>0.05</v>
      </c>
      <c r="H138" s="11">
        <f>+SUMIFS('2024'!J:J,'2024'!D:D,CRUCE!A138,'2024'!AT:AT,CRUCE!B138)</f>
        <v>7651123</v>
      </c>
      <c r="I138" s="7" t="str">
        <f t="shared" ref="I138:I200" si="82">+$A138&amp;$B138&amp;C138</f>
        <v>49Buenavista - Quindío0</v>
      </c>
      <c r="J138" s="7" t="str">
        <f t="shared" ref="J138:J200" si="83">+$A138&amp;$B138&amp;D138</f>
        <v>49Buenavista - Quindío0</v>
      </c>
      <c r="K138" s="7" t="str">
        <f t="shared" ref="K138:K200" si="84">+$A138&amp;$B138&amp;F138</f>
        <v>49Buenavista - Quindío5041698</v>
      </c>
      <c r="L138" s="7" t="str">
        <f t="shared" ref="L138:L200" si="85">+$A138&amp;$B138&amp;H138</f>
        <v>49Buenavista - Quindío7651123</v>
      </c>
      <c r="M138" t="s">
        <v>1906</v>
      </c>
      <c r="N138" s="136">
        <v>0.05</v>
      </c>
      <c r="O138" s="136"/>
      <c r="P138" s="20">
        <f t="shared" si="76"/>
        <v>8033679.1500000004</v>
      </c>
      <c r="Q138" s="136">
        <f t="shared" si="79"/>
        <v>0.05</v>
      </c>
      <c r="R138" s="136">
        <f t="shared" si="80"/>
        <v>0.05</v>
      </c>
      <c r="S138" s="20">
        <f t="shared" si="77"/>
        <v>8435363.1074999999</v>
      </c>
      <c r="T138" s="136">
        <v>0.19</v>
      </c>
      <c r="U138" s="136">
        <f t="shared" si="81"/>
        <v>0.05</v>
      </c>
      <c r="V138" s="20">
        <f t="shared" si="78"/>
        <v>8857131.262875</v>
      </c>
    </row>
    <row r="139" spans="1:22" x14ac:dyDescent="0.3">
      <c r="A139" s="5">
        <v>49</v>
      </c>
      <c r="B139" s="8" t="s">
        <v>1631</v>
      </c>
      <c r="C139" s="11">
        <f>+SUMIFS('2021'!Z:Z,'2021'!D:D,CRUCE!A139,'2021'!AT:AT,CRUCE!B139)</f>
        <v>0</v>
      </c>
      <c r="D139" s="11">
        <f>+SUMIFS('2022'!Y:Y,'2022'!D:D,CRUCE!A139,'2022'!AS:AS,CRUCE!B139)</f>
        <v>0</v>
      </c>
      <c r="E139" s="136" t="e">
        <f t="shared" si="74"/>
        <v>#DIV/0!</v>
      </c>
      <c r="F139" s="11">
        <f>+SUMIFS('2023'!Y:Y,'2023'!D:D,CRUCE!A139,'2023'!AS:AS,CRUCE!B139)</f>
        <v>0</v>
      </c>
      <c r="G139" s="136">
        <v>0.05</v>
      </c>
      <c r="H139" s="11">
        <f>+SUMIFS('2024'!J:J,'2024'!D:D,CRUCE!A139,'2024'!AT:AT,CRUCE!B139)</f>
        <v>28431417</v>
      </c>
      <c r="I139" s="7" t="str">
        <f t="shared" si="82"/>
        <v>49Calarca 0</v>
      </c>
      <c r="J139" s="7" t="str">
        <f t="shared" si="83"/>
        <v>49Calarca 0</v>
      </c>
      <c r="K139" s="7" t="str">
        <f t="shared" si="84"/>
        <v>49Calarca 0</v>
      </c>
      <c r="L139" s="7" t="str">
        <f t="shared" si="85"/>
        <v>49Calarca 28431417</v>
      </c>
      <c r="M139" t="s">
        <v>1906</v>
      </c>
      <c r="N139" s="136">
        <v>0.05</v>
      </c>
      <c r="O139" s="136"/>
      <c r="P139" s="20">
        <f t="shared" si="76"/>
        <v>29852987.850000001</v>
      </c>
      <c r="Q139" s="136">
        <f t="shared" si="79"/>
        <v>0.05</v>
      </c>
      <c r="R139" s="136">
        <f t="shared" si="80"/>
        <v>0.05</v>
      </c>
      <c r="S139" s="20">
        <f t="shared" si="77"/>
        <v>31345637.2425</v>
      </c>
      <c r="T139" s="136">
        <v>0.05</v>
      </c>
      <c r="U139" s="136">
        <f t="shared" si="81"/>
        <v>0.05</v>
      </c>
      <c r="V139" s="20">
        <f t="shared" si="78"/>
        <v>32912919.104625002</v>
      </c>
    </row>
    <row r="140" spans="1:22" x14ac:dyDescent="0.3">
      <c r="A140" s="5">
        <v>49</v>
      </c>
      <c r="B140" s="8" t="s">
        <v>329</v>
      </c>
      <c r="C140" s="11">
        <f>+SUMIFS('2021'!Z:Z,'2021'!D:D,CRUCE!A140,'2021'!AT:AT,CRUCE!B140)</f>
        <v>0</v>
      </c>
      <c r="D140" s="11">
        <f>+SUMIFS('2022'!Y:Y,'2022'!D:D,CRUCE!A140,'2022'!AS:AS,CRUCE!B140)</f>
        <v>0</v>
      </c>
      <c r="E140" s="136" t="e">
        <f t="shared" si="74"/>
        <v>#DIV/0!</v>
      </c>
      <c r="F140" s="11">
        <f>+SUMIFS('2023'!Y:Y,'2023'!D:D,CRUCE!A140,'2023'!AS:AS,CRUCE!B140)</f>
        <v>21256803</v>
      </c>
      <c r="G140" s="136">
        <v>0.05</v>
      </c>
      <c r="H140" s="11">
        <f>+SUMIFS('2024'!J:J,'2024'!D:D,CRUCE!A140,'2024'!AT:AT,CRUCE!B140)</f>
        <v>11311872</v>
      </c>
      <c r="I140" s="7" t="str">
        <f t="shared" si="82"/>
        <v>49Circasia0</v>
      </c>
      <c r="J140" s="7" t="str">
        <f t="shared" si="83"/>
        <v>49Circasia0</v>
      </c>
      <c r="K140" s="7" t="str">
        <f t="shared" si="84"/>
        <v>49Circasia21256803</v>
      </c>
      <c r="L140" s="7" t="str">
        <f t="shared" si="85"/>
        <v>49Circasia11311872</v>
      </c>
      <c r="M140" t="s">
        <v>1906</v>
      </c>
      <c r="N140" s="136">
        <v>0.05</v>
      </c>
      <c r="O140" s="136"/>
      <c r="P140" s="20">
        <f t="shared" si="76"/>
        <v>11877465.6</v>
      </c>
      <c r="Q140" s="136">
        <f t="shared" si="79"/>
        <v>0.05</v>
      </c>
      <c r="R140" s="136">
        <f t="shared" si="80"/>
        <v>0.05</v>
      </c>
      <c r="S140" s="20">
        <f t="shared" si="77"/>
        <v>12471338.879999999</v>
      </c>
      <c r="T140" s="136">
        <v>0.19</v>
      </c>
      <c r="U140" s="136">
        <f t="shared" si="81"/>
        <v>0.05</v>
      </c>
      <c r="V140" s="20">
        <f t="shared" si="78"/>
        <v>13094905.823999999</v>
      </c>
    </row>
    <row r="141" spans="1:22" hidden="1" x14ac:dyDescent="0.3">
      <c r="A141" s="5">
        <v>49</v>
      </c>
      <c r="B141" s="8" t="s">
        <v>1352</v>
      </c>
      <c r="C141" s="11">
        <f>+SUMIFS('2021'!Z:Z,'2021'!D:D,CRUCE!A141,'2021'!AT:AT,CRUCE!B141)</f>
        <v>0</v>
      </c>
      <c r="D141" s="11">
        <f>+SUMIFS('2022'!Y:Y,'2022'!D:D,CRUCE!A141,'2022'!AS:AS,CRUCE!B141)</f>
        <v>0</v>
      </c>
      <c r="E141" s="136" t="e">
        <f t="shared" si="74"/>
        <v>#DIV/0!</v>
      </c>
      <c r="F141" s="11">
        <f>+SUMIFS('2023'!Y:Y,'2023'!D:D,CRUCE!A141,'2023'!AS:AS,CRUCE!B141)</f>
        <v>0</v>
      </c>
      <c r="G141" s="136" t="e">
        <f t="shared" si="75"/>
        <v>#DIV/0!</v>
      </c>
      <c r="H141" s="11">
        <f>+SUMIFS('2024'!J:J,'2024'!D:D,CRUCE!A141,'2024'!AT:AT,CRUCE!B141)</f>
        <v>0</v>
      </c>
      <c r="I141" s="7" t="str">
        <f t="shared" si="82"/>
        <v>49Departamento de Antioquia0</v>
      </c>
      <c r="J141" s="7" t="str">
        <f t="shared" si="83"/>
        <v>49Departamento de Antioquia0</v>
      </c>
      <c r="K141" s="7" t="str">
        <f t="shared" si="84"/>
        <v>49Departamento de Antioquia0</v>
      </c>
      <c r="L141" s="7" t="str">
        <f t="shared" si="85"/>
        <v>49Departamento de Antioquia0</v>
      </c>
      <c r="M141" t="s">
        <v>1906</v>
      </c>
      <c r="N141" s="136" t="e">
        <f t="shared" ref="N141:N199" si="86">+(E141+G141)/2</f>
        <v>#DIV/0!</v>
      </c>
      <c r="O141" s="136"/>
      <c r="P141" s="20" t="e">
        <f t="shared" si="76"/>
        <v>#DIV/0!</v>
      </c>
      <c r="Q141" s="136">
        <v>0.05</v>
      </c>
      <c r="R141" s="136">
        <v>0.05</v>
      </c>
      <c r="S141" s="20" t="e">
        <f t="shared" si="77"/>
        <v>#DIV/0!</v>
      </c>
      <c r="T141" s="136">
        <v>0.05</v>
      </c>
      <c r="U141" s="136">
        <v>0.05</v>
      </c>
      <c r="V141" s="20" t="e">
        <f t="shared" si="78"/>
        <v>#DIV/0!</v>
      </c>
    </row>
    <row r="142" spans="1:22" x14ac:dyDescent="0.3">
      <c r="A142" s="5">
        <v>49</v>
      </c>
      <c r="B142" s="8" t="s">
        <v>313</v>
      </c>
      <c r="C142" s="11">
        <f>+SUMIFS('2021'!Z:Z,'2021'!D:D,CRUCE!A142,'2021'!AT:AT,CRUCE!B142)</f>
        <v>0</v>
      </c>
      <c r="D142" s="11">
        <f>+SUMIFS('2022'!Y:Y,'2022'!D:D,CRUCE!A142,'2022'!AS:AS,CRUCE!B142)</f>
        <v>0</v>
      </c>
      <c r="E142" s="136" t="e">
        <f t="shared" si="74"/>
        <v>#DIV/0!</v>
      </c>
      <c r="F142" s="11">
        <f>+SUMIFS('2023'!Y:Y,'2023'!D:D,CRUCE!A142,'2023'!AS:AS,CRUCE!B142)</f>
        <v>204841944</v>
      </c>
      <c r="G142" s="136">
        <v>0.05</v>
      </c>
      <c r="H142" s="11">
        <f>+SUMIFS('2024'!J:J,'2024'!D:D,CRUCE!A142,'2024'!AT:AT,CRUCE!B142)</f>
        <v>361607216</v>
      </c>
      <c r="I142" s="7" t="str">
        <f t="shared" si="82"/>
        <v>49Departamento de Caldas0</v>
      </c>
      <c r="J142" s="7" t="str">
        <f t="shared" si="83"/>
        <v>49Departamento de Caldas0</v>
      </c>
      <c r="K142" s="7" t="str">
        <f t="shared" si="84"/>
        <v>49Departamento de Caldas204841944</v>
      </c>
      <c r="L142" s="7" t="str">
        <f t="shared" si="85"/>
        <v>49Departamento de Caldas361607216</v>
      </c>
      <c r="M142" t="s">
        <v>1906</v>
      </c>
      <c r="N142" s="136">
        <v>0.05</v>
      </c>
      <c r="O142" s="136"/>
      <c r="P142" s="20">
        <f t="shared" si="76"/>
        <v>379687576.80000001</v>
      </c>
      <c r="Q142" s="136">
        <f>+N142</f>
        <v>0.05</v>
      </c>
      <c r="R142" s="136">
        <f>+Q142</f>
        <v>0.05</v>
      </c>
      <c r="S142" s="20">
        <f t="shared" si="77"/>
        <v>398671955.63999999</v>
      </c>
      <c r="T142" s="136">
        <v>0.05</v>
      </c>
      <c r="U142" s="136">
        <f>+R142</f>
        <v>0.05</v>
      </c>
      <c r="V142" s="20">
        <f t="shared" si="78"/>
        <v>418605553.42199999</v>
      </c>
    </row>
    <row r="143" spans="1:22" hidden="1" x14ac:dyDescent="0.3">
      <c r="A143" s="5">
        <v>49</v>
      </c>
      <c r="B143" s="8" t="s">
        <v>315</v>
      </c>
      <c r="C143" s="11">
        <f>+SUMIFS('2021'!Z:Z,'2021'!D:D,CRUCE!A143,'2021'!AT:AT,CRUCE!B143)</f>
        <v>0</v>
      </c>
      <c r="D143" s="11">
        <f>+SUMIFS('2022'!Y:Y,'2022'!D:D,CRUCE!A143,'2022'!AS:AS,CRUCE!B143)</f>
        <v>0</v>
      </c>
      <c r="E143" s="136" t="e">
        <f t="shared" si="74"/>
        <v>#DIV/0!</v>
      </c>
      <c r="F143" s="11">
        <f>+SUMIFS('2023'!Y:Y,'2023'!D:D,CRUCE!A143,'2023'!AS:AS,CRUCE!B143)</f>
        <v>2426022</v>
      </c>
      <c r="G143" s="136" t="e">
        <f t="shared" si="75"/>
        <v>#DIV/0!</v>
      </c>
      <c r="H143" s="11">
        <f>+SUMIFS('2024'!J:J,'2024'!D:D,CRUCE!A143,'2024'!AT:AT,CRUCE!B143)</f>
        <v>0</v>
      </c>
      <c r="I143" s="7" t="str">
        <f t="shared" si="82"/>
        <v>49Departamento de Risaralda0</v>
      </c>
      <c r="J143" s="7" t="str">
        <f t="shared" si="83"/>
        <v>49Departamento de Risaralda0</v>
      </c>
      <c r="K143" s="7" t="str">
        <f t="shared" si="84"/>
        <v>49Departamento de Risaralda2426022</v>
      </c>
      <c r="L143" s="7" t="str">
        <f t="shared" si="85"/>
        <v>49Departamento de Risaralda0</v>
      </c>
      <c r="M143" t="s">
        <v>1906</v>
      </c>
      <c r="N143" s="136" t="e">
        <f t="shared" si="86"/>
        <v>#DIV/0!</v>
      </c>
      <c r="O143" s="136"/>
      <c r="P143" s="20" t="e">
        <f t="shared" si="76"/>
        <v>#DIV/0!</v>
      </c>
      <c r="Q143" s="136">
        <v>0.05</v>
      </c>
      <c r="R143" s="136">
        <v>0.05</v>
      </c>
      <c r="S143" s="20" t="e">
        <f t="shared" si="77"/>
        <v>#DIV/0!</v>
      </c>
      <c r="T143" s="136">
        <v>0.05</v>
      </c>
      <c r="U143" s="136">
        <v>0.05</v>
      </c>
      <c r="V143" s="20" t="e">
        <f t="shared" si="78"/>
        <v>#DIV/0!</v>
      </c>
    </row>
    <row r="144" spans="1:22" x14ac:dyDescent="0.3">
      <c r="A144" s="5">
        <v>49</v>
      </c>
      <c r="B144" s="8" t="s">
        <v>1635</v>
      </c>
      <c r="C144" s="11">
        <f>+SUMIFS('2021'!Z:Z,'2021'!D:D,CRUCE!A144,'2021'!AT:AT,CRUCE!B144)</f>
        <v>0</v>
      </c>
      <c r="D144" s="11">
        <f>+SUMIFS('2022'!Y:Y,'2022'!D:D,CRUCE!A144,'2022'!AS:AS,CRUCE!B144)</f>
        <v>0</v>
      </c>
      <c r="E144" s="136" t="e">
        <f t="shared" si="74"/>
        <v>#DIV/0!</v>
      </c>
      <c r="F144" s="11">
        <f>+SUMIFS('2023'!Y:Y,'2023'!D:D,CRUCE!A144,'2023'!AS:AS,CRUCE!B144)</f>
        <v>0</v>
      </c>
      <c r="G144" s="136">
        <v>0.05</v>
      </c>
      <c r="H144" s="11">
        <f>+SUMIFS('2024'!J:J,'2024'!D:D,CRUCE!A144,'2024'!AT:AT,CRUCE!B144)</f>
        <v>10080210</v>
      </c>
      <c r="I144" s="7" t="str">
        <f t="shared" si="82"/>
        <v>49Departamento del Valle del Cauca0</v>
      </c>
      <c r="J144" s="7" t="str">
        <f t="shared" si="83"/>
        <v>49Departamento del Valle del Cauca0</v>
      </c>
      <c r="K144" s="7" t="str">
        <f t="shared" si="84"/>
        <v>49Departamento del Valle del Cauca0</v>
      </c>
      <c r="L144" s="7" t="str">
        <f t="shared" si="85"/>
        <v>49Departamento del Valle del Cauca10080210</v>
      </c>
      <c r="M144" t="s">
        <v>1906</v>
      </c>
      <c r="N144" s="136">
        <v>0.05</v>
      </c>
      <c r="O144" s="136"/>
      <c r="P144" s="20">
        <f t="shared" si="76"/>
        <v>10584220.5</v>
      </c>
      <c r="Q144" s="136">
        <f>+N144</f>
        <v>0.05</v>
      </c>
      <c r="R144" s="136">
        <f>+Q144</f>
        <v>0.05</v>
      </c>
      <c r="S144" s="20">
        <f t="shared" si="77"/>
        <v>11113431.525</v>
      </c>
      <c r="T144" s="136">
        <v>0.05</v>
      </c>
      <c r="U144" s="136">
        <f>+R144</f>
        <v>0.05</v>
      </c>
      <c r="V144" s="20">
        <f t="shared" si="78"/>
        <v>11669103.10125</v>
      </c>
    </row>
    <row r="145" spans="1:22" hidden="1" x14ac:dyDescent="0.3">
      <c r="A145" s="5">
        <v>49</v>
      </c>
      <c r="B145" s="8" t="s">
        <v>303</v>
      </c>
      <c r="C145" s="11">
        <f>+SUMIFS('2021'!Z:Z,'2021'!D:D,CRUCE!A145,'2021'!AT:AT,CRUCE!B145)</f>
        <v>0</v>
      </c>
      <c r="D145" s="11">
        <f>+SUMIFS('2022'!Y:Y,'2022'!D:D,CRUCE!A145,'2022'!AS:AS,CRUCE!B145)</f>
        <v>0</v>
      </c>
      <c r="E145" s="136" t="e">
        <f t="shared" si="74"/>
        <v>#DIV/0!</v>
      </c>
      <c r="F145" s="11">
        <f>+SUMIFS('2023'!Y:Y,'2023'!D:D,CRUCE!A145,'2023'!AS:AS,CRUCE!B145)</f>
        <v>0</v>
      </c>
      <c r="G145" s="136" t="e">
        <f t="shared" si="75"/>
        <v>#DIV/0!</v>
      </c>
      <c r="H145" s="11">
        <f>+SUMIFS('2024'!J:J,'2024'!D:D,CRUCE!A145,'2024'!AT:AT,CRUCE!B145)</f>
        <v>0</v>
      </c>
      <c r="I145" s="7" t="str">
        <f t="shared" si="82"/>
        <v>49E.S.E. Hospital San Antonio - Roldanillo (Valle)0</v>
      </c>
      <c r="J145" s="7" t="str">
        <f t="shared" si="83"/>
        <v>49E.S.E. Hospital San Antonio - Roldanillo (Valle)0</v>
      </c>
      <c r="K145" s="7" t="str">
        <f t="shared" si="84"/>
        <v>49E.S.E. Hospital San Antonio - Roldanillo (Valle)0</v>
      </c>
      <c r="L145" s="7" t="str">
        <f t="shared" si="85"/>
        <v>49E.S.E. Hospital San Antonio - Roldanillo (Valle)0</v>
      </c>
      <c r="M145" t="s">
        <v>1906</v>
      </c>
      <c r="N145" s="136" t="e">
        <f t="shared" si="86"/>
        <v>#DIV/0!</v>
      </c>
      <c r="O145" s="136"/>
      <c r="P145" s="20" t="e">
        <f t="shared" si="76"/>
        <v>#DIV/0!</v>
      </c>
      <c r="Q145" s="136">
        <v>0.05</v>
      </c>
      <c r="R145" s="136">
        <v>0.05</v>
      </c>
      <c r="S145" s="20" t="e">
        <f t="shared" si="77"/>
        <v>#DIV/0!</v>
      </c>
      <c r="T145" s="136">
        <v>0.05</v>
      </c>
      <c r="U145" s="136">
        <v>0.05</v>
      </c>
      <c r="V145" s="20" t="e">
        <f t="shared" si="78"/>
        <v>#DIV/0!</v>
      </c>
    </row>
    <row r="146" spans="1:22" hidden="1" x14ac:dyDescent="0.3">
      <c r="A146" s="5">
        <v>49</v>
      </c>
      <c r="B146" s="8" t="s">
        <v>301</v>
      </c>
      <c r="C146" s="11">
        <f>+SUMIFS('2021'!Z:Z,'2021'!D:D,CRUCE!A146,'2021'!AT:AT,CRUCE!B146)</f>
        <v>0</v>
      </c>
      <c r="D146" s="11">
        <f>+SUMIFS('2022'!Y:Y,'2022'!D:D,CRUCE!A146,'2022'!AS:AS,CRUCE!B146)</f>
        <v>0</v>
      </c>
      <c r="E146" s="136" t="e">
        <f t="shared" si="74"/>
        <v>#DIV/0!</v>
      </c>
      <c r="F146" s="11">
        <f>+SUMIFS('2023'!Y:Y,'2023'!D:D,CRUCE!A146,'2023'!AS:AS,CRUCE!B146)</f>
        <v>0</v>
      </c>
      <c r="G146" s="136" t="e">
        <f t="shared" si="75"/>
        <v>#DIV/0!</v>
      </c>
      <c r="H146" s="11">
        <f>+SUMIFS('2024'!J:J,'2024'!D:D,CRUCE!A146,'2024'!AT:AT,CRUCE!B146)</f>
        <v>0</v>
      </c>
      <c r="I146" s="7" t="str">
        <f t="shared" si="82"/>
        <v>49E.S.E. Hospital Universitario San Jorge - Pereira0</v>
      </c>
      <c r="J146" s="7" t="str">
        <f t="shared" si="83"/>
        <v>49E.S.E. Hospital Universitario San Jorge - Pereira0</v>
      </c>
      <c r="K146" s="7" t="str">
        <f t="shared" si="84"/>
        <v>49E.S.E. Hospital Universitario San Jorge - Pereira0</v>
      </c>
      <c r="L146" s="7" t="str">
        <f t="shared" si="85"/>
        <v>49E.S.E. Hospital Universitario San Jorge - Pereira0</v>
      </c>
      <c r="M146" t="s">
        <v>1906</v>
      </c>
      <c r="N146" s="136" t="e">
        <f t="shared" si="86"/>
        <v>#DIV/0!</v>
      </c>
      <c r="O146" s="136"/>
      <c r="P146" s="20" t="e">
        <f t="shared" si="76"/>
        <v>#DIV/0!</v>
      </c>
      <c r="Q146" s="136">
        <v>0.05</v>
      </c>
      <c r="R146" s="136">
        <v>0.05</v>
      </c>
      <c r="S146" s="20" t="e">
        <f t="shared" si="77"/>
        <v>#DIV/0!</v>
      </c>
      <c r="T146" s="136">
        <v>0.05</v>
      </c>
      <c r="U146" s="136">
        <v>0.05</v>
      </c>
      <c r="V146" s="20" t="e">
        <f t="shared" si="78"/>
        <v>#DIV/0!</v>
      </c>
    </row>
    <row r="147" spans="1:22" hidden="1" x14ac:dyDescent="0.3">
      <c r="A147" s="5">
        <v>49</v>
      </c>
      <c r="B147" s="8" t="s">
        <v>1345</v>
      </c>
      <c r="C147" s="11">
        <f>+SUMIFS('2021'!Z:Z,'2021'!D:D,CRUCE!A147,'2021'!AT:AT,CRUCE!B147)</f>
        <v>0</v>
      </c>
      <c r="D147" s="11">
        <f>+SUMIFS('2022'!Y:Y,'2022'!D:D,CRUCE!A147,'2022'!AS:AS,CRUCE!B147)</f>
        <v>0</v>
      </c>
      <c r="E147" s="136" t="e">
        <f t="shared" si="74"/>
        <v>#DIV/0!</v>
      </c>
      <c r="F147" s="11">
        <f>+SUMIFS('2023'!Y:Y,'2023'!D:D,CRUCE!A147,'2023'!AS:AS,CRUCE!B147)</f>
        <v>9320337</v>
      </c>
      <c r="G147" s="136" t="e">
        <f t="shared" si="75"/>
        <v>#DIV/0!</v>
      </c>
      <c r="H147" s="11">
        <f>+SUMIFS('2024'!J:J,'2024'!D:D,CRUCE!A147,'2024'!AT:AT,CRUCE!B147)</f>
        <v>0</v>
      </c>
      <c r="I147" s="7" t="str">
        <f t="shared" si="82"/>
        <v>49E.S.P. Empresas Públicas Municipales de Calarcá - EMCA ESP0</v>
      </c>
      <c r="J147" s="7" t="str">
        <f t="shared" si="83"/>
        <v>49E.S.P. Empresas Públicas Municipales de Calarcá - EMCA ESP0</v>
      </c>
      <c r="K147" s="7" t="str">
        <f t="shared" si="84"/>
        <v>49E.S.P. Empresas Públicas Municipales de Calarcá - EMCA ESP9320337</v>
      </c>
      <c r="L147" s="7" t="str">
        <f t="shared" si="85"/>
        <v>49E.S.P. Empresas Públicas Municipales de Calarcá - EMCA ESP0</v>
      </c>
      <c r="M147" t="s">
        <v>1906</v>
      </c>
      <c r="N147" s="136" t="e">
        <f t="shared" si="86"/>
        <v>#DIV/0!</v>
      </c>
      <c r="O147" s="136"/>
      <c r="P147" s="20" t="e">
        <f t="shared" si="76"/>
        <v>#DIV/0!</v>
      </c>
      <c r="Q147" s="136">
        <v>0.05</v>
      </c>
      <c r="R147" s="136">
        <v>0.05</v>
      </c>
      <c r="S147" s="20" t="e">
        <f t="shared" si="77"/>
        <v>#DIV/0!</v>
      </c>
      <c r="T147" s="136">
        <v>0.05</v>
      </c>
      <c r="U147" s="136">
        <v>0.05</v>
      </c>
      <c r="V147" s="20" t="e">
        <f t="shared" si="78"/>
        <v>#DIV/0!</v>
      </c>
    </row>
    <row r="148" spans="1:22" hidden="1" x14ac:dyDescent="0.3">
      <c r="A148" s="5">
        <v>49</v>
      </c>
      <c r="B148" s="8" t="s">
        <v>305</v>
      </c>
      <c r="C148" s="11">
        <f>+SUMIFS('2021'!Z:Z,'2021'!D:D,CRUCE!A148,'2021'!AT:AT,CRUCE!B148)</f>
        <v>0</v>
      </c>
      <c r="D148" s="11">
        <f>+SUMIFS('2022'!Y:Y,'2022'!D:D,CRUCE!A148,'2022'!AS:AS,CRUCE!B148)</f>
        <v>0</v>
      </c>
      <c r="E148" s="136" t="e">
        <f t="shared" si="74"/>
        <v>#DIV/0!</v>
      </c>
      <c r="F148" s="11">
        <f>+SUMIFS('2023'!Y:Y,'2023'!D:D,CRUCE!A148,'2023'!AS:AS,CRUCE!B148)</f>
        <v>8570291</v>
      </c>
      <c r="G148" s="136" t="e">
        <f t="shared" si="75"/>
        <v>#DIV/0!</v>
      </c>
      <c r="H148" s="11">
        <f>+SUMIFS('2024'!J:J,'2024'!D:D,CRUCE!A148,'2024'!AT:AT,CRUCE!B148)</f>
        <v>0</v>
      </c>
      <c r="I148" s="7" t="str">
        <f t="shared" si="82"/>
        <v>49Empresas Públicas Municipales de Armenia0</v>
      </c>
      <c r="J148" s="7" t="str">
        <f t="shared" si="83"/>
        <v>49Empresas Públicas Municipales de Armenia0</v>
      </c>
      <c r="K148" s="7" t="str">
        <f t="shared" si="84"/>
        <v>49Empresas Públicas Municipales de Armenia8570291</v>
      </c>
      <c r="L148" s="7" t="str">
        <f t="shared" si="85"/>
        <v>49Empresas Públicas Municipales de Armenia0</v>
      </c>
      <c r="M148" t="s">
        <v>1906</v>
      </c>
      <c r="N148" s="136" t="e">
        <f t="shared" si="86"/>
        <v>#DIV/0!</v>
      </c>
      <c r="O148" s="136"/>
      <c r="P148" s="20" t="e">
        <f t="shared" si="76"/>
        <v>#DIV/0!</v>
      </c>
      <c r="Q148" s="136">
        <v>0.05</v>
      </c>
      <c r="R148" s="136">
        <v>0.05</v>
      </c>
      <c r="S148" s="20" t="e">
        <f t="shared" si="77"/>
        <v>#DIV/0!</v>
      </c>
      <c r="T148" s="136">
        <v>0.05</v>
      </c>
      <c r="U148" s="136">
        <v>0.05</v>
      </c>
      <c r="V148" s="20" t="e">
        <f t="shared" si="78"/>
        <v>#DIV/0!</v>
      </c>
    </row>
    <row r="149" spans="1:22" x14ac:dyDescent="0.3">
      <c r="A149" s="5">
        <v>49</v>
      </c>
      <c r="B149" s="8" t="s">
        <v>1637</v>
      </c>
      <c r="C149" s="11">
        <f>+SUMIFS('2021'!Z:Z,'2021'!D:D,CRUCE!A149,'2021'!AT:AT,CRUCE!B149)</f>
        <v>0</v>
      </c>
      <c r="D149" s="11">
        <f>+SUMIFS('2022'!Y:Y,'2022'!D:D,CRUCE!A149,'2022'!AS:AS,CRUCE!B149)</f>
        <v>0</v>
      </c>
      <c r="E149" s="136" t="e">
        <f t="shared" si="74"/>
        <v>#DIV/0!</v>
      </c>
      <c r="F149" s="11">
        <f>+SUMIFS('2023'!Y:Y,'2023'!D:D,CRUCE!A149,'2023'!AS:AS,CRUCE!B149)</f>
        <v>0</v>
      </c>
      <c r="G149" s="136">
        <v>0.05</v>
      </c>
      <c r="H149" s="11">
        <f>+SUMIFS('2024'!J:J,'2024'!D:D,CRUCE!A149,'2024'!AT:AT,CRUCE!B149)</f>
        <v>21244362</v>
      </c>
      <c r="I149" s="7" t="str">
        <f t="shared" si="82"/>
        <v>49Filandia 0</v>
      </c>
      <c r="J149" s="7" t="str">
        <f t="shared" si="83"/>
        <v>49Filandia 0</v>
      </c>
      <c r="K149" s="7" t="str">
        <f t="shared" si="84"/>
        <v>49Filandia 0</v>
      </c>
      <c r="L149" s="7" t="str">
        <f t="shared" si="85"/>
        <v>49Filandia 21244362</v>
      </c>
      <c r="M149" t="s">
        <v>1906</v>
      </c>
      <c r="N149" s="136">
        <v>0.05</v>
      </c>
      <c r="O149" s="136"/>
      <c r="P149" s="20">
        <f t="shared" si="76"/>
        <v>22306580.100000001</v>
      </c>
      <c r="Q149" s="136">
        <f t="shared" ref="Q149:Q151" si="87">+N149</f>
        <v>0.05</v>
      </c>
      <c r="R149" s="136">
        <f t="shared" ref="R149:R151" si="88">+Q149</f>
        <v>0.05</v>
      </c>
      <c r="S149" s="20">
        <f t="shared" si="77"/>
        <v>23421909.105</v>
      </c>
      <c r="T149" s="136">
        <v>0.05</v>
      </c>
      <c r="U149" s="136">
        <f t="shared" ref="U149:U151" si="89">+R149</f>
        <v>0.05</v>
      </c>
      <c r="V149" s="20">
        <f t="shared" si="78"/>
        <v>24593004.560249999</v>
      </c>
    </row>
    <row r="150" spans="1:22" x14ac:dyDescent="0.3">
      <c r="A150" s="5">
        <v>49</v>
      </c>
      <c r="B150" s="8" t="s">
        <v>1639</v>
      </c>
      <c r="C150" s="11">
        <f>+SUMIFS('2021'!Z:Z,'2021'!D:D,CRUCE!A150,'2021'!AT:AT,CRUCE!B150)</f>
        <v>0</v>
      </c>
      <c r="D150" s="11">
        <f>+SUMIFS('2022'!Y:Y,'2022'!D:D,CRUCE!A150,'2022'!AS:AS,CRUCE!B150)</f>
        <v>0</v>
      </c>
      <c r="E150" s="136" t="e">
        <f t="shared" si="74"/>
        <v>#DIV/0!</v>
      </c>
      <c r="F150" s="11">
        <f>+SUMIFS('2023'!Y:Y,'2023'!D:D,CRUCE!A150,'2023'!AS:AS,CRUCE!B150)</f>
        <v>0</v>
      </c>
      <c r="G150" s="136">
        <v>0.05</v>
      </c>
      <c r="H150" s="11">
        <f>+SUMIFS('2024'!J:J,'2024'!D:D,CRUCE!A150,'2024'!AT:AT,CRUCE!B150)</f>
        <v>8076089</v>
      </c>
      <c r="I150" s="7" t="str">
        <f t="shared" si="82"/>
        <v>49Genova 0</v>
      </c>
      <c r="J150" s="7" t="str">
        <f t="shared" si="83"/>
        <v>49Genova 0</v>
      </c>
      <c r="K150" s="7" t="str">
        <f t="shared" si="84"/>
        <v>49Genova 0</v>
      </c>
      <c r="L150" s="7" t="str">
        <f t="shared" si="85"/>
        <v>49Genova 8076089</v>
      </c>
      <c r="M150" t="s">
        <v>1906</v>
      </c>
      <c r="N150" s="136">
        <v>0.05</v>
      </c>
      <c r="O150" s="136"/>
      <c r="P150" s="20">
        <f t="shared" si="76"/>
        <v>8479893.4499999993</v>
      </c>
      <c r="Q150" s="136">
        <f t="shared" si="87"/>
        <v>0.05</v>
      </c>
      <c r="R150" s="136">
        <f t="shared" si="88"/>
        <v>0.05</v>
      </c>
      <c r="S150" s="20">
        <f t="shared" si="77"/>
        <v>8903888.1224999987</v>
      </c>
      <c r="T150" s="136">
        <v>0.19</v>
      </c>
      <c r="U150" s="136">
        <f t="shared" si="89"/>
        <v>0.05</v>
      </c>
      <c r="V150" s="20">
        <f t="shared" si="78"/>
        <v>9349082.5286249984</v>
      </c>
    </row>
    <row r="151" spans="1:22" x14ac:dyDescent="0.3">
      <c r="A151" s="5">
        <v>49</v>
      </c>
      <c r="B151" s="8" t="s">
        <v>1338</v>
      </c>
      <c r="C151" s="11">
        <f>+SUMIFS('2021'!Z:Z,'2021'!D:D,CRUCE!A151,'2021'!AT:AT,CRUCE!B151)</f>
        <v>0</v>
      </c>
      <c r="D151" s="11">
        <f>+SUMIFS('2022'!Y:Y,'2022'!D:D,CRUCE!A151,'2022'!AS:AS,CRUCE!B151)</f>
        <v>0</v>
      </c>
      <c r="E151" s="136" t="e">
        <f t="shared" si="74"/>
        <v>#DIV/0!</v>
      </c>
      <c r="F151" s="11">
        <f>+SUMIFS('2023'!Y:Y,'2023'!D:D,CRUCE!A151,'2023'!AS:AS,CRUCE!B151)</f>
        <v>0</v>
      </c>
      <c r="G151" s="136">
        <v>0.05</v>
      </c>
      <c r="H151" s="11">
        <f>+SUMIFS('2024'!J:J,'2024'!D:D,CRUCE!A151,'2024'!AT:AT,CRUCE!B151)</f>
        <v>38481576</v>
      </c>
      <c r="I151" s="7" t="str">
        <f t="shared" si="82"/>
        <v>49La Tebaida 0</v>
      </c>
      <c r="J151" s="7" t="str">
        <f t="shared" si="83"/>
        <v>49La Tebaida 0</v>
      </c>
      <c r="K151" s="7" t="str">
        <f t="shared" si="84"/>
        <v>49La Tebaida 0</v>
      </c>
      <c r="L151" s="7" t="str">
        <f t="shared" si="85"/>
        <v>49La Tebaida 38481576</v>
      </c>
      <c r="M151" t="s">
        <v>1906</v>
      </c>
      <c r="N151" s="136">
        <v>0.05</v>
      </c>
      <c r="O151" s="136"/>
      <c r="P151" s="20">
        <f t="shared" si="76"/>
        <v>40405654.799999997</v>
      </c>
      <c r="Q151" s="136">
        <f t="shared" si="87"/>
        <v>0.05</v>
      </c>
      <c r="R151" s="136">
        <f t="shared" si="88"/>
        <v>0.05</v>
      </c>
      <c r="S151" s="20">
        <f t="shared" si="77"/>
        <v>42425937.539999999</v>
      </c>
      <c r="T151" s="136">
        <v>0.05</v>
      </c>
      <c r="U151" s="136">
        <f t="shared" si="89"/>
        <v>0.05</v>
      </c>
      <c r="V151" s="20">
        <f t="shared" si="78"/>
        <v>44547234.416999996</v>
      </c>
    </row>
    <row r="152" spans="1:22" hidden="1" x14ac:dyDescent="0.3">
      <c r="A152" s="5">
        <v>49</v>
      </c>
      <c r="B152" s="8" t="s">
        <v>160</v>
      </c>
      <c r="C152" s="11">
        <f>+SUMIFS('2021'!Z:Z,'2021'!D:D,CRUCE!A152,'2021'!AT:AT,CRUCE!B152)</f>
        <v>0</v>
      </c>
      <c r="D152" s="11">
        <f>+SUMIFS('2022'!Y:Y,'2022'!D:D,CRUCE!A152,'2022'!AS:AS,CRUCE!B152)</f>
        <v>0</v>
      </c>
      <c r="E152" s="136" t="e">
        <f t="shared" si="74"/>
        <v>#DIV/0!</v>
      </c>
      <c r="F152" s="11">
        <f>+SUMIFS('2023'!Y:Y,'2023'!D:D,CRUCE!A152,'2023'!AS:AS,CRUCE!B152)</f>
        <v>6222315</v>
      </c>
      <c r="G152" s="136" t="e">
        <f t="shared" si="75"/>
        <v>#DIV/0!</v>
      </c>
      <c r="H152" s="11">
        <f>+SUMIFS('2024'!J:J,'2024'!D:D,CRUCE!A152,'2024'!AT:AT,CRUCE!B152)</f>
        <v>0</v>
      </c>
      <c r="I152" s="7" t="str">
        <f t="shared" si="82"/>
        <v>49Lotería del Quindío E.I.C.E.0</v>
      </c>
      <c r="J152" s="7" t="str">
        <f t="shared" si="83"/>
        <v>49Lotería del Quindío E.I.C.E.0</v>
      </c>
      <c r="K152" s="7" t="str">
        <f t="shared" si="84"/>
        <v>49Lotería del Quindío E.I.C.E.6222315</v>
      </c>
      <c r="L152" s="7" t="str">
        <f t="shared" si="85"/>
        <v>49Lotería del Quindío E.I.C.E.0</v>
      </c>
      <c r="M152" t="s">
        <v>1906</v>
      </c>
      <c r="N152" s="136" t="e">
        <f t="shared" si="86"/>
        <v>#DIV/0!</v>
      </c>
      <c r="O152" s="136"/>
      <c r="P152" s="20" t="e">
        <f t="shared" si="76"/>
        <v>#DIV/0!</v>
      </c>
      <c r="Q152" s="136">
        <v>0.05</v>
      </c>
      <c r="R152" s="136">
        <v>0.05</v>
      </c>
      <c r="S152" s="20" t="e">
        <f t="shared" si="77"/>
        <v>#DIV/0!</v>
      </c>
      <c r="T152" s="136">
        <v>0.05</v>
      </c>
      <c r="U152" s="136">
        <v>0.05</v>
      </c>
      <c r="V152" s="20" t="e">
        <f t="shared" si="78"/>
        <v>#DIV/0!</v>
      </c>
    </row>
    <row r="153" spans="1:22" hidden="1" x14ac:dyDescent="0.3">
      <c r="A153" s="5">
        <v>49</v>
      </c>
      <c r="B153" s="8" t="s">
        <v>307</v>
      </c>
      <c r="C153" s="11">
        <f>+SUMIFS('2021'!Z:Z,'2021'!D:D,CRUCE!A153,'2021'!AT:AT,CRUCE!B153)</f>
        <v>0</v>
      </c>
      <c r="D153" s="11">
        <f>+SUMIFS('2022'!Y:Y,'2022'!D:D,CRUCE!A153,'2022'!AS:AS,CRUCE!B153)</f>
        <v>0</v>
      </c>
      <c r="E153" s="136" t="e">
        <f t="shared" si="74"/>
        <v>#DIV/0!</v>
      </c>
      <c r="F153" s="11">
        <f>+SUMIFS('2023'!Y:Y,'2023'!D:D,CRUCE!A153,'2023'!AS:AS,CRUCE!B153)</f>
        <v>27363616.75</v>
      </c>
      <c r="G153" s="136" t="e">
        <f t="shared" si="75"/>
        <v>#DIV/0!</v>
      </c>
      <c r="H153" s="11">
        <f>+SUMIFS('2024'!J:J,'2024'!D:D,CRUCE!A153,'2024'!AT:AT,CRUCE!B153)</f>
        <v>0</v>
      </c>
      <c r="I153" s="7" t="str">
        <f t="shared" si="82"/>
        <v>49Ministerio de Defensa Nacional0</v>
      </c>
      <c r="J153" s="7" t="str">
        <f t="shared" si="83"/>
        <v>49Ministerio de Defensa Nacional0</v>
      </c>
      <c r="K153" s="7" t="str">
        <f t="shared" si="84"/>
        <v>49Ministerio de Defensa Nacional27363616,75</v>
      </c>
      <c r="L153" s="7" t="str">
        <f t="shared" si="85"/>
        <v>49Ministerio de Defensa Nacional0</v>
      </c>
      <c r="M153" t="s">
        <v>1906</v>
      </c>
      <c r="N153" s="136" t="e">
        <f t="shared" si="86"/>
        <v>#DIV/0!</v>
      </c>
      <c r="O153" s="136"/>
      <c r="P153" s="20" t="e">
        <f t="shared" si="76"/>
        <v>#DIV/0!</v>
      </c>
      <c r="Q153" s="136">
        <v>0.05</v>
      </c>
      <c r="R153" s="136">
        <v>0.05</v>
      </c>
      <c r="S153" s="20" t="e">
        <f t="shared" si="77"/>
        <v>#DIV/0!</v>
      </c>
      <c r="T153" s="136">
        <v>0.05</v>
      </c>
      <c r="U153" s="136">
        <v>0.05</v>
      </c>
      <c r="V153" s="20" t="e">
        <f t="shared" si="78"/>
        <v>#DIV/0!</v>
      </c>
    </row>
    <row r="154" spans="1:22" x14ac:dyDescent="0.3">
      <c r="A154" s="5">
        <v>49</v>
      </c>
      <c r="B154" s="8" t="s">
        <v>335</v>
      </c>
      <c r="C154" s="11">
        <f>+SUMIFS('2021'!Z:Z,'2021'!D:D,CRUCE!A154,'2021'!AT:AT,CRUCE!B154)</f>
        <v>0</v>
      </c>
      <c r="D154" s="11">
        <f>+SUMIFS('2022'!Y:Y,'2022'!D:D,CRUCE!A154,'2022'!AS:AS,CRUCE!B154)</f>
        <v>0</v>
      </c>
      <c r="E154" s="136" t="e">
        <f t="shared" si="74"/>
        <v>#DIV/0!</v>
      </c>
      <c r="F154" s="11">
        <f>+SUMIFS('2023'!Y:Y,'2023'!D:D,CRUCE!A154,'2023'!AS:AS,CRUCE!B154)</f>
        <v>0</v>
      </c>
      <c r="G154" s="136">
        <v>0.05</v>
      </c>
      <c r="H154" s="11">
        <f>+SUMIFS('2024'!J:J,'2024'!D:D,CRUCE!A154,'2024'!AT:AT,CRUCE!B154)</f>
        <v>6729980</v>
      </c>
      <c r="I154" s="7" t="str">
        <f t="shared" si="82"/>
        <v>49Montenegro0</v>
      </c>
      <c r="J154" s="7" t="str">
        <f t="shared" si="83"/>
        <v>49Montenegro0</v>
      </c>
      <c r="K154" s="7" t="str">
        <f t="shared" si="84"/>
        <v>49Montenegro0</v>
      </c>
      <c r="L154" s="7" t="str">
        <f t="shared" si="85"/>
        <v>49Montenegro6729980</v>
      </c>
      <c r="M154" t="s">
        <v>1906</v>
      </c>
      <c r="N154" s="136">
        <v>0.05</v>
      </c>
      <c r="O154" s="136"/>
      <c r="P154" s="20">
        <f t="shared" si="76"/>
        <v>7066479</v>
      </c>
      <c r="Q154" s="136">
        <f t="shared" ref="Q154:Q162" si="90">+N154</f>
        <v>0.05</v>
      </c>
      <c r="R154" s="136">
        <f t="shared" ref="R154:R162" si="91">+Q154</f>
        <v>0.05</v>
      </c>
      <c r="S154" s="20">
        <f t="shared" si="77"/>
        <v>7419802.9500000002</v>
      </c>
      <c r="T154" s="136">
        <v>0.05</v>
      </c>
      <c r="U154" s="136">
        <f t="shared" ref="U154:U162" si="92">+R154</f>
        <v>0.05</v>
      </c>
      <c r="V154" s="20">
        <f t="shared" si="78"/>
        <v>7790793.0975000001</v>
      </c>
    </row>
    <row r="155" spans="1:22" x14ac:dyDescent="0.3">
      <c r="A155" s="5">
        <v>49</v>
      </c>
      <c r="B155" s="8" t="s">
        <v>1657</v>
      </c>
      <c r="C155" s="11">
        <f>+SUMIFS('2021'!Z:Z,'2021'!D:D,CRUCE!A155,'2021'!AT:AT,CRUCE!B155)</f>
        <v>0</v>
      </c>
      <c r="D155" s="11">
        <f>+SUMIFS('2022'!Y:Y,'2022'!D:D,CRUCE!A155,'2022'!AS:AS,CRUCE!B155)</f>
        <v>0</v>
      </c>
      <c r="E155" s="136" t="e">
        <f t="shared" si="74"/>
        <v>#DIV/0!</v>
      </c>
      <c r="F155" s="11">
        <f>+SUMIFS('2023'!Y:Y,'2023'!D:D,CRUCE!A155,'2023'!AS:AS,CRUCE!B155)</f>
        <v>0</v>
      </c>
      <c r="G155" s="136">
        <v>0.05</v>
      </c>
      <c r="H155" s="11">
        <f>+SUMIFS('2024'!J:J,'2024'!D:D,CRUCE!A155,'2024'!AT:AT,CRUCE!B155)</f>
        <v>11942474</v>
      </c>
      <c r="I155" s="7" t="str">
        <f t="shared" si="82"/>
        <v>49Municipio de Risaralda Caldas 0</v>
      </c>
      <c r="J155" s="7" t="str">
        <f t="shared" si="83"/>
        <v>49Municipio de Risaralda Caldas 0</v>
      </c>
      <c r="K155" s="7" t="str">
        <f t="shared" si="84"/>
        <v>49Municipio de Risaralda Caldas 0</v>
      </c>
      <c r="L155" s="7" t="str">
        <f t="shared" si="85"/>
        <v>49Municipio de Risaralda Caldas 11942474</v>
      </c>
      <c r="M155" t="s">
        <v>1906</v>
      </c>
      <c r="N155" s="136">
        <v>0.05</v>
      </c>
      <c r="O155" s="136"/>
      <c r="P155" s="20">
        <f t="shared" si="76"/>
        <v>12539597.699999999</v>
      </c>
      <c r="Q155" s="136">
        <f t="shared" si="90"/>
        <v>0.05</v>
      </c>
      <c r="R155" s="136">
        <f t="shared" si="91"/>
        <v>0.05</v>
      </c>
      <c r="S155" s="20">
        <f t="shared" si="77"/>
        <v>13166577.584999999</v>
      </c>
      <c r="T155" s="136">
        <v>0.05</v>
      </c>
      <c r="U155" s="136">
        <f t="shared" si="92"/>
        <v>0.05</v>
      </c>
      <c r="V155" s="20">
        <f t="shared" si="78"/>
        <v>13824906.464249998</v>
      </c>
    </row>
    <row r="156" spans="1:22" x14ac:dyDescent="0.3">
      <c r="A156" s="5">
        <v>49</v>
      </c>
      <c r="B156" s="8" t="s">
        <v>1643</v>
      </c>
      <c r="C156" s="11">
        <f>+SUMIFS('2021'!Z:Z,'2021'!D:D,CRUCE!A156,'2021'!AT:AT,CRUCE!B156)</f>
        <v>0</v>
      </c>
      <c r="D156" s="11">
        <f>+SUMIFS('2022'!Y:Y,'2022'!D:D,CRUCE!A156,'2022'!AS:AS,CRUCE!B156)</f>
        <v>0</v>
      </c>
      <c r="E156" s="136" t="e">
        <f t="shared" si="74"/>
        <v>#DIV/0!</v>
      </c>
      <c r="F156" s="11">
        <f>+SUMIFS('2023'!Y:Y,'2023'!D:D,CRUCE!A156,'2023'!AS:AS,CRUCE!B156)</f>
        <v>0</v>
      </c>
      <c r="G156" s="136">
        <v>0.05</v>
      </c>
      <c r="H156" s="11">
        <f>+SUMIFS('2024'!J:J,'2024'!D:D,CRUCE!A156,'2024'!AT:AT,CRUCE!B156)</f>
        <v>1101554</v>
      </c>
      <c r="I156" s="7" t="str">
        <f t="shared" si="82"/>
        <v>49Obando 0</v>
      </c>
      <c r="J156" s="7" t="str">
        <f t="shared" si="83"/>
        <v>49Obando 0</v>
      </c>
      <c r="K156" s="7" t="str">
        <f t="shared" si="84"/>
        <v>49Obando 0</v>
      </c>
      <c r="L156" s="7" t="str">
        <f t="shared" si="85"/>
        <v>49Obando 1101554</v>
      </c>
      <c r="M156" t="s">
        <v>1906</v>
      </c>
      <c r="N156" s="136">
        <v>0.05</v>
      </c>
      <c r="O156" s="136"/>
      <c r="P156" s="20">
        <f t="shared" si="76"/>
        <v>1156631.7</v>
      </c>
      <c r="Q156" s="136">
        <f t="shared" si="90"/>
        <v>0.05</v>
      </c>
      <c r="R156" s="136">
        <f t="shared" si="91"/>
        <v>0.05</v>
      </c>
      <c r="S156" s="20">
        <f t="shared" si="77"/>
        <v>1214463.2849999999</v>
      </c>
      <c r="T156" s="136">
        <v>0.05</v>
      </c>
      <c r="U156" s="136">
        <f t="shared" si="92"/>
        <v>0.05</v>
      </c>
      <c r="V156" s="20">
        <f t="shared" si="78"/>
        <v>1275186.4492499998</v>
      </c>
    </row>
    <row r="157" spans="1:22" x14ac:dyDescent="0.3">
      <c r="A157" s="5">
        <v>49</v>
      </c>
      <c r="B157" s="8" t="s">
        <v>1645</v>
      </c>
      <c r="C157" s="11">
        <f>+SUMIFS('2021'!Z:Z,'2021'!D:D,CRUCE!A157,'2021'!AT:AT,CRUCE!B157)</f>
        <v>0</v>
      </c>
      <c r="D157" s="11">
        <f>+SUMIFS('2022'!Y:Y,'2022'!D:D,CRUCE!A157,'2022'!AS:AS,CRUCE!B157)</f>
        <v>0</v>
      </c>
      <c r="E157" s="136" t="e">
        <f t="shared" si="74"/>
        <v>#DIV/0!</v>
      </c>
      <c r="F157" s="11">
        <f>+SUMIFS('2023'!Y:Y,'2023'!D:D,CRUCE!A157,'2023'!AS:AS,CRUCE!B157)</f>
        <v>0</v>
      </c>
      <c r="G157" s="136">
        <v>0.05</v>
      </c>
      <c r="H157" s="11">
        <f>+SUMIFS('2024'!J:J,'2024'!D:D,CRUCE!A157,'2024'!AT:AT,CRUCE!B157)</f>
        <v>3440872</v>
      </c>
      <c r="I157" s="7" t="str">
        <f t="shared" si="82"/>
        <v>49Pereira 0</v>
      </c>
      <c r="J157" s="7" t="str">
        <f t="shared" si="83"/>
        <v>49Pereira 0</v>
      </c>
      <c r="K157" s="7" t="str">
        <f t="shared" si="84"/>
        <v>49Pereira 0</v>
      </c>
      <c r="L157" s="7" t="str">
        <f t="shared" si="85"/>
        <v>49Pereira 3440872</v>
      </c>
      <c r="M157" t="s">
        <v>1906</v>
      </c>
      <c r="N157" s="136">
        <v>0.05</v>
      </c>
      <c r="O157" s="136"/>
      <c r="P157" s="20">
        <f t="shared" si="76"/>
        <v>3612915.6</v>
      </c>
      <c r="Q157" s="136">
        <f t="shared" si="90"/>
        <v>0.05</v>
      </c>
      <c r="R157" s="136">
        <f t="shared" si="91"/>
        <v>0.05</v>
      </c>
      <c r="S157" s="20">
        <f t="shared" si="77"/>
        <v>3793561.38</v>
      </c>
      <c r="T157" s="136">
        <v>0.05</v>
      </c>
      <c r="U157" s="136">
        <f t="shared" si="92"/>
        <v>0.05</v>
      </c>
      <c r="V157" s="20">
        <f t="shared" si="78"/>
        <v>3983239.449</v>
      </c>
    </row>
    <row r="158" spans="1:22" x14ac:dyDescent="0.3">
      <c r="A158" s="5">
        <v>49</v>
      </c>
      <c r="B158" s="8" t="s">
        <v>1647</v>
      </c>
      <c r="C158" s="11">
        <f>+SUMIFS('2021'!Z:Z,'2021'!D:D,CRUCE!A158,'2021'!AT:AT,CRUCE!B158)</f>
        <v>0</v>
      </c>
      <c r="D158" s="11">
        <f>+SUMIFS('2022'!Y:Y,'2022'!D:D,CRUCE!A158,'2022'!AS:AS,CRUCE!B158)</f>
        <v>0</v>
      </c>
      <c r="E158" s="136" t="e">
        <f t="shared" si="74"/>
        <v>#DIV/0!</v>
      </c>
      <c r="F158" s="11">
        <f>+SUMIFS('2023'!Y:Y,'2023'!D:D,CRUCE!A158,'2023'!AS:AS,CRUCE!B158)</f>
        <v>0</v>
      </c>
      <c r="G158" s="136">
        <v>0.05</v>
      </c>
      <c r="H158" s="11">
        <f>+SUMIFS('2024'!J:J,'2024'!D:D,CRUCE!A158,'2024'!AT:AT,CRUCE!B158)</f>
        <v>4965553</v>
      </c>
      <c r="I158" s="7" t="str">
        <f t="shared" si="82"/>
        <v>49Puerto Salgar 0</v>
      </c>
      <c r="J158" s="7" t="str">
        <f t="shared" si="83"/>
        <v>49Puerto Salgar 0</v>
      </c>
      <c r="K158" s="7" t="str">
        <f t="shared" si="84"/>
        <v>49Puerto Salgar 0</v>
      </c>
      <c r="L158" s="7" t="str">
        <f t="shared" si="85"/>
        <v>49Puerto Salgar 4965553</v>
      </c>
      <c r="M158" t="s">
        <v>1906</v>
      </c>
      <c r="N158" s="136">
        <v>0.05</v>
      </c>
      <c r="O158" s="136"/>
      <c r="P158" s="20">
        <f t="shared" si="76"/>
        <v>5213830.6500000004</v>
      </c>
      <c r="Q158" s="136">
        <f t="shared" si="90"/>
        <v>0.05</v>
      </c>
      <c r="R158" s="136">
        <f t="shared" si="91"/>
        <v>0.05</v>
      </c>
      <c r="S158" s="20">
        <f t="shared" si="77"/>
        <v>5474522.1825000001</v>
      </c>
      <c r="T158" s="136">
        <v>0.05</v>
      </c>
      <c r="U158" s="136">
        <f t="shared" si="92"/>
        <v>0.05</v>
      </c>
      <c r="V158" s="20">
        <f t="shared" si="78"/>
        <v>5748248.2916250005</v>
      </c>
    </row>
    <row r="159" spans="1:22" x14ac:dyDescent="0.3">
      <c r="A159" s="5">
        <v>49</v>
      </c>
      <c r="B159" s="8" t="s">
        <v>1649</v>
      </c>
      <c r="C159" s="11">
        <f>+SUMIFS('2021'!Z:Z,'2021'!D:D,CRUCE!A159,'2021'!AT:AT,CRUCE!B159)</f>
        <v>0</v>
      </c>
      <c r="D159" s="11">
        <f>+SUMIFS('2022'!Y:Y,'2022'!D:D,CRUCE!A159,'2022'!AS:AS,CRUCE!B159)</f>
        <v>0</v>
      </c>
      <c r="E159" s="136" t="e">
        <f t="shared" si="74"/>
        <v>#DIV/0!</v>
      </c>
      <c r="F159" s="11">
        <f>+SUMIFS('2023'!Y:Y,'2023'!D:D,CRUCE!A159,'2023'!AS:AS,CRUCE!B159)</f>
        <v>0</v>
      </c>
      <c r="G159" s="136">
        <v>0.05</v>
      </c>
      <c r="H159" s="11">
        <f>+SUMIFS('2024'!J:J,'2024'!D:D,CRUCE!A159,'2024'!AT:AT,CRUCE!B159)</f>
        <v>54264828</v>
      </c>
      <c r="I159" s="7" t="str">
        <f t="shared" si="82"/>
        <v>49Quimbaya 0</v>
      </c>
      <c r="J159" s="7" t="str">
        <f t="shared" si="83"/>
        <v>49Quimbaya 0</v>
      </c>
      <c r="K159" s="7" t="str">
        <f t="shared" si="84"/>
        <v>49Quimbaya 0</v>
      </c>
      <c r="L159" s="7" t="str">
        <f t="shared" si="85"/>
        <v>49Quimbaya 54264828</v>
      </c>
      <c r="M159" t="s">
        <v>1906</v>
      </c>
      <c r="N159" s="136">
        <v>0.05</v>
      </c>
      <c r="O159" s="136"/>
      <c r="P159" s="20">
        <f t="shared" si="76"/>
        <v>56978069.399999999</v>
      </c>
      <c r="Q159" s="136">
        <f t="shared" si="90"/>
        <v>0.05</v>
      </c>
      <c r="R159" s="136">
        <f t="shared" si="91"/>
        <v>0.05</v>
      </c>
      <c r="S159" s="20">
        <f t="shared" si="77"/>
        <v>59826972.869999997</v>
      </c>
      <c r="T159" s="136">
        <v>0.05</v>
      </c>
      <c r="U159" s="136">
        <f t="shared" si="92"/>
        <v>0.05</v>
      </c>
      <c r="V159" s="20">
        <f t="shared" si="78"/>
        <v>62818321.513499998</v>
      </c>
    </row>
    <row r="160" spans="1:22" x14ac:dyDescent="0.3">
      <c r="A160" s="5">
        <v>49</v>
      </c>
      <c r="B160" s="8" t="s">
        <v>1651</v>
      </c>
      <c r="C160" s="11">
        <f>+SUMIFS('2021'!Z:Z,'2021'!D:D,CRUCE!A160,'2021'!AT:AT,CRUCE!B160)</f>
        <v>0</v>
      </c>
      <c r="D160" s="11">
        <f>+SUMIFS('2022'!Y:Y,'2022'!D:D,CRUCE!A160,'2022'!AS:AS,CRUCE!B160)</f>
        <v>0</v>
      </c>
      <c r="E160" s="136" t="e">
        <f t="shared" si="74"/>
        <v>#DIV/0!</v>
      </c>
      <c r="F160" s="11">
        <f>+SUMIFS('2023'!Y:Y,'2023'!D:D,CRUCE!A160,'2023'!AS:AS,CRUCE!B160)</f>
        <v>0</v>
      </c>
      <c r="G160" s="136">
        <v>0.05</v>
      </c>
      <c r="H160" s="11">
        <f>+SUMIFS('2024'!J:J,'2024'!D:D,CRUCE!A160,'2024'!AT:AT,CRUCE!B160)</f>
        <v>3664446</v>
      </c>
      <c r="I160" s="7" t="str">
        <f t="shared" si="82"/>
        <v>49Risaralda 0</v>
      </c>
      <c r="J160" s="7" t="str">
        <f t="shared" si="83"/>
        <v>49Risaralda 0</v>
      </c>
      <c r="K160" s="7" t="str">
        <f t="shared" si="84"/>
        <v>49Risaralda 0</v>
      </c>
      <c r="L160" s="7" t="str">
        <f t="shared" si="85"/>
        <v>49Risaralda 3664446</v>
      </c>
      <c r="M160" t="s">
        <v>1906</v>
      </c>
      <c r="N160" s="136">
        <v>0.05</v>
      </c>
      <c r="O160" s="136"/>
      <c r="P160" s="20">
        <f t="shared" si="76"/>
        <v>3847668.3</v>
      </c>
      <c r="Q160" s="136">
        <f t="shared" si="90"/>
        <v>0.05</v>
      </c>
      <c r="R160" s="136">
        <f t="shared" si="91"/>
        <v>0.05</v>
      </c>
      <c r="S160" s="20">
        <f t="shared" si="77"/>
        <v>4040051.7149999999</v>
      </c>
      <c r="T160" s="136">
        <v>0.05</v>
      </c>
      <c r="U160" s="136">
        <f t="shared" si="92"/>
        <v>0.05</v>
      </c>
      <c r="V160" s="20">
        <f t="shared" si="78"/>
        <v>4242054.3007499995</v>
      </c>
    </row>
    <row r="161" spans="1:22" x14ac:dyDescent="0.3">
      <c r="A161" s="5">
        <v>49</v>
      </c>
      <c r="B161" s="8" t="s">
        <v>1653</v>
      </c>
      <c r="C161" s="11">
        <f>+SUMIFS('2021'!Z:Z,'2021'!D:D,CRUCE!A161,'2021'!AT:AT,CRUCE!B161)</f>
        <v>0</v>
      </c>
      <c r="D161" s="11">
        <f>+SUMIFS('2022'!Y:Y,'2022'!D:D,CRUCE!A161,'2022'!AS:AS,CRUCE!B161)</f>
        <v>0</v>
      </c>
      <c r="E161" s="136" t="e">
        <f t="shared" si="74"/>
        <v>#DIV/0!</v>
      </c>
      <c r="F161" s="11">
        <f>+SUMIFS('2023'!Y:Y,'2023'!D:D,CRUCE!A161,'2023'!AS:AS,CRUCE!B161)</f>
        <v>0</v>
      </c>
      <c r="G161" s="136">
        <v>0.05</v>
      </c>
      <c r="H161" s="11">
        <f>+SUMIFS('2024'!J:J,'2024'!D:D,CRUCE!A161,'2024'!AT:AT,CRUCE!B161)</f>
        <v>1272076</v>
      </c>
      <c r="I161" s="7" t="str">
        <f t="shared" si="82"/>
        <v>49Salento 0</v>
      </c>
      <c r="J161" s="7" t="str">
        <f t="shared" si="83"/>
        <v>49Salento 0</v>
      </c>
      <c r="K161" s="7" t="str">
        <f t="shared" si="84"/>
        <v>49Salento 0</v>
      </c>
      <c r="L161" s="7" t="str">
        <f t="shared" si="85"/>
        <v>49Salento 1272076</v>
      </c>
      <c r="M161" t="s">
        <v>1906</v>
      </c>
      <c r="N161" s="136">
        <v>0.05</v>
      </c>
      <c r="O161" s="136"/>
      <c r="P161" s="20">
        <f t="shared" si="76"/>
        <v>1335679.8</v>
      </c>
      <c r="Q161" s="136">
        <f t="shared" si="90"/>
        <v>0.05</v>
      </c>
      <c r="R161" s="136">
        <f t="shared" si="91"/>
        <v>0.05</v>
      </c>
      <c r="S161" s="20">
        <f t="shared" si="77"/>
        <v>1402463.79</v>
      </c>
      <c r="T161" s="136">
        <v>0.05</v>
      </c>
      <c r="U161" s="136">
        <f t="shared" si="92"/>
        <v>0.05</v>
      </c>
      <c r="V161" s="20">
        <f t="shared" si="78"/>
        <v>1472586.9795000001</v>
      </c>
    </row>
    <row r="162" spans="1:22" x14ac:dyDescent="0.3">
      <c r="A162" s="5">
        <v>49</v>
      </c>
      <c r="B162" s="8" t="s">
        <v>343</v>
      </c>
      <c r="C162" s="11">
        <f>+SUMIFS('2021'!Z:Z,'2021'!D:D,CRUCE!A162,'2021'!AT:AT,CRUCE!B162)</f>
        <v>0</v>
      </c>
      <c r="D162" s="11">
        <f>+SUMIFS('2022'!Y:Y,'2022'!D:D,CRUCE!A162,'2022'!AS:AS,CRUCE!B162)</f>
        <v>0</v>
      </c>
      <c r="E162" s="136" t="e">
        <f t="shared" si="74"/>
        <v>#DIV/0!</v>
      </c>
      <c r="F162" s="11">
        <f>+SUMIFS('2023'!Y:Y,'2023'!D:D,CRUCE!A162,'2023'!AS:AS,CRUCE!B162)</f>
        <v>9341265</v>
      </c>
      <c r="G162" s="136">
        <v>0.05</v>
      </c>
      <c r="H162" s="11">
        <f>+SUMIFS('2024'!J:J,'2024'!D:D,CRUCE!A162,'2024'!AT:AT,CRUCE!B162)</f>
        <v>14770246</v>
      </c>
      <c r="I162" s="7" t="str">
        <f t="shared" si="82"/>
        <v>49Sevilla0</v>
      </c>
      <c r="J162" s="7" t="str">
        <f t="shared" si="83"/>
        <v>49Sevilla0</v>
      </c>
      <c r="K162" s="7" t="str">
        <f t="shared" si="84"/>
        <v>49Sevilla9341265</v>
      </c>
      <c r="L162" s="7" t="str">
        <f t="shared" si="85"/>
        <v>49Sevilla14770246</v>
      </c>
      <c r="M162" t="s">
        <v>1906</v>
      </c>
      <c r="N162" s="136">
        <v>0.05</v>
      </c>
      <c r="O162" s="136"/>
      <c r="P162" s="20">
        <f t="shared" si="76"/>
        <v>15508758.300000001</v>
      </c>
      <c r="Q162" s="136">
        <f t="shared" si="90"/>
        <v>0.05</v>
      </c>
      <c r="R162" s="136">
        <f t="shared" si="91"/>
        <v>0.05</v>
      </c>
      <c r="S162" s="20">
        <f t="shared" si="77"/>
        <v>16284196.215</v>
      </c>
      <c r="T162" s="136">
        <v>0.05</v>
      </c>
      <c r="U162" s="136">
        <f t="shared" si="92"/>
        <v>0.05</v>
      </c>
      <c r="V162" s="20">
        <f t="shared" si="78"/>
        <v>17098406.02575</v>
      </c>
    </row>
    <row r="163" spans="1:22" hidden="1" x14ac:dyDescent="0.3">
      <c r="A163" s="5">
        <v>49</v>
      </c>
      <c r="B163" s="8" t="s">
        <v>311</v>
      </c>
      <c r="C163" s="11">
        <f>+SUMIFS('2021'!Z:Z,'2021'!D:D,CRUCE!A163,'2021'!AT:AT,CRUCE!B163)</f>
        <v>0</v>
      </c>
      <c r="D163" s="11">
        <f>+SUMIFS('2022'!Y:Y,'2022'!D:D,CRUCE!A163,'2022'!AS:AS,CRUCE!B163)</f>
        <v>0</v>
      </c>
      <c r="E163" s="136" t="e">
        <f t="shared" si="74"/>
        <v>#DIV/0!</v>
      </c>
      <c r="F163" s="11">
        <f>+SUMIFS('2023'!Y:Y,'2023'!D:D,CRUCE!A163,'2023'!AS:AS,CRUCE!B163)</f>
        <v>12599523.24</v>
      </c>
      <c r="G163" s="136" t="e">
        <f t="shared" si="75"/>
        <v>#DIV/0!</v>
      </c>
      <c r="H163" s="11">
        <f>+SUMIFS('2024'!J:J,'2024'!D:D,CRUCE!A163,'2024'!AT:AT,CRUCE!B163)</f>
        <v>0</v>
      </c>
      <c r="I163" s="7" t="str">
        <f t="shared" si="82"/>
        <v>49Superintendencia Financiera de Colombia0</v>
      </c>
      <c r="J163" s="7" t="str">
        <f t="shared" si="83"/>
        <v>49Superintendencia Financiera de Colombia0</v>
      </c>
      <c r="K163" s="7" t="str">
        <f t="shared" si="84"/>
        <v>49Superintendencia Financiera de Colombia12599523,24</v>
      </c>
      <c r="L163" s="7" t="str">
        <f t="shared" si="85"/>
        <v>49Superintendencia Financiera de Colombia0</v>
      </c>
      <c r="M163" t="s">
        <v>1906</v>
      </c>
      <c r="N163" s="136" t="e">
        <f t="shared" si="86"/>
        <v>#DIV/0!</v>
      </c>
      <c r="O163" s="136"/>
      <c r="P163" s="20" t="e">
        <f t="shared" si="76"/>
        <v>#DIV/0!</v>
      </c>
      <c r="Q163" s="136">
        <v>0.05</v>
      </c>
      <c r="R163" s="136">
        <v>0.05</v>
      </c>
      <c r="S163" s="20" t="e">
        <f t="shared" si="77"/>
        <v>#DIV/0!</v>
      </c>
      <c r="T163" s="136">
        <v>0.05</v>
      </c>
      <c r="U163" s="136">
        <v>0.05</v>
      </c>
      <c r="V163" s="20" t="e">
        <f t="shared" si="78"/>
        <v>#DIV/0!</v>
      </c>
    </row>
    <row r="164" spans="1:22" x14ac:dyDescent="0.3">
      <c r="A164" s="5">
        <v>49</v>
      </c>
      <c r="B164" s="8" t="s">
        <v>321</v>
      </c>
      <c r="C164" s="11">
        <f>+SUMIFS('2021'!Z:Z,'2021'!D:D,CRUCE!A164,'2021'!AT:AT,CRUCE!B164)</f>
        <v>0</v>
      </c>
      <c r="D164" s="11">
        <f>+SUMIFS('2022'!Y:Y,'2022'!D:D,CRUCE!A164,'2022'!AS:AS,CRUCE!B164)</f>
        <v>0</v>
      </c>
      <c r="E164" s="136" t="e">
        <f t="shared" si="74"/>
        <v>#DIV/0!</v>
      </c>
      <c r="F164" s="11">
        <f>+SUMIFS('2023'!Y:Y,'2023'!D:D,CRUCE!A164,'2023'!AS:AS,CRUCE!B164)</f>
        <v>1125641</v>
      </c>
      <c r="G164" s="136">
        <v>0.05</v>
      </c>
      <c r="H164" s="11">
        <f>+SUMIFS('2024'!J:J,'2024'!D:D,CRUCE!A164,'2024'!AT:AT,CRUCE!B164)</f>
        <v>1711740</v>
      </c>
      <c r="I164" s="7" t="str">
        <f t="shared" si="82"/>
        <v>49Supía0</v>
      </c>
      <c r="J164" s="7" t="str">
        <f t="shared" si="83"/>
        <v>49Supía0</v>
      </c>
      <c r="K164" s="7" t="str">
        <f t="shared" si="84"/>
        <v>49Supía1125641</v>
      </c>
      <c r="L164" s="7" t="str">
        <f t="shared" si="85"/>
        <v>49Supía1711740</v>
      </c>
      <c r="M164" t="s">
        <v>1906</v>
      </c>
      <c r="N164" s="136">
        <v>0.05</v>
      </c>
      <c r="O164" s="136"/>
      <c r="P164" s="20">
        <f t="shared" si="76"/>
        <v>1797327</v>
      </c>
      <c r="Q164" s="136">
        <f>+N164</f>
        <v>0.05</v>
      </c>
      <c r="R164" s="136">
        <f>+Q164</f>
        <v>0.05</v>
      </c>
      <c r="S164" s="20">
        <f t="shared" si="77"/>
        <v>1887193.35</v>
      </c>
      <c r="T164" s="136">
        <v>0.05</v>
      </c>
      <c r="U164" s="136">
        <f>+R164</f>
        <v>0.05</v>
      </c>
      <c r="V164" s="20">
        <f t="shared" si="78"/>
        <v>1981553.0175000001</v>
      </c>
    </row>
    <row r="165" spans="1:22" hidden="1" x14ac:dyDescent="0.3">
      <c r="A165" s="5">
        <v>49</v>
      </c>
      <c r="B165" s="8" t="s">
        <v>174</v>
      </c>
      <c r="C165" s="11">
        <f>+SUMIFS('2021'!Z:Z,'2021'!D:D,CRUCE!A165,'2021'!AT:AT,CRUCE!B165)</f>
        <v>0</v>
      </c>
      <c r="D165" s="11">
        <f>+SUMIFS('2022'!Y:Y,'2022'!D:D,CRUCE!A165,'2022'!AS:AS,CRUCE!B165)</f>
        <v>0</v>
      </c>
      <c r="E165" s="136" t="e">
        <f t="shared" si="74"/>
        <v>#DIV/0!</v>
      </c>
      <c r="F165" s="11">
        <f>+SUMIFS('2023'!Y:Y,'2023'!D:D,CRUCE!A165,'2023'!AS:AS,CRUCE!B165)</f>
        <v>0</v>
      </c>
      <c r="G165" s="136" t="e">
        <f t="shared" si="75"/>
        <v>#DIV/0!</v>
      </c>
      <c r="H165" s="11">
        <f>+SUMIFS('2024'!J:J,'2024'!D:D,CRUCE!A165,'2024'!AT:AT,CRUCE!B165)</f>
        <v>0</v>
      </c>
      <c r="I165" s="7" t="str">
        <f t="shared" si="82"/>
        <v>49Universidad del Quindío0</v>
      </c>
      <c r="J165" s="7" t="str">
        <f t="shared" si="83"/>
        <v>49Universidad del Quindío0</v>
      </c>
      <c r="K165" s="7" t="str">
        <f t="shared" si="84"/>
        <v>49Universidad del Quindío0</v>
      </c>
      <c r="L165" s="7" t="str">
        <f t="shared" si="85"/>
        <v>49Universidad del Quindío0</v>
      </c>
      <c r="M165" t="s">
        <v>1906</v>
      </c>
      <c r="N165" s="136" t="e">
        <f t="shared" si="86"/>
        <v>#DIV/0!</v>
      </c>
      <c r="O165" s="136"/>
      <c r="P165" s="20" t="e">
        <f t="shared" si="76"/>
        <v>#DIV/0!</v>
      </c>
      <c r="Q165" s="136">
        <v>0.05</v>
      </c>
      <c r="R165" s="136">
        <v>0.05</v>
      </c>
      <c r="S165" s="20" t="e">
        <f t="shared" si="77"/>
        <v>#DIV/0!</v>
      </c>
      <c r="T165" s="136">
        <v>0.05</v>
      </c>
      <c r="U165" s="136">
        <v>0.05</v>
      </c>
      <c r="V165" s="20" t="e">
        <f t="shared" si="78"/>
        <v>#DIV/0!</v>
      </c>
    </row>
    <row r="166" spans="1:22" hidden="1" x14ac:dyDescent="0.3">
      <c r="A166" s="5">
        <v>49</v>
      </c>
      <c r="B166" s="8" t="s">
        <v>319</v>
      </c>
      <c r="C166" s="11">
        <f>+SUMIFS('2021'!Z:Z,'2021'!D:D,CRUCE!A166,'2021'!AT:AT,CRUCE!B166)</f>
        <v>0</v>
      </c>
      <c r="D166" s="11">
        <f>+SUMIFS('2022'!Y:Y,'2022'!D:D,CRUCE!A166,'2022'!AS:AS,CRUCE!B166)</f>
        <v>0</v>
      </c>
      <c r="E166" s="136" t="e">
        <f t="shared" si="74"/>
        <v>#DIV/0!</v>
      </c>
      <c r="F166" s="11">
        <f>+SUMIFS('2023'!Y:Y,'2023'!D:D,CRUCE!A166,'2023'!AS:AS,CRUCE!B166)</f>
        <v>36130080</v>
      </c>
      <c r="G166" s="136" t="e">
        <f t="shared" si="75"/>
        <v>#DIV/0!</v>
      </c>
      <c r="H166" s="11">
        <f>+SUMIFS('2024'!J:J,'2024'!D:D,CRUCE!A166,'2024'!AT:AT,CRUCE!B166)</f>
        <v>0</v>
      </c>
      <c r="I166" s="7" t="str">
        <f t="shared" si="82"/>
        <v>49Universidad del Valle0</v>
      </c>
      <c r="J166" s="7" t="str">
        <f t="shared" si="83"/>
        <v>49Universidad del Valle0</v>
      </c>
      <c r="K166" s="7" t="str">
        <f t="shared" si="84"/>
        <v>49Universidad del Valle36130080</v>
      </c>
      <c r="L166" s="7" t="str">
        <f t="shared" si="85"/>
        <v>49Universidad del Valle0</v>
      </c>
      <c r="M166" t="s">
        <v>1906</v>
      </c>
      <c r="N166" s="136" t="e">
        <f t="shared" si="86"/>
        <v>#DIV/0!</v>
      </c>
      <c r="O166" s="136"/>
      <c r="P166" s="20" t="e">
        <f t="shared" si="76"/>
        <v>#DIV/0!</v>
      </c>
      <c r="Q166" s="136">
        <v>0.05</v>
      </c>
      <c r="R166" s="136">
        <v>0.05</v>
      </c>
      <c r="S166" s="20" t="e">
        <f t="shared" si="77"/>
        <v>#DIV/0!</v>
      </c>
      <c r="T166" s="136">
        <v>0.05</v>
      </c>
      <c r="U166" s="136">
        <v>0.05</v>
      </c>
      <c r="V166" s="20" t="e">
        <f t="shared" si="78"/>
        <v>#DIV/0!</v>
      </c>
    </row>
    <row r="167" spans="1:22" x14ac:dyDescent="0.3">
      <c r="A167" s="5">
        <v>50</v>
      </c>
      <c r="B167" s="8" t="s">
        <v>1333</v>
      </c>
      <c r="C167" s="11">
        <f>+SUMIFS('2021'!Z:Z,'2021'!D:D,CRUCE!A167,'2021'!AT:AT,CRUCE!B167)</f>
        <v>0</v>
      </c>
      <c r="D167" s="11">
        <f>+SUMIFS('2022'!Y:Y,'2022'!D:D,CRUCE!A167,'2022'!AS:AS,CRUCE!B167)</f>
        <v>0</v>
      </c>
      <c r="E167" s="136" t="e">
        <f t="shared" si="74"/>
        <v>#DIV/0!</v>
      </c>
      <c r="F167" s="11">
        <f>+SUMIFS('2023'!Y:Y,'2023'!D:D,CRUCE!A167,'2023'!AS:AS,CRUCE!B167)</f>
        <v>24902552</v>
      </c>
      <c r="G167" s="136">
        <v>0.05</v>
      </c>
      <c r="H167" s="11">
        <f>+SUMIFS('2024'!J:J,'2024'!D:D,CRUCE!A167,'2024'!AT:AT,CRUCE!B167)</f>
        <v>200000000</v>
      </c>
      <c r="I167" s="7" t="str">
        <f t="shared" si="82"/>
        <v>50Recuperación cuotas partes pensionales0</v>
      </c>
      <c r="J167" s="7" t="str">
        <f t="shared" si="83"/>
        <v>50Recuperación cuotas partes pensionales0</v>
      </c>
      <c r="K167" s="7" t="str">
        <f t="shared" si="84"/>
        <v>50Recuperación cuotas partes pensionales24902552</v>
      </c>
      <c r="L167" s="7" t="str">
        <f t="shared" si="85"/>
        <v>50Recuperación cuotas partes pensionales200000000</v>
      </c>
      <c r="M167" t="s">
        <v>1906</v>
      </c>
      <c r="N167" s="136">
        <v>0.05</v>
      </c>
      <c r="O167" s="136"/>
      <c r="P167" s="20">
        <f t="shared" si="76"/>
        <v>210000000</v>
      </c>
      <c r="Q167" s="136">
        <f t="shared" ref="Q167:Q169" si="93">+N167</f>
        <v>0.05</v>
      </c>
      <c r="R167" s="136">
        <f t="shared" ref="R167:R169" si="94">+Q167</f>
        <v>0.05</v>
      </c>
      <c r="S167" s="20">
        <f t="shared" si="77"/>
        <v>220500000</v>
      </c>
      <c r="T167" s="136">
        <v>0.05</v>
      </c>
      <c r="U167" s="136">
        <f t="shared" ref="U167:U169" si="95">+R167</f>
        <v>0.05</v>
      </c>
      <c r="V167" s="20">
        <f t="shared" si="78"/>
        <v>231525000</v>
      </c>
    </row>
    <row r="168" spans="1:22" x14ac:dyDescent="0.3">
      <c r="A168" s="5">
        <v>52</v>
      </c>
      <c r="B168" s="8" t="s">
        <v>1032</v>
      </c>
      <c r="C168" s="11">
        <f>+SUMIFS('2021'!Z:Z,'2021'!D:D,CRUCE!A168,'2021'!AT:AT,CRUCE!B168)</f>
        <v>23596383.07</v>
      </c>
      <c r="D168" s="11">
        <f>+SUMIFS('2022'!Y:Y,'2022'!D:D,CRUCE!A168,'2022'!AS:AS,CRUCE!B168)</f>
        <v>28311470.140000001</v>
      </c>
      <c r="E168" s="136">
        <f t="shared" si="74"/>
        <v>0.19982244973784452</v>
      </c>
      <c r="F168" s="11">
        <f>+SUMIFS('2023'!Y:Y,'2023'!D:D,CRUCE!A168,'2023'!AS:AS,CRUCE!B168)</f>
        <v>29405307.25</v>
      </c>
      <c r="G168" s="136">
        <f t="shared" si="75"/>
        <v>3.8635828679718272E-2</v>
      </c>
      <c r="H168" s="11">
        <f>+SUMIFS('2024'!J:J,'2024'!D:D,CRUCE!A168,'2024'!AT:AT,CRUCE!B168)</f>
        <v>131066001.61</v>
      </c>
      <c r="I168" s="7" t="str">
        <f t="shared" si="82"/>
        <v>52Impuesto de Registro - Cámaras de Comercio (4% Turismo)23596383,07</v>
      </c>
      <c r="J168" s="7" t="str">
        <f t="shared" si="83"/>
        <v>52Impuesto de Registro - Cámaras de Comercio (4% Turismo)28311470,14</v>
      </c>
      <c r="K168" s="7" t="str">
        <f t="shared" si="84"/>
        <v>52Impuesto de Registro - Cámaras de Comercio (4% Turismo)29405307,25</v>
      </c>
      <c r="L168" s="7" t="str">
        <f t="shared" si="85"/>
        <v>52Impuesto de Registro - Cámaras de Comercio (4% Turismo)131066001,61</v>
      </c>
      <c r="M168" t="s">
        <v>1906</v>
      </c>
      <c r="N168" s="136">
        <v>0.08</v>
      </c>
      <c r="O168" s="136"/>
      <c r="P168" s="20">
        <f t="shared" si="76"/>
        <v>141551281.73879999</v>
      </c>
      <c r="Q168" s="136">
        <f t="shared" si="93"/>
        <v>0.08</v>
      </c>
      <c r="R168" s="136">
        <f t="shared" si="94"/>
        <v>0.08</v>
      </c>
      <c r="S168" s="20">
        <f t="shared" si="77"/>
        <v>152875384.27790397</v>
      </c>
      <c r="T168" s="136">
        <v>0.05</v>
      </c>
      <c r="U168" s="136">
        <f t="shared" si="95"/>
        <v>0.08</v>
      </c>
      <c r="V168" s="20">
        <f t="shared" si="78"/>
        <v>165105415.0201363</v>
      </c>
    </row>
    <row r="169" spans="1:22" x14ac:dyDescent="0.3">
      <c r="A169" s="5">
        <v>52</v>
      </c>
      <c r="B169" s="8" t="s">
        <v>1043</v>
      </c>
      <c r="C169" s="11">
        <f>+SUMIFS('2021'!Z:Z,'2021'!D:D,CRUCE!A169,'2021'!AT:AT,CRUCE!B169)</f>
        <v>802028404.60000002</v>
      </c>
      <c r="D169" s="11">
        <f>+SUMIFS('2022'!Y:Y,'2022'!D:D,CRUCE!A169,'2022'!AS:AS,CRUCE!B169)</f>
        <v>900044480.63999999</v>
      </c>
      <c r="E169" s="136">
        <f t="shared" si="74"/>
        <v>0.12221023030834431</v>
      </c>
      <c r="F169" s="11">
        <f>+SUMIFS('2023'!Y:Y,'2023'!D:D,CRUCE!A169,'2023'!AS:AS,CRUCE!B169)</f>
        <v>936244757.42999995</v>
      </c>
      <c r="G169" s="136">
        <f t="shared" si="75"/>
        <v>4.0220541949503225E-2</v>
      </c>
      <c r="H169" s="11">
        <f>+SUMIFS('2024'!J:J,'2024'!D:D,CRUCE!A169,'2024'!AT:AT,CRUCE!B169)</f>
        <v>1019920998.39</v>
      </c>
      <c r="I169" s="7" t="str">
        <f t="shared" si="82"/>
        <v>52Impuesto de Registro - Oficinas de Instrumentos Públicos (4% Turismo)802028404,6</v>
      </c>
      <c r="J169" s="7" t="str">
        <f t="shared" si="83"/>
        <v>52Impuesto de Registro - Oficinas de Instrumentos Públicos (4% Turismo)900044480,64</v>
      </c>
      <c r="K169" s="7" t="str">
        <f t="shared" si="84"/>
        <v>52Impuesto de Registro - Oficinas de Instrumentos Públicos (4% Turismo)936244757,43</v>
      </c>
      <c r="L169" s="7" t="str">
        <f t="shared" si="85"/>
        <v>52Impuesto de Registro - Oficinas de Instrumentos Públicos (4% Turismo)1019920998,39</v>
      </c>
      <c r="M169" t="s">
        <v>1906</v>
      </c>
      <c r="N169" s="136">
        <v>0.08</v>
      </c>
      <c r="O169" s="136"/>
      <c r="P169" s="20">
        <f t="shared" si="76"/>
        <v>1101514678.2612</v>
      </c>
      <c r="Q169" s="136">
        <f t="shared" si="93"/>
        <v>0.08</v>
      </c>
      <c r="R169" s="136">
        <f t="shared" si="94"/>
        <v>0.08</v>
      </c>
      <c r="S169" s="20">
        <f t="shared" si="77"/>
        <v>1189635852.5220959</v>
      </c>
      <c r="T169" s="136">
        <v>0.05</v>
      </c>
      <c r="U169" s="136">
        <f t="shared" si="95"/>
        <v>0.08</v>
      </c>
      <c r="V169" s="20">
        <f t="shared" si="78"/>
        <v>1284806720.7238636</v>
      </c>
    </row>
    <row r="170" spans="1:22" hidden="1" x14ac:dyDescent="0.3">
      <c r="A170" s="5">
        <v>52</v>
      </c>
      <c r="B170" s="8" t="s">
        <v>459</v>
      </c>
      <c r="C170" s="11">
        <f>+SUMIFS('2021'!Z:Z,'2021'!D:D,CRUCE!A170,'2021'!AT:AT,CRUCE!B170)</f>
        <v>0</v>
      </c>
      <c r="D170" s="11">
        <f>+SUMIFS('2022'!Y:Y,'2022'!D:D,CRUCE!A170,'2022'!AS:AS,CRUCE!B170)</f>
        <v>0</v>
      </c>
      <c r="E170" s="136" t="e">
        <f t="shared" si="74"/>
        <v>#DIV/0!</v>
      </c>
      <c r="F170" s="11">
        <f>+SUMIFS('2023'!Y:Y,'2023'!D:D,CRUCE!A170,'2023'!AS:AS,CRUCE!B170)</f>
        <v>10000000</v>
      </c>
      <c r="G170" s="136" t="e">
        <f t="shared" si="75"/>
        <v>#DIV/0!</v>
      </c>
      <c r="H170" s="11">
        <f>+SUMIFS('2024'!J:J,'2024'!D:D,CRUCE!A170,'2024'!AT:AT,CRUCE!B170)</f>
        <v>0</v>
      </c>
      <c r="I170" s="7" t="str">
        <f t="shared" si="82"/>
        <v>52Reintegros0</v>
      </c>
      <c r="J170" s="7" t="str">
        <f t="shared" si="83"/>
        <v>52Reintegros0</v>
      </c>
      <c r="K170" s="7" t="str">
        <f t="shared" si="84"/>
        <v>52Reintegros10000000</v>
      </c>
      <c r="L170" s="7" t="str">
        <f t="shared" si="85"/>
        <v>52Reintegros0</v>
      </c>
      <c r="M170" t="s">
        <v>1906</v>
      </c>
      <c r="N170" s="136" t="e">
        <f t="shared" si="86"/>
        <v>#DIV/0!</v>
      </c>
      <c r="O170" s="136"/>
      <c r="P170" s="20" t="e">
        <f t="shared" si="76"/>
        <v>#DIV/0!</v>
      </c>
      <c r="Q170" s="136">
        <v>0.05</v>
      </c>
      <c r="R170" s="136">
        <v>0.05</v>
      </c>
      <c r="S170" s="20" t="e">
        <f t="shared" si="77"/>
        <v>#DIV/0!</v>
      </c>
      <c r="T170" s="136">
        <v>0.05</v>
      </c>
      <c r="U170" s="136">
        <v>0.05</v>
      </c>
      <c r="V170" s="20" t="e">
        <f t="shared" si="78"/>
        <v>#DIV/0!</v>
      </c>
    </row>
    <row r="171" spans="1:22" x14ac:dyDescent="0.3">
      <c r="A171" s="5">
        <v>53</v>
      </c>
      <c r="B171" s="8" t="s">
        <v>1034</v>
      </c>
      <c r="C171" s="11">
        <f>+SUMIFS('2021'!Z:Z,'2021'!D:D,CRUCE!A171,'2021'!AT:AT,CRUCE!B171)</f>
        <v>35394574.57</v>
      </c>
      <c r="D171" s="11">
        <f>+SUMIFS('2022'!Y:Y,'2022'!D:D,CRUCE!A171,'2022'!AS:AS,CRUCE!B171)</f>
        <v>42467203.520000003</v>
      </c>
      <c r="E171" s="136">
        <f t="shared" si="74"/>
        <v>0.19982240317686076</v>
      </c>
      <c r="F171" s="11">
        <f>+SUMIFS('2023'!Y:Y,'2023'!D:D,CRUCE!A171,'2023'!AS:AS,CRUCE!B171)</f>
        <v>44107960.909999996</v>
      </c>
      <c r="G171" s="136">
        <f t="shared" si="75"/>
        <v>3.8635870836827658E-2</v>
      </c>
      <c r="H171" s="11">
        <f>+SUMIFS('2024'!J:J,'2024'!D:D,CRUCE!A171,'2024'!AT:AT,CRUCE!B171)</f>
        <v>196599502.41</v>
      </c>
      <c r="I171" s="7" t="str">
        <f t="shared" si="82"/>
        <v>53Impuesto de Registro - Cámaras de Comercio (6% Proyecta)35394574,57</v>
      </c>
      <c r="J171" s="7" t="str">
        <f t="shared" si="83"/>
        <v>53Impuesto de Registro - Cámaras de Comercio (6% Proyecta)42467203,52</v>
      </c>
      <c r="K171" s="7" t="str">
        <f t="shared" si="84"/>
        <v>53Impuesto de Registro - Cámaras de Comercio (6% Proyecta)44107960,91</v>
      </c>
      <c r="L171" s="7" t="str">
        <f t="shared" si="85"/>
        <v>53Impuesto de Registro - Cámaras de Comercio (6% Proyecta)196599502,41</v>
      </c>
      <c r="M171" t="s">
        <v>1906</v>
      </c>
      <c r="N171" s="136">
        <v>0.08</v>
      </c>
      <c r="O171" s="136"/>
      <c r="P171" s="20">
        <f t="shared" si="76"/>
        <v>212327462.60280001</v>
      </c>
      <c r="Q171" s="136">
        <f t="shared" ref="Q171:Q173" si="96">+N171</f>
        <v>0.08</v>
      </c>
      <c r="R171" s="136">
        <f t="shared" ref="R171:R173" si="97">+Q171</f>
        <v>0.08</v>
      </c>
      <c r="S171" s="20">
        <f t="shared" si="77"/>
        <v>229313659.61102402</v>
      </c>
      <c r="T171" s="136">
        <v>0.05</v>
      </c>
      <c r="U171" s="136">
        <f t="shared" ref="U171:U173" si="98">+R171</f>
        <v>0.08</v>
      </c>
      <c r="V171" s="20">
        <f t="shared" si="78"/>
        <v>247658752.37990594</v>
      </c>
    </row>
    <row r="172" spans="1:22" x14ac:dyDescent="0.3">
      <c r="A172" s="5">
        <v>53</v>
      </c>
      <c r="B172" s="8" t="s">
        <v>1045</v>
      </c>
      <c r="C172" s="11">
        <f>+SUMIFS('2021'!Z:Z,'2021'!D:D,CRUCE!A172,'2021'!AT:AT,CRUCE!B172)</f>
        <v>1203042606.9000001</v>
      </c>
      <c r="D172" s="11">
        <f>+SUMIFS('2022'!Y:Y,'2022'!D:D,CRUCE!A172,'2022'!AS:AS,CRUCE!B172)</f>
        <v>1350066718.96</v>
      </c>
      <c r="E172" s="136">
        <f t="shared" si="74"/>
        <v>0.1222102286458928</v>
      </c>
      <c r="F172" s="11">
        <f>+SUMIFS('2023'!Y:Y,'2023'!D:D,CRUCE!A172,'2023'!AS:AS,CRUCE!B172)</f>
        <v>1404367136.1500001</v>
      </c>
      <c r="G172" s="136">
        <f t="shared" si="75"/>
        <v>4.0220543494198138E-2</v>
      </c>
      <c r="H172" s="11">
        <f>+SUMIFS('2024'!J:J,'2024'!D:D,CRUCE!A172,'2024'!AT:AT,CRUCE!B172)</f>
        <v>1529881497.5899999</v>
      </c>
      <c r="I172" s="7" t="str">
        <f t="shared" si="82"/>
        <v>53Impuesto de Registro - Oficinas de Instrumentos Públicos (6% Proyecta)1203042606,9</v>
      </c>
      <c r="J172" s="7" t="str">
        <f t="shared" si="83"/>
        <v>53Impuesto de Registro - Oficinas de Instrumentos Públicos (6% Proyecta)1350066718,96</v>
      </c>
      <c r="K172" s="7" t="str">
        <f t="shared" si="84"/>
        <v>53Impuesto de Registro - Oficinas de Instrumentos Públicos (6% Proyecta)1404367136,15</v>
      </c>
      <c r="L172" s="7" t="str">
        <f t="shared" si="85"/>
        <v>53Impuesto de Registro - Oficinas de Instrumentos Públicos (6% Proyecta)1529881497,59</v>
      </c>
      <c r="M172" t="s">
        <v>1906</v>
      </c>
      <c r="N172" s="136">
        <v>0.08</v>
      </c>
      <c r="O172" s="136"/>
      <c r="P172" s="20">
        <f t="shared" si="76"/>
        <v>1652272017.3971999</v>
      </c>
      <c r="Q172" s="136">
        <f t="shared" si="96"/>
        <v>0.08</v>
      </c>
      <c r="R172" s="136">
        <f t="shared" si="97"/>
        <v>0.08</v>
      </c>
      <c r="S172" s="20">
        <f t="shared" si="77"/>
        <v>1784453778.788976</v>
      </c>
      <c r="T172" s="136">
        <v>0.05</v>
      </c>
      <c r="U172" s="136">
        <f t="shared" si="98"/>
        <v>0.08</v>
      </c>
      <c r="V172" s="20">
        <f t="shared" si="78"/>
        <v>1927210081.0920939</v>
      </c>
    </row>
    <row r="173" spans="1:22" x14ac:dyDescent="0.3">
      <c r="A173" s="5">
        <v>56</v>
      </c>
      <c r="B173" s="8" t="s">
        <v>286</v>
      </c>
      <c r="C173" s="11">
        <f>+SUMIFS('2021'!Z:Z,'2021'!D:D,CRUCE!A173,'2021'!AT:AT,CRUCE!B173)</f>
        <v>410775187.83999997</v>
      </c>
      <c r="D173" s="11">
        <f>+SUMIFS('2022'!Y:Y,'2022'!D:D,CRUCE!A173,'2022'!AS:AS,CRUCE!B173)</f>
        <v>453382640</v>
      </c>
      <c r="E173" s="136">
        <f t="shared" si="74"/>
        <v>0.1037245028942594</v>
      </c>
      <c r="F173" s="11">
        <f>+SUMIFS('2023'!Y:Y,'2023'!D:D,CRUCE!A173,'2023'!AS:AS,CRUCE!B173)</f>
        <v>592877095</v>
      </c>
      <c r="G173" s="136">
        <f t="shared" si="75"/>
        <v>0.30767489244846252</v>
      </c>
      <c r="H173" s="11">
        <f>+SUMIFS('2024'!J:J,'2024'!D:D,CRUCE!A173,'2024'!AT:AT,CRUCE!B173)</f>
        <v>500000000</v>
      </c>
      <c r="I173" s="7" t="str">
        <f t="shared" si="82"/>
        <v>56Federación Nacional de Departamentos410775187,84</v>
      </c>
      <c r="J173" s="7" t="str">
        <f t="shared" si="83"/>
        <v>56Federación Nacional de Departamentos453382640</v>
      </c>
      <c r="K173" s="7" t="str">
        <f t="shared" si="84"/>
        <v>56Federación Nacional de Departamentos592877095</v>
      </c>
      <c r="L173" s="7" t="str">
        <f t="shared" si="85"/>
        <v>56Federación Nacional de Departamentos500000000</v>
      </c>
      <c r="M173" t="s">
        <v>1906</v>
      </c>
      <c r="N173" s="136">
        <v>0.1</v>
      </c>
      <c r="O173" s="136"/>
      <c r="P173" s="20">
        <f t="shared" si="76"/>
        <v>550000000</v>
      </c>
      <c r="Q173" s="136">
        <f t="shared" si="96"/>
        <v>0.1</v>
      </c>
      <c r="R173" s="136">
        <f t="shared" si="97"/>
        <v>0.1</v>
      </c>
      <c r="S173" s="20">
        <f t="shared" si="77"/>
        <v>605000000</v>
      </c>
      <c r="T173" s="136">
        <v>0.05</v>
      </c>
      <c r="U173" s="136">
        <f t="shared" si="98"/>
        <v>0.1</v>
      </c>
      <c r="V173" s="20">
        <f t="shared" si="78"/>
        <v>665500000</v>
      </c>
    </row>
    <row r="174" spans="1:22" hidden="1" x14ac:dyDescent="0.3">
      <c r="A174" s="5">
        <v>56</v>
      </c>
      <c r="B174" s="8" t="s">
        <v>281</v>
      </c>
      <c r="C174" s="11">
        <f>+SUMIFS('2021'!Z:Z,'2021'!D:D,CRUCE!A174,'2021'!AT:AT,CRUCE!B174)</f>
        <v>4000000000</v>
      </c>
      <c r="D174" s="11">
        <f>+SUMIFS('2022'!Y:Y,'2022'!D:D,CRUCE!A174,'2022'!AS:AS,CRUCE!B174)</f>
        <v>0</v>
      </c>
      <c r="E174" s="136">
        <f t="shared" si="74"/>
        <v>-1</v>
      </c>
      <c r="F174" s="11">
        <f>+SUMIFS('2023'!Y:Y,'2023'!D:D,CRUCE!A174,'2023'!AS:AS,CRUCE!B174)</f>
        <v>0</v>
      </c>
      <c r="G174" s="136" t="e">
        <f t="shared" si="75"/>
        <v>#DIV/0!</v>
      </c>
      <c r="H174" s="11">
        <f>+SUMIFS('2024'!J:J,'2024'!D:D,CRUCE!A174,'2024'!AT:AT,CRUCE!B174)</f>
        <v>0</v>
      </c>
      <c r="I174" s="7" t="str">
        <f t="shared" si="82"/>
        <v>56Instituto Nacional de Vías4000000000</v>
      </c>
      <c r="J174" s="7" t="str">
        <f t="shared" si="83"/>
        <v>56Instituto Nacional de Vías0</v>
      </c>
      <c r="K174" s="7" t="str">
        <f t="shared" si="84"/>
        <v>56Instituto Nacional de Vías0</v>
      </c>
      <c r="L174" s="7" t="str">
        <f t="shared" si="85"/>
        <v>56Instituto Nacional de Vías0</v>
      </c>
      <c r="M174" t="s">
        <v>1906</v>
      </c>
      <c r="N174" s="136" t="e">
        <f t="shared" si="86"/>
        <v>#DIV/0!</v>
      </c>
      <c r="O174" s="136"/>
      <c r="P174" s="20" t="e">
        <f t="shared" si="76"/>
        <v>#DIV/0!</v>
      </c>
      <c r="Q174" s="136">
        <v>0.05</v>
      </c>
      <c r="R174" s="136">
        <v>0.05</v>
      </c>
      <c r="S174" s="20" t="e">
        <f t="shared" si="77"/>
        <v>#DIV/0!</v>
      </c>
      <c r="T174" s="136">
        <v>0.05</v>
      </c>
      <c r="U174" s="136">
        <v>0.05</v>
      </c>
      <c r="V174" s="20" t="e">
        <f t="shared" si="78"/>
        <v>#DIV/0!</v>
      </c>
    </row>
    <row r="175" spans="1:22" hidden="1" x14ac:dyDescent="0.3">
      <c r="A175" s="5">
        <v>56</v>
      </c>
      <c r="B175" s="8" t="s">
        <v>278</v>
      </c>
      <c r="C175" s="11">
        <f>+SUMIFS('2021'!Z:Z,'2021'!D:D,CRUCE!A175,'2021'!AT:AT,CRUCE!B175)</f>
        <v>0</v>
      </c>
      <c r="D175" s="11">
        <f>+SUMIFS('2022'!Y:Y,'2022'!D:D,CRUCE!A175,'2022'!AS:AS,CRUCE!B175)</f>
        <v>0</v>
      </c>
      <c r="E175" s="136" t="e">
        <f t="shared" si="74"/>
        <v>#DIV/0!</v>
      </c>
      <c r="F175" s="11">
        <f>+SUMIFS('2023'!Y:Y,'2023'!D:D,CRUCE!A175,'2023'!AS:AS,CRUCE!B175)</f>
        <v>0</v>
      </c>
      <c r="G175" s="136" t="e">
        <f t="shared" si="75"/>
        <v>#DIV/0!</v>
      </c>
      <c r="H175" s="11">
        <f>+SUMIFS('2024'!J:J,'2024'!D:D,CRUCE!A175,'2024'!AT:AT,CRUCE!B175)</f>
        <v>0</v>
      </c>
      <c r="I175" s="7" t="str">
        <f t="shared" si="82"/>
        <v>56Invias, Via Salento0</v>
      </c>
      <c r="J175" s="7" t="str">
        <f t="shared" si="83"/>
        <v>56Invias, Via Salento0</v>
      </c>
      <c r="K175" s="7" t="str">
        <f t="shared" si="84"/>
        <v>56Invias, Via Salento0</v>
      </c>
      <c r="L175" s="7" t="str">
        <f t="shared" si="85"/>
        <v>56Invias, Via Salento0</v>
      </c>
      <c r="M175" t="s">
        <v>1906</v>
      </c>
      <c r="N175" s="136" t="e">
        <f t="shared" si="86"/>
        <v>#DIV/0!</v>
      </c>
      <c r="O175" s="136"/>
      <c r="P175" s="20" t="e">
        <f t="shared" si="76"/>
        <v>#DIV/0!</v>
      </c>
      <c r="Q175" s="136">
        <v>0.05</v>
      </c>
      <c r="R175" s="136">
        <v>0.05</v>
      </c>
      <c r="S175" s="20" t="e">
        <f t="shared" si="77"/>
        <v>#DIV/0!</v>
      </c>
      <c r="T175" s="136">
        <v>0.05</v>
      </c>
      <c r="U175" s="136">
        <v>0.05</v>
      </c>
      <c r="V175" s="20" t="e">
        <f t="shared" si="78"/>
        <v>#DIV/0!</v>
      </c>
    </row>
    <row r="176" spans="1:22" x14ac:dyDescent="0.3">
      <c r="A176" s="5">
        <v>58</v>
      </c>
      <c r="B176" s="8" t="s">
        <v>1282</v>
      </c>
      <c r="C176" s="11">
        <f>+SUMIFS('2021'!Z:Z,'2021'!D:D,CRUCE!A176,'2021'!AT:AT,CRUCE!B176)</f>
        <v>5308449.12</v>
      </c>
      <c r="D176" s="11">
        <f>+SUMIFS('2022'!Y:Y,'2022'!D:D,CRUCE!A176,'2022'!AS:AS,CRUCE!B176)</f>
        <v>81646374.129999995</v>
      </c>
      <c r="E176" s="136">
        <f t="shared" si="74"/>
        <v>14.380457132459053</v>
      </c>
      <c r="F176" s="11">
        <f>+SUMIFS('2023'!Y:Y,'2023'!D:D,CRUCE!A176,'2023'!AS:AS,CRUCE!B176)</f>
        <v>261588151.47999999</v>
      </c>
      <c r="G176" s="136">
        <f t="shared" si="75"/>
        <v>2.203916331464896</v>
      </c>
      <c r="H176" s="11">
        <f>+SUMIFS('2024'!J:J,'2024'!D:D,CRUCE!A176,'2024'!AT:AT,CRUCE!B176)</f>
        <v>2000000</v>
      </c>
      <c r="I176" s="7" t="str">
        <f t="shared" si="82"/>
        <v>58Depósitos Rentas Cedidas5308449,12</v>
      </c>
      <c r="J176" s="7" t="str">
        <f t="shared" si="83"/>
        <v>58Depósitos Rentas Cedidas81646374,13</v>
      </c>
      <c r="K176" s="7" t="str">
        <f t="shared" si="84"/>
        <v>58Depósitos Rentas Cedidas261588151,48</v>
      </c>
      <c r="L176" s="7" t="str">
        <f t="shared" si="85"/>
        <v>58Depósitos Rentas Cedidas2000000</v>
      </c>
      <c r="M176" t="s">
        <v>1906</v>
      </c>
      <c r="N176" s="136">
        <v>0.02</v>
      </c>
      <c r="O176" s="136"/>
      <c r="P176" s="20">
        <f>+H176*1.02</f>
        <v>2040000</v>
      </c>
      <c r="Q176" s="136">
        <f>+N176</f>
        <v>0.02</v>
      </c>
      <c r="R176" s="136">
        <f>+Q176</f>
        <v>0.02</v>
      </c>
      <c r="S176" s="20">
        <f>+P176*1.02</f>
        <v>2080800</v>
      </c>
      <c r="T176" s="136">
        <v>0.05</v>
      </c>
      <c r="U176" s="136">
        <f>+R176</f>
        <v>0.02</v>
      </c>
      <c r="V176" s="20">
        <f>+S176*1.02</f>
        <v>2122416</v>
      </c>
    </row>
    <row r="177" spans="1:22" hidden="1" x14ac:dyDescent="0.3">
      <c r="A177" s="5">
        <v>58</v>
      </c>
      <c r="B177" s="8" t="s">
        <v>1096</v>
      </c>
      <c r="C177" s="11">
        <f>+SUMIFS('2021'!Z:Z,'2021'!D:D,CRUCE!A177,'2021'!AT:AT,CRUCE!B177)</f>
        <v>0</v>
      </c>
      <c r="D177" s="11">
        <f>+SUMIFS('2022'!Y:Y,'2022'!D:D,CRUCE!A177,'2022'!AS:AS,CRUCE!B177)</f>
        <v>0</v>
      </c>
      <c r="E177" s="136" t="e">
        <f t="shared" si="74"/>
        <v>#DIV/0!</v>
      </c>
      <c r="F177" s="11">
        <f>+SUMIFS('2023'!Y:Y,'2023'!D:D,CRUCE!A177,'2023'!AS:AS,CRUCE!B177)</f>
        <v>7448377.5</v>
      </c>
      <c r="G177" s="136" t="e">
        <f t="shared" si="75"/>
        <v>#DIV/0!</v>
      </c>
      <c r="H177" s="11">
        <f>+SUMIFS('2024'!J:J,'2024'!D:D,CRUCE!A177,'2024'!AT:AT,CRUCE!B177)</f>
        <v>0</v>
      </c>
      <c r="I177" s="7" t="str">
        <f t="shared" si="82"/>
        <v>58Derechos de monopolio por la introducción de licores destilados de producción extranjera0</v>
      </c>
      <c r="J177" s="7" t="str">
        <f t="shared" si="83"/>
        <v>58Derechos de monopolio por la introducción de licores destilados de producción extranjera0</v>
      </c>
      <c r="K177" s="7" t="str">
        <f t="shared" si="84"/>
        <v>58Derechos de monopolio por la introducción de licores destilados de producción extranjera7448377,5</v>
      </c>
      <c r="L177" s="7" t="str">
        <f t="shared" si="85"/>
        <v>58Derechos de monopolio por la introducción de licores destilados de producción extranjera0</v>
      </c>
      <c r="M177" t="s">
        <v>1906</v>
      </c>
      <c r="N177" s="136" t="e">
        <f t="shared" si="86"/>
        <v>#DIV/0!</v>
      </c>
      <c r="O177" s="136"/>
      <c r="P177" s="20" t="e">
        <f t="shared" si="76"/>
        <v>#DIV/0!</v>
      </c>
      <c r="Q177" s="136">
        <v>0.05</v>
      </c>
      <c r="R177" s="136">
        <v>0.05</v>
      </c>
      <c r="S177" s="20" t="e">
        <f t="shared" si="77"/>
        <v>#DIV/0!</v>
      </c>
      <c r="T177" s="136">
        <v>0.05</v>
      </c>
      <c r="U177" s="136">
        <v>0.05</v>
      </c>
      <c r="V177" s="20" t="e">
        <f t="shared" si="78"/>
        <v>#DIV/0!</v>
      </c>
    </row>
    <row r="178" spans="1:22" hidden="1" x14ac:dyDescent="0.3">
      <c r="A178" s="5">
        <v>58</v>
      </c>
      <c r="B178" s="8" t="s">
        <v>1093</v>
      </c>
      <c r="C178" s="11">
        <f>+SUMIFS('2021'!Z:Z,'2021'!D:D,CRUCE!A178,'2021'!AT:AT,CRUCE!B178)</f>
        <v>0</v>
      </c>
      <c r="D178" s="11">
        <f>+SUMIFS('2022'!Y:Y,'2022'!D:D,CRUCE!A178,'2022'!AS:AS,CRUCE!B178)</f>
        <v>29127444.640000001</v>
      </c>
      <c r="E178" s="136" t="e">
        <f t="shared" si="74"/>
        <v>#DIV/0!</v>
      </c>
      <c r="F178" s="11">
        <f>+SUMIFS('2023'!Y:Y,'2023'!D:D,CRUCE!A178,'2023'!AS:AS,CRUCE!B178)</f>
        <v>0</v>
      </c>
      <c r="G178" s="136">
        <f t="shared" si="75"/>
        <v>-1</v>
      </c>
      <c r="H178" s="11">
        <f>+SUMIFS('2024'!J:J,'2024'!D:D,CRUCE!A178,'2024'!AT:AT,CRUCE!B178)</f>
        <v>0</v>
      </c>
      <c r="I178" s="7" t="str">
        <f t="shared" si="82"/>
        <v>58Derechos de monopolio por la introducción de licores destilados de producción Nacional0</v>
      </c>
      <c r="J178" s="7" t="str">
        <f t="shared" si="83"/>
        <v>58Derechos de monopolio por la introducción de licores destilados de producción Nacional29127444,64</v>
      </c>
      <c r="K178" s="7" t="str">
        <f t="shared" si="84"/>
        <v>58Derechos de monopolio por la introducción de licores destilados de producción Nacional0</v>
      </c>
      <c r="L178" s="7" t="str">
        <f t="shared" si="85"/>
        <v>58Derechos de monopolio por la introducción de licores destilados de producción Nacional0</v>
      </c>
      <c r="M178" t="s">
        <v>1906</v>
      </c>
      <c r="N178" s="136" t="e">
        <f t="shared" si="86"/>
        <v>#DIV/0!</v>
      </c>
      <c r="O178" s="136"/>
      <c r="P178" s="20" t="e">
        <f t="shared" si="76"/>
        <v>#DIV/0!</v>
      </c>
      <c r="Q178" s="136">
        <v>0.05</v>
      </c>
      <c r="R178" s="136">
        <v>0.05</v>
      </c>
      <c r="S178" s="20" t="e">
        <f t="shared" si="77"/>
        <v>#DIV/0!</v>
      </c>
      <c r="T178" s="136">
        <v>0.05</v>
      </c>
      <c r="U178" s="136">
        <v>0.05</v>
      </c>
      <c r="V178" s="20" t="e">
        <f t="shared" si="78"/>
        <v>#DIV/0!</v>
      </c>
    </row>
    <row r="179" spans="1:22" hidden="1" x14ac:dyDescent="0.3">
      <c r="A179" s="5">
        <v>58</v>
      </c>
      <c r="B179" s="8" t="s">
        <v>1091</v>
      </c>
      <c r="C179" s="11">
        <f>+SUMIFS('2021'!Z:Z,'2021'!D:D,CRUCE!A179,'2021'!AT:AT,CRUCE!B179)</f>
        <v>0</v>
      </c>
      <c r="D179" s="11">
        <f>+SUMIFS('2022'!Y:Y,'2022'!D:D,CRUCE!A179,'2022'!AS:AS,CRUCE!B179)</f>
        <v>84782966.390000001</v>
      </c>
      <c r="E179" s="136" t="e">
        <f t="shared" si="74"/>
        <v>#DIV/0!</v>
      </c>
      <c r="F179" s="11">
        <f>+SUMIFS('2023'!Y:Y,'2023'!D:D,CRUCE!A179,'2023'!AS:AS,CRUCE!B179)</f>
        <v>70108021.430000007</v>
      </c>
      <c r="G179" s="136">
        <f t="shared" si="75"/>
        <v>-0.17308836414729264</v>
      </c>
      <c r="H179" s="11">
        <f>+SUMIFS('2024'!J:J,'2024'!D:D,CRUCE!A179,'2024'!AT:AT,CRUCE!B179)</f>
        <v>0</v>
      </c>
      <c r="I179" s="7" t="str">
        <f t="shared" si="82"/>
        <v>58Derechos de monopolio por la introducción de licores destilados de producción nacional (Monopolio pa0</v>
      </c>
      <c r="J179" s="7" t="str">
        <f t="shared" si="83"/>
        <v>58Derechos de monopolio por la introducción de licores destilados de producción nacional (Monopolio pa84782966,39</v>
      </c>
      <c r="K179" s="7" t="str">
        <f t="shared" si="84"/>
        <v>58Derechos de monopolio por la introducción de licores destilados de producción nacional (Monopolio pa70108021,43</v>
      </c>
      <c r="L179" s="7" t="str">
        <f t="shared" si="85"/>
        <v>58Derechos de monopolio por la introducción de licores destilados de producción nacional (Monopolio pa0</v>
      </c>
      <c r="M179" t="s">
        <v>1906</v>
      </c>
      <c r="N179" s="136" t="e">
        <f t="shared" si="86"/>
        <v>#DIV/0!</v>
      </c>
      <c r="O179" s="136"/>
      <c r="P179" s="20" t="e">
        <f t="shared" si="76"/>
        <v>#DIV/0!</v>
      </c>
      <c r="Q179" s="136">
        <v>0.05</v>
      </c>
      <c r="R179" s="136">
        <v>0.05</v>
      </c>
      <c r="S179" s="20" t="e">
        <f t="shared" si="77"/>
        <v>#DIV/0!</v>
      </c>
      <c r="T179" s="136">
        <v>0.05</v>
      </c>
      <c r="U179" s="136">
        <v>0.05</v>
      </c>
      <c r="V179" s="20" t="e">
        <f t="shared" si="78"/>
        <v>#DIV/0!</v>
      </c>
    </row>
    <row r="180" spans="1:22" hidden="1" x14ac:dyDescent="0.3">
      <c r="A180" s="5">
        <v>58</v>
      </c>
      <c r="B180" s="8" t="s">
        <v>104</v>
      </c>
      <c r="C180" s="11">
        <f>+SUMIFS('2021'!Z:Z,'2021'!D:D,CRUCE!A180,'2021'!AT:AT,CRUCE!B180)</f>
        <v>13355500</v>
      </c>
      <c r="D180" s="11">
        <f>+SUMIFS('2022'!Y:Y,'2022'!D:D,CRUCE!A180,'2022'!AS:AS,CRUCE!B180)</f>
        <v>9777000</v>
      </c>
      <c r="E180" s="136">
        <f t="shared" si="74"/>
        <v>-0.26794204634794655</v>
      </c>
      <c r="F180" s="11">
        <f>+SUMIFS('2023'!Y:Y,'2023'!D:D,CRUCE!A180,'2023'!AS:AS,CRUCE!B180)</f>
        <v>19627500</v>
      </c>
      <c r="G180" s="136">
        <f t="shared" si="75"/>
        <v>1.0075176434489108</v>
      </c>
      <c r="H180" s="11">
        <f>+SUMIFS('2024'!J:J,'2024'!D:D,CRUCE!A180,'2024'!AT:AT,CRUCE!B180)</f>
        <v>0</v>
      </c>
      <c r="I180" s="7" t="str">
        <f t="shared" si="82"/>
        <v>58Impuesto al consumo de cervezas, sifones, refajos y mezclas - Extranjeras13355500</v>
      </c>
      <c r="J180" s="7" t="str">
        <f t="shared" si="83"/>
        <v>58Impuesto al consumo de cervezas, sifones, refajos y mezclas - Extranjeras9777000</v>
      </c>
      <c r="K180" s="7" t="str">
        <f t="shared" si="84"/>
        <v>58Impuesto al consumo de cervezas, sifones, refajos y mezclas - Extranjeras19627500</v>
      </c>
      <c r="L180" s="7" t="str">
        <f t="shared" si="85"/>
        <v>58Impuesto al consumo de cervezas, sifones, refajos y mezclas - Extranjeras0</v>
      </c>
      <c r="M180" t="s">
        <v>1906</v>
      </c>
      <c r="N180" s="136">
        <f t="shared" si="86"/>
        <v>0.36978779855048216</v>
      </c>
      <c r="O180" s="136"/>
      <c r="P180" s="20">
        <f t="shared" si="76"/>
        <v>0</v>
      </c>
      <c r="Q180" s="136">
        <v>0.05</v>
      </c>
      <c r="R180" s="136">
        <v>0.05</v>
      </c>
      <c r="S180" s="20">
        <f t="shared" si="77"/>
        <v>0</v>
      </c>
      <c r="T180" s="136">
        <v>0.05</v>
      </c>
      <c r="U180" s="136">
        <v>0.05</v>
      </c>
      <c r="V180" s="20">
        <f t="shared" si="78"/>
        <v>0</v>
      </c>
    </row>
    <row r="181" spans="1:22" hidden="1" x14ac:dyDescent="0.3">
      <c r="A181" s="5">
        <v>58</v>
      </c>
      <c r="B181" s="8" t="s">
        <v>102</v>
      </c>
      <c r="C181" s="11">
        <f>+SUMIFS('2021'!Z:Z,'2021'!D:D,CRUCE!A181,'2021'!AT:AT,CRUCE!B181)</f>
        <v>847708250</v>
      </c>
      <c r="D181" s="11">
        <f>+SUMIFS('2022'!Y:Y,'2022'!D:D,CRUCE!A181,'2022'!AS:AS,CRUCE!B181)</f>
        <v>933350750</v>
      </c>
      <c r="E181" s="136">
        <f t="shared" si="74"/>
        <v>0.10102827240386064</v>
      </c>
      <c r="F181" s="11">
        <f>+SUMIFS('2023'!Y:Y,'2023'!D:D,CRUCE!A181,'2023'!AS:AS,CRUCE!B181)</f>
        <v>1049344250</v>
      </c>
      <c r="G181" s="136">
        <f t="shared" si="75"/>
        <v>0.12427643091303028</v>
      </c>
      <c r="H181" s="11">
        <f>+SUMIFS('2024'!J:J,'2024'!D:D,CRUCE!A181,'2024'!AT:AT,CRUCE!B181)</f>
        <v>0</v>
      </c>
      <c r="I181" s="7" t="str">
        <f t="shared" si="82"/>
        <v>58Impuesto al consumo de cervezas, sifones, refajos y mezclas - Nacionales847708250</v>
      </c>
      <c r="J181" s="7" t="str">
        <f t="shared" si="83"/>
        <v>58Impuesto al consumo de cervezas, sifones, refajos y mezclas - Nacionales933350750</v>
      </c>
      <c r="K181" s="7" t="str">
        <f t="shared" si="84"/>
        <v>58Impuesto al consumo de cervezas, sifones, refajos y mezclas - Nacionales1049344250</v>
      </c>
      <c r="L181" s="7" t="str">
        <f t="shared" si="85"/>
        <v>58Impuesto al consumo de cervezas, sifones, refajos y mezclas - Nacionales0</v>
      </c>
      <c r="M181" t="s">
        <v>1906</v>
      </c>
      <c r="N181" s="136">
        <f t="shared" si="86"/>
        <v>0.11265235165844546</v>
      </c>
      <c r="O181" s="136"/>
      <c r="P181" s="20">
        <f t="shared" si="76"/>
        <v>0</v>
      </c>
      <c r="Q181" s="136">
        <v>0.05</v>
      </c>
      <c r="R181" s="136">
        <v>0.05</v>
      </c>
      <c r="S181" s="20">
        <f t="shared" si="77"/>
        <v>0</v>
      </c>
      <c r="T181" s="136">
        <v>0.05</v>
      </c>
      <c r="U181" s="136">
        <v>0.05</v>
      </c>
      <c r="V181" s="20">
        <f t="shared" si="78"/>
        <v>0</v>
      </c>
    </row>
    <row r="182" spans="1:22" hidden="1" x14ac:dyDescent="0.3">
      <c r="A182" s="5">
        <v>58</v>
      </c>
      <c r="B182" s="8" t="s">
        <v>98</v>
      </c>
      <c r="C182" s="11">
        <f>+SUMIFS('2021'!Z:Z,'2021'!D:D,CRUCE!A182,'2021'!AT:AT,CRUCE!B182)</f>
        <v>1281035355.3399999</v>
      </c>
      <c r="D182" s="11">
        <f>+SUMIFS('2022'!Y:Y,'2022'!D:D,CRUCE!A182,'2022'!AS:AS,CRUCE!B182)</f>
        <v>469567405</v>
      </c>
      <c r="E182" s="136">
        <f t="shared" si="74"/>
        <v>-0.63344695910022564</v>
      </c>
      <c r="F182" s="11">
        <f>+SUMIFS('2023'!Y:Y,'2023'!D:D,CRUCE!A182,'2023'!AS:AS,CRUCE!B182)</f>
        <v>366123126</v>
      </c>
      <c r="G182" s="136">
        <f t="shared" si="75"/>
        <v>-0.22029697525534167</v>
      </c>
      <c r="H182" s="11">
        <f>+SUMIFS('2024'!J:J,'2024'!D:D,CRUCE!A182,'2024'!AT:AT,CRUCE!B182)</f>
        <v>0</v>
      </c>
      <c r="I182" s="7" t="str">
        <f t="shared" si="82"/>
        <v>58Impuesto al consumo de vinos, aperitivos y similares - Extranjeros1281035355,34</v>
      </c>
      <c r="J182" s="7" t="str">
        <f t="shared" si="83"/>
        <v>58Impuesto al consumo de vinos, aperitivos y similares - Extranjeros469567405</v>
      </c>
      <c r="K182" s="7" t="str">
        <f t="shared" si="84"/>
        <v>58Impuesto al consumo de vinos, aperitivos y similares - Extranjeros366123126</v>
      </c>
      <c r="L182" s="7" t="str">
        <f t="shared" si="85"/>
        <v>58Impuesto al consumo de vinos, aperitivos y similares - Extranjeros0</v>
      </c>
      <c r="M182" t="s">
        <v>1906</v>
      </c>
      <c r="N182" s="136">
        <f t="shared" si="86"/>
        <v>-0.42687196717778364</v>
      </c>
      <c r="O182" s="136"/>
      <c r="P182" s="20">
        <f t="shared" si="76"/>
        <v>0</v>
      </c>
      <c r="Q182" s="136">
        <v>0.05</v>
      </c>
      <c r="R182" s="136">
        <v>0.05</v>
      </c>
      <c r="S182" s="20">
        <f t="shared" si="77"/>
        <v>0</v>
      </c>
      <c r="T182" s="136">
        <v>0.05</v>
      </c>
      <c r="U182" s="136">
        <v>0.05</v>
      </c>
      <c r="V182" s="20">
        <f t="shared" si="78"/>
        <v>0</v>
      </c>
    </row>
    <row r="183" spans="1:22" hidden="1" x14ac:dyDescent="0.3">
      <c r="A183" s="5">
        <v>58</v>
      </c>
      <c r="B183" s="8" t="s">
        <v>96</v>
      </c>
      <c r="C183" s="11">
        <f>+SUMIFS('2021'!Z:Z,'2021'!D:D,CRUCE!A183,'2021'!AT:AT,CRUCE!B183)</f>
        <v>205593518.27000001</v>
      </c>
      <c r="D183" s="11">
        <f>+SUMIFS('2022'!Y:Y,'2022'!D:D,CRUCE!A183,'2022'!AS:AS,CRUCE!B183)</f>
        <v>154256787.47</v>
      </c>
      <c r="E183" s="136">
        <f t="shared" si="74"/>
        <v>-0.24970014245576055</v>
      </c>
      <c r="F183" s="11">
        <f>+SUMIFS('2023'!Y:Y,'2023'!D:D,CRUCE!A183,'2023'!AS:AS,CRUCE!B183)</f>
        <v>128672966.98999999</v>
      </c>
      <c r="G183" s="136">
        <f t="shared" si="75"/>
        <v>-0.16585215405821652</v>
      </c>
      <c r="H183" s="11">
        <f>+SUMIFS('2024'!J:J,'2024'!D:D,CRUCE!A183,'2024'!AT:AT,CRUCE!B183)</f>
        <v>0</v>
      </c>
      <c r="I183" s="7" t="str">
        <f t="shared" si="82"/>
        <v>58Impuesto al consumo de vinos, aperitivos y similares - Nacionales205593518,27</v>
      </c>
      <c r="J183" s="7" t="str">
        <f t="shared" si="83"/>
        <v>58Impuesto al consumo de vinos, aperitivos y similares - Nacionales154256787,47</v>
      </c>
      <c r="K183" s="7" t="str">
        <f t="shared" si="84"/>
        <v>58Impuesto al consumo de vinos, aperitivos y similares - Nacionales128672966,99</v>
      </c>
      <c r="L183" s="7" t="str">
        <f t="shared" si="85"/>
        <v>58Impuesto al consumo de vinos, aperitivos y similares - Nacionales0</v>
      </c>
      <c r="M183" t="s">
        <v>1906</v>
      </c>
      <c r="N183" s="136">
        <f t="shared" si="86"/>
        <v>-0.20777614825698854</v>
      </c>
      <c r="O183" s="136"/>
      <c r="P183" s="20">
        <f t="shared" si="76"/>
        <v>0</v>
      </c>
      <c r="Q183" s="136">
        <v>0.05</v>
      </c>
      <c r="R183" s="136">
        <v>0.05</v>
      </c>
      <c r="S183" s="20">
        <f t="shared" si="77"/>
        <v>0</v>
      </c>
      <c r="T183" s="136">
        <v>0.05</v>
      </c>
      <c r="U183" s="136">
        <v>0.05</v>
      </c>
      <c r="V183" s="20">
        <f t="shared" si="78"/>
        <v>0</v>
      </c>
    </row>
    <row r="184" spans="1:22" hidden="1" x14ac:dyDescent="0.3">
      <c r="A184" s="5">
        <v>58</v>
      </c>
      <c r="B184" s="8" t="s">
        <v>809</v>
      </c>
      <c r="C184" s="11">
        <f>+SUMIFS('2021'!Z:Z,'2021'!D:D,CRUCE!A184,'2021'!AT:AT,CRUCE!B184)</f>
        <v>1987011024.98</v>
      </c>
      <c r="D184" s="11">
        <f>+SUMIFS('2022'!Y:Y,'2022'!D:D,CRUCE!A184,'2022'!AS:AS,CRUCE!B184)</f>
        <v>0</v>
      </c>
      <c r="E184" s="136">
        <f t="shared" si="74"/>
        <v>-1</v>
      </c>
      <c r="F184" s="11">
        <f>+SUMIFS('2023'!Y:Y,'2023'!D:D,CRUCE!A184,'2023'!AS:AS,CRUCE!B184)</f>
        <v>0</v>
      </c>
      <c r="G184" s="136" t="e">
        <f t="shared" si="75"/>
        <v>#DIV/0!</v>
      </c>
      <c r="H184" s="11">
        <f>+SUMIFS('2024'!J:J,'2024'!D:D,CRUCE!A184,'2024'!AT:AT,CRUCE!B184)</f>
        <v>0</v>
      </c>
      <c r="I184" s="7" t="str">
        <f t="shared" si="82"/>
        <v>58Monopolio Licores Producción Nacional 25%1987011024,98</v>
      </c>
      <c r="J184" s="7" t="str">
        <f t="shared" si="83"/>
        <v>58Monopolio Licores Producción Nacional 25%0</v>
      </c>
      <c r="K184" s="7" t="str">
        <f t="shared" si="84"/>
        <v>58Monopolio Licores Producción Nacional 25%0</v>
      </c>
      <c r="L184" s="7" t="str">
        <f t="shared" si="85"/>
        <v>58Monopolio Licores Producción Nacional 25%0</v>
      </c>
      <c r="M184" t="s">
        <v>1906</v>
      </c>
      <c r="N184" s="136" t="e">
        <f t="shared" si="86"/>
        <v>#DIV/0!</v>
      </c>
      <c r="O184" s="136"/>
      <c r="P184" s="20" t="e">
        <f t="shared" si="76"/>
        <v>#DIV/0!</v>
      </c>
      <c r="Q184" s="136">
        <v>0.05</v>
      </c>
      <c r="R184" s="136">
        <v>0.05</v>
      </c>
      <c r="S184" s="20" t="e">
        <f t="shared" si="77"/>
        <v>#DIV/0!</v>
      </c>
      <c r="T184" s="136">
        <v>0.05</v>
      </c>
      <c r="U184" s="136">
        <v>0.05</v>
      </c>
      <c r="V184" s="20" t="e">
        <f t="shared" si="78"/>
        <v>#DIV/0!</v>
      </c>
    </row>
    <row r="185" spans="1:22" hidden="1" x14ac:dyDescent="0.3">
      <c r="A185" s="5">
        <v>58</v>
      </c>
      <c r="B185" s="8" t="s">
        <v>1108</v>
      </c>
      <c r="C185" s="11">
        <f>+SUMIFS('2021'!Z:Z,'2021'!D:D,CRUCE!A185,'2021'!AT:AT,CRUCE!B185)</f>
        <v>0</v>
      </c>
      <c r="D185" s="11">
        <f>+SUMIFS('2022'!Y:Y,'2022'!D:D,CRUCE!A185,'2022'!AS:AS,CRUCE!B185)</f>
        <v>743424627.52999997</v>
      </c>
      <c r="E185" s="136" t="e">
        <f t="shared" si="74"/>
        <v>#DIV/0!</v>
      </c>
      <c r="F185" s="11">
        <f>+SUMIFS('2023'!Y:Y,'2023'!D:D,CRUCE!A185,'2023'!AS:AS,CRUCE!B185)</f>
        <v>721695874</v>
      </c>
      <c r="G185" s="136">
        <f t="shared" si="75"/>
        <v>-2.9227917297000139E-2</v>
      </c>
      <c r="H185" s="11">
        <f>+SUMIFS('2024'!J:J,'2024'!D:D,CRUCE!A185,'2024'!AT:AT,CRUCE!B185)</f>
        <v>0</v>
      </c>
      <c r="I185" s="7" t="str">
        <f t="shared" si="82"/>
        <v>58Participación por el consumo de licores destilados introducidos de producción extranjera recaudado p0</v>
      </c>
      <c r="J185" s="7" t="str">
        <f t="shared" si="83"/>
        <v>58Participación por el consumo de licores destilados introducidos de producción extranjera recaudado p743424627,53</v>
      </c>
      <c r="K185" s="7" t="str">
        <f t="shared" si="84"/>
        <v>58Participación por el consumo de licores destilados introducidos de producción extranjera recaudado p721695874</v>
      </c>
      <c r="L185" s="7" t="str">
        <f t="shared" si="85"/>
        <v>58Participación por el consumo de licores destilados introducidos de producción extranjera recaudado p0</v>
      </c>
      <c r="M185" t="s">
        <v>1906</v>
      </c>
      <c r="N185" s="136" t="e">
        <f t="shared" si="86"/>
        <v>#DIV/0!</v>
      </c>
      <c r="O185" s="136"/>
      <c r="P185" s="20" t="e">
        <f t="shared" si="76"/>
        <v>#DIV/0!</v>
      </c>
      <c r="Q185" s="136">
        <v>0.05</v>
      </c>
      <c r="R185" s="136">
        <v>0.05</v>
      </c>
      <c r="S185" s="20" t="e">
        <f t="shared" si="77"/>
        <v>#DIV/0!</v>
      </c>
      <c r="T185" s="136">
        <v>0.05</v>
      </c>
      <c r="U185" s="136">
        <v>0.05</v>
      </c>
      <c r="V185" s="20" t="e">
        <f t="shared" si="78"/>
        <v>#DIV/0!</v>
      </c>
    </row>
    <row r="186" spans="1:22" hidden="1" x14ac:dyDescent="0.3">
      <c r="A186" s="5">
        <v>58</v>
      </c>
      <c r="B186" s="8" t="s">
        <v>363</v>
      </c>
      <c r="C186" s="11">
        <f>+SUMIFS('2021'!Z:Z,'2021'!D:D,CRUCE!A186,'2021'!AT:AT,CRUCE!B186)</f>
        <v>0</v>
      </c>
      <c r="D186" s="11">
        <f>+SUMIFS('2022'!Y:Y,'2022'!D:D,CRUCE!A186,'2022'!AS:AS,CRUCE!B186)</f>
        <v>2158351445.8099999</v>
      </c>
      <c r="E186" s="136" t="e">
        <f t="shared" si="74"/>
        <v>#DIV/0!</v>
      </c>
      <c r="F186" s="11">
        <f>+SUMIFS('2023'!Y:Y,'2023'!D:D,CRUCE!A186,'2023'!AS:AS,CRUCE!B186)</f>
        <v>2361855892.6399999</v>
      </c>
      <c r="G186" s="136">
        <f t="shared" si="75"/>
        <v>9.4286983347898409E-2</v>
      </c>
      <c r="H186" s="11">
        <f>+SUMIFS('2024'!J:J,'2024'!D:D,CRUCE!A186,'2024'!AT:AT,CRUCE!B186)</f>
        <v>0</v>
      </c>
      <c r="I186" s="7" t="str">
        <f t="shared" si="82"/>
        <v>58Participación por el consumo de licores destilados introducidos de producción nacional0</v>
      </c>
      <c r="J186" s="7" t="str">
        <f t="shared" si="83"/>
        <v>58Participación por el consumo de licores destilados introducidos de producción nacional2158351445,81</v>
      </c>
      <c r="K186" s="7" t="str">
        <f t="shared" si="84"/>
        <v>58Participación por el consumo de licores destilados introducidos de producción nacional2361855892,64</v>
      </c>
      <c r="L186" s="7" t="str">
        <f t="shared" si="85"/>
        <v>58Participación por el consumo de licores destilados introducidos de producción nacional0</v>
      </c>
      <c r="M186" t="s">
        <v>1906</v>
      </c>
      <c r="N186" s="136" t="e">
        <f t="shared" si="86"/>
        <v>#DIV/0!</v>
      </c>
      <c r="O186" s="136"/>
      <c r="P186" s="20" t="e">
        <f t="shared" si="76"/>
        <v>#DIV/0!</v>
      </c>
      <c r="Q186" s="136">
        <v>0.05</v>
      </c>
      <c r="R186" s="136">
        <v>0.05</v>
      </c>
      <c r="S186" s="20" t="e">
        <f t="shared" si="77"/>
        <v>#DIV/0!</v>
      </c>
      <c r="T186" s="136">
        <v>0.05</v>
      </c>
      <c r="U186" s="136">
        <v>0.05</v>
      </c>
      <c r="V186" s="20" t="e">
        <f t="shared" si="78"/>
        <v>#DIV/0!</v>
      </c>
    </row>
    <row r="187" spans="1:22" hidden="1" x14ac:dyDescent="0.3">
      <c r="A187" s="5">
        <v>58</v>
      </c>
      <c r="B187" s="8" t="s">
        <v>1114</v>
      </c>
      <c r="C187" s="11">
        <f>+SUMIFS('2021'!Z:Z,'2021'!D:D,CRUCE!A187,'2021'!AT:AT,CRUCE!B187)</f>
        <v>0</v>
      </c>
      <c r="D187" s="11">
        <f>+SUMIFS('2022'!Y:Y,'2022'!D:D,CRUCE!A187,'2022'!AS:AS,CRUCE!B187)</f>
        <v>1804212.5</v>
      </c>
      <c r="E187" s="136" t="e">
        <f t="shared" si="74"/>
        <v>#DIV/0!</v>
      </c>
      <c r="F187" s="11">
        <f>+SUMIFS('2023'!Y:Y,'2023'!D:D,CRUCE!A187,'2023'!AS:AS,CRUCE!B187)</f>
        <v>1263168</v>
      </c>
      <c r="G187" s="136">
        <f t="shared" si="75"/>
        <v>-0.29987847883772006</v>
      </c>
      <c r="H187" s="11">
        <f>+SUMIFS('2024'!J:J,'2024'!D:D,CRUCE!A187,'2024'!AT:AT,CRUCE!B187)</f>
        <v>0</v>
      </c>
      <c r="I187" s="7" t="str">
        <f t="shared" si="82"/>
        <v>58Participación por la utilización de alcohol potable producido0</v>
      </c>
      <c r="J187" s="7" t="str">
        <f t="shared" si="83"/>
        <v>58Participación por la utilización de alcohol potable producido1804212,5</v>
      </c>
      <c r="K187" s="7" t="str">
        <f t="shared" si="84"/>
        <v>58Participación por la utilización de alcohol potable producido1263168</v>
      </c>
      <c r="L187" s="7" t="str">
        <f t="shared" si="85"/>
        <v>58Participación por la utilización de alcohol potable producido0</v>
      </c>
      <c r="M187" t="s">
        <v>1906</v>
      </c>
      <c r="N187" s="136" t="e">
        <f t="shared" si="86"/>
        <v>#DIV/0!</v>
      </c>
      <c r="O187" s="136"/>
      <c r="P187" s="20" t="e">
        <f t="shared" si="76"/>
        <v>#DIV/0!</v>
      </c>
      <c r="Q187" s="136">
        <v>0.05</v>
      </c>
      <c r="R187" s="136">
        <v>0.05</v>
      </c>
      <c r="S187" s="20" t="e">
        <f t="shared" si="77"/>
        <v>#DIV/0!</v>
      </c>
      <c r="T187" s="136">
        <v>0.05</v>
      </c>
      <c r="U187" s="136">
        <v>0.05</v>
      </c>
      <c r="V187" s="20" t="e">
        <f t="shared" si="78"/>
        <v>#DIV/0!</v>
      </c>
    </row>
    <row r="188" spans="1:22" hidden="1" x14ac:dyDescent="0.3">
      <c r="A188" s="5">
        <v>59</v>
      </c>
      <c r="B188" s="8" t="s">
        <v>1282</v>
      </c>
      <c r="C188" s="11">
        <f>+SUMIFS('2021'!Z:Z,'2021'!D:D,CRUCE!A188,'2021'!AT:AT,CRUCE!B188)</f>
        <v>1889.57</v>
      </c>
      <c r="D188" s="11">
        <f>+SUMIFS('2022'!Y:Y,'2022'!D:D,CRUCE!A188,'2022'!AS:AS,CRUCE!B188)</f>
        <v>0</v>
      </c>
      <c r="E188" s="136">
        <f t="shared" si="74"/>
        <v>-1</v>
      </c>
      <c r="F188" s="11">
        <f>+SUMIFS('2023'!Y:Y,'2023'!D:D,CRUCE!A188,'2023'!AS:AS,CRUCE!B188)</f>
        <v>0</v>
      </c>
      <c r="G188" s="136" t="e">
        <f t="shared" si="75"/>
        <v>#DIV/0!</v>
      </c>
      <c r="H188" s="11">
        <f>+SUMIFS('2024'!J:J,'2024'!D:D,CRUCE!A188,'2024'!AT:AT,CRUCE!B188)</f>
        <v>0</v>
      </c>
      <c r="I188" s="7" t="str">
        <f t="shared" si="82"/>
        <v>59Depósitos Rentas Cedidas1889,57</v>
      </c>
      <c r="J188" s="7" t="str">
        <f t="shared" si="83"/>
        <v>59Depósitos Rentas Cedidas0</v>
      </c>
      <c r="K188" s="7" t="str">
        <f t="shared" si="84"/>
        <v>59Depósitos Rentas Cedidas0</v>
      </c>
      <c r="L188" s="7" t="str">
        <f t="shared" si="85"/>
        <v>59Depósitos Rentas Cedidas0</v>
      </c>
      <c r="M188" t="s">
        <v>1906</v>
      </c>
      <c r="N188" s="136" t="e">
        <f t="shared" si="86"/>
        <v>#DIV/0!</v>
      </c>
      <c r="O188" s="136"/>
      <c r="P188" s="20">
        <f t="shared" ref="P188:P189" si="99">+H188*1.02</f>
        <v>0</v>
      </c>
      <c r="Q188" s="136">
        <v>0.05</v>
      </c>
      <c r="R188" s="136">
        <v>0.05</v>
      </c>
      <c r="S188" s="20">
        <f t="shared" ref="S188:S189" si="100">+P188*1.02</f>
        <v>0</v>
      </c>
      <c r="T188" s="136">
        <v>0.05</v>
      </c>
      <c r="U188" s="136">
        <v>0.05</v>
      </c>
      <c r="V188" s="20">
        <f t="shared" ref="V188:V189" si="101">+S188*1.02</f>
        <v>0</v>
      </c>
    </row>
    <row r="189" spans="1:22" x14ac:dyDescent="0.3">
      <c r="A189" s="5">
        <v>61</v>
      </c>
      <c r="B189" s="8" t="s">
        <v>1287</v>
      </c>
      <c r="C189" s="11">
        <f>+SUMIFS('2021'!Z:Z,'2021'!D:D,CRUCE!A189,'2021'!AT:AT,CRUCE!B189)</f>
        <v>0</v>
      </c>
      <c r="D189" s="11">
        <f>+SUMIFS('2022'!Y:Y,'2022'!D:D,CRUCE!A189,'2022'!AS:AS,CRUCE!B189)</f>
        <v>92203127.599999994</v>
      </c>
      <c r="E189" s="136" t="e">
        <f t="shared" si="74"/>
        <v>#DIV/0!</v>
      </c>
      <c r="F189" s="11">
        <f>+SUMIFS('2023'!Y:Y,'2023'!D:D,CRUCE!A189,'2023'!AS:AS,CRUCE!B189)</f>
        <v>165342460.18000001</v>
      </c>
      <c r="G189" s="136">
        <f t="shared" si="75"/>
        <v>0.79324134098028165</v>
      </c>
      <c r="H189" s="11">
        <f>+SUMIFS('2024'!J:J,'2024'!D:D,CRUCE!A189,'2024'!AT:AT,CRUCE!B189)</f>
        <v>3000000</v>
      </c>
      <c r="I189" s="7" t="str">
        <f t="shared" si="82"/>
        <v>61Depósitos Salud Púbica0</v>
      </c>
      <c r="J189" s="7" t="str">
        <f t="shared" si="83"/>
        <v>61Depósitos Salud Púbica92203127,6</v>
      </c>
      <c r="K189" s="7" t="str">
        <f t="shared" si="84"/>
        <v>61Depósitos Salud Púbica165342460,18</v>
      </c>
      <c r="L189" s="7" t="str">
        <f t="shared" si="85"/>
        <v>61Depósitos Salud Púbica3000000</v>
      </c>
      <c r="M189" t="s">
        <v>1906</v>
      </c>
      <c r="N189" s="136">
        <v>0.02</v>
      </c>
      <c r="O189" s="136"/>
      <c r="P189" s="20">
        <f t="shared" si="99"/>
        <v>3060000</v>
      </c>
      <c r="Q189" s="136">
        <f t="shared" ref="Q189:Q193" si="102">+N189</f>
        <v>0.02</v>
      </c>
      <c r="R189" s="136">
        <f t="shared" ref="R189:R193" si="103">+Q189</f>
        <v>0.02</v>
      </c>
      <c r="S189" s="20">
        <f t="shared" si="100"/>
        <v>3121200</v>
      </c>
      <c r="T189" s="136">
        <v>0.05</v>
      </c>
      <c r="U189" s="136">
        <f t="shared" ref="U189:U193" si="104">+R189</f>
        <v>0.02</v>
      </c>
      <c r="V189" s="20">
        <f t="shared" si="101"/>
        <v>3183624</v>
      </c>
    </row>
    <row r="190" spans="1:22" x14ac:dyDescent="0.3">
      <c r="A190" s="5">
        <v>61</v>
      </c>
      <c r="B190" s="8" t="s">
        <v>726</v>
      </c>
      <c r="C190" s="11">
        <f>+SUMIFS('2021'!Z:Z,'2021'!D:D,CRUCE!A190,'2021'!AT:AT,CRUCE!B190)</f>
        <v>4277765409.9400001</v>
      </c>
      <c r="D190" s="11">
        <f>+SUMIFS('2022'!Y:Y,'2022'!D:D,CRUCE!A190,'2022'!AS:AS,CRUCE!B190)</f>
        <v>4619672480</v>
      </c>
      <c r="E190" s="136">
        <f t="shared" si="74"/>
        <v>7.9926559148271653E-2</v>
      </c>
      <c r="F190" s="11">
        <f>+SUMIFS('2023'!Y:Y,'2023'!D:D,CRUCE!A190,'2023'!AS:AS,CRUCE!B190)</f>
        <v>4833048704</v>
      </c>
      <c r="G190" s="136">
        <f t="shared" si="75"/>
        <v>4.6188604262265794E-2</v>
      </c>
      <c r="H190" s="11">
        <f>+SUMIFS('2024'!J:J,'2024'!D:D,CRUCE!A190,'2024'!AT:AT,CRUCE!B190)</f>
        <v>5409655000</v>
      </c>
      <c r="I190" s="7" t="str">
        <f t="shared" si="82"/>
        <v>61Salud pública4277765409,94</v>
      </c>
      <c r="J190" s="7" t="str">
        <f t="shared" si="83"/>
        <v>61Salud pública4619672480</v>
      </c>
      <c r="K190" s="7" t="str">
        <f t="shared" si="84"/>
        <v>61Salud pública4833048704</v>
      </c>
      <c r="L190" s="7" t="str">
        <f t="shared" si="85"/>
        <v>61Salud pública5409655000</v>
      </c>
      <c r="M190" t="s">
        <v>1906</v>
      </c>
      <c r="N190" s="136">
        <v>0.05</v>
      </c>
      <c r="O190" s="136"/>
      <c r="P190" s="20">
        <f t="shared" si="76"/>
        <v>5680137750</v>
      </c>
      <c r="Q190" s="136">
        <f t="shared" si="102"/>
        <v>0.05</v>
      </c>
      <c r="R190" s="136">
        <f t="shared" si="103"/>
        <v>0.05</v>
      </c>
      <c r="S190" s="20">
        <f t="shared" si="77"/>
        <v>5964144637.5</v>
      </c>
      <c r="T190" s="136">
        <v>0.05</v>
      </c>
      <c r="U190" s="136">
        <f t="shared" si="104"/>
        <v>0.05</v>
      </c>
      <c r="V190" s="20">
        <f t="shared" si="78"/>
        <v>6262351869.375</v>
      </c>
    </row>
    <row r="191" spans="1:22" x14ac:dyDescent="0.3">
      <c r="A191" s="5">
        <v>63</v>
      </c>
      <c r="B191" s="8" t="s">
        <v>1280</v>
      </c>
      <c r="C191" s="11">
        <f>+SUMIFS('2021'!Z:Z,'2021'!D:D,CRUCE!A191,'2021'!AT:AT,CRUCE!B191)</f>
        <v>942927.96</v>
      </c>
      <c r="D191" s="11">
        <f>+SUMIFS('2022'!Y:Y,'2022'!D:D,CRUCE!A191,'2022'!AS:AS,CRUCE!B191)</f>
        <v>1107493.71</v>
      </c>
      <c r="E191" s="136">
        <f t="shared" si="74"/>
        <v>0.17452632330469869</v>
      </c>
      <c r="F191" s="11">
        <f>+SUMIFS('2023'!Y:Y,'2023'!D:D,CRUCE!A191,'2023'!AS:AS,CRUCE!B191)</f>
        <v>998499.95</v>
      </c>
      <c r="G191" s="136">
        <f t="shared" si="75"/>
        <v>-9.8414789190992349E-2</v>
      </c>
      <c r="H191" s="11">
        <f>+SUMIFS('2024'!J:J,'2024'!D:D,CRUCE!A191,'2024'!AT:AT,CRUCE!B191)</f>
        <v>1000000</v>
      </c>
      <c r="I191" s="7" t="str">
        <f t="shared" si="82"/>
        <v>63Depósitos Fondo de Estupefacientes942927,96</v>
      </c>
      <c r="J191" s="7" t="str">
        <f t="shared" si="83"/>
        <v>63Depósitos Fondo de Estupefacientes1107493,71</v>
      </c>
      <c r="K191" s="7" t="str">
        <f t="shared" si="84"/>
        <v>63Depósitos Fondo de Estupefacientes998499,95</v>
      </c>
      <c r="L191" s="7" t="str">
        <f t="shared" si="85"/>
        <v>63Depósitos Fondo de Estupefacientes1000000</v>
      </c>
      <c r="M191" t="s">
        <v>1906</v>
      </c>
      <c r="N191" s="136">
        <v>0.02</v>
      </c>
      <c r="O191" s="136"/>
      <c r="P191" s="20">
        <f>+H191*1.02</f>
        <v>1020000</v>
      </c>
      <c r="Q191" s="136">
        <f t="shared" si="102"/>
        <v>0.02</v>
      </c>
      <c r="R191" s="136">
        <f t="shared" si="103"/>
        <v>0.02</v>
      </c>
      <c r="S191" s="20">
        <f>+P191*1.02</f>
        <v>1040400</v>
      </c>
      <c r="T191" s="136">
        <v>0.05</v>
      </c>
      <c r="U191" s="136">
        <f t="shared" si="104"/>
        <v>0.02</v>
      </c>
      <c r="V191" s="20">
        <f>+S191*1.02</f>
        <v>1061208</v>
      </c>
    </row>
    <row r="192" spans="1:22" x14ac:dyDescent="0.3">
      <c r="A192" s="5">
        <v>63</v>
      </c>
      <c r="B192" s="8" t="s">
        <v>715</v>
      </c>
      <c r="C192" s="11">
        <f>+SUMIFS('2021'!Z:Z,'2021'!D:D,CRUCE!A192,'2021'!AT:AT,CRUCE!B192)</f>
        <v>27179100</v>
      </c>
      <c r="D192" s="11">
        <f>+SUMIFS('2022'!Y:Y,'2022'!D:D,CRUCE!A192,'2022'!AS:AS,CRUCE!B192)</f>
        <v>28974000</v>
      </c>
      <c r="E192" s="136">
        <f t="shared" si="74"/>
        <v>6.6039714339326913E-2</v>
      </c>
      <c r="F192" s="11">
        <f>+SUMIFS('2023'!Y:Y,'2023'!D:D,CRUCE!A192,'2023'!AS:AS,CRUCE!B192)</f>
        <v>32175000</v>
      </c>
      <c r="G192" s="136">
        <f t="shared" si="75"/>
        <v>0.11047835990888383</v>
      </c>
      <c r="H192" s="11">
        <f>+SUMIFS('2024'!J:J,'2024'!D:D,CRUCE!A192,'2024'!AT:AT,CRUCE!B192)</f>
        <v>23970000</v>
      </c>
      <c r="I192" s="7" t="str">
        <f t="shared" si="82"/>
        <v>63Fondo De Estupefacientes Venta De Recetarios27179100</v>
      </c>
      <c r="J192" s="7" t="str">
        <f t="shared" si="83"/>
        <v>63Fondo De Estupefacientes Venta De Recetarios28974000</v>
      </c>
      <c r="K192" s="7" t="str">
        <f t="shared" si="84"/>
        <v>63Fondo De Estupefacientes Venta De Recetarios32175000</v>
      </c>
      <c r="L192" s="7" t="str">
        <f t="shared" si="85"/>
        <v>63Fondo De Estupefacientes Venta De Recetarios23970000</v>
      </c>
      <c r="M192" t="s">
        <v>1906</v>
      </c>
      <c r="N192" s="136">
        <v>0.05</v>
      </c>
      <c r="O192" s="136"/>
      <c r="P192" s="20">
        <f t="shared" si="76"/>
        <v>25168500</v>
      </c>
      <c r="Q192" s="136">
        <f t="shared" si="102"/>
        <v>0.05</v>
      </c>
      <c r="R192" s="136">
        <f t="shared" si="103"/>
        <v>0.05</v>
      </c>
      <c r="S192" s="20">
        <f t="shared" si="77"/>
        <v>26426925</v>
      </c>
      <c r="T192" s="136">
        <v>0.05</v>
      </c>
      <c r="U192" s="136">
        <f t="shared" si="104"/>
        <v>0.05</v>
      </c>
      <c r="V192" s="20">
        <f t="shared" si="78"/>
        <v>27748271.25</v>
      </c>
    </row>
    <row r="193" spans="1:22" x14ac:dyDescent="0.3">
      <c r="A193" s="5">
        <v>63</v>
      </c>
      <c r="B193" s="8" t="s">
        <v>718</v>
      </c>
      <c r="C193" s="11">
        <f>+SUMIFS('2021'!Z:Z,'2021'!D:D,CRUCE!A193,'2021'!AT:AT,CRUCE!B193)</f>
        <v>2727000</v>
      </c>
      <c r="D193" s="11">
        <f>+SUMIFS('2022'!Y:Y,'2022'!D:D,CRUCE!A193,'2022'!AS:AS,CRUCE!B193)</f>
        <v>2401200</v>
      </c>
      <c r="E193" s="136">
        <f t="shared" si="74"/>
        <v>-0.11947194719471947</v>
      </c>
      <c r="F193" s="11">
        <f>+SUMIFS('2023'!Y:Y,'2023'!D:D,CRUCE!A193,'2023'!AS:AS,CRUCE!B193)</f>
        <v>5467000</v>
      </c>
      <c r="G193" s="136">
        <f t="shared" si="75"/>
        <v>1.2767782775279026</v>
      </c>
      <c r="H193" s="11">
        <f>+SUMIFS('2024'!J:J,'2024'!D:D,CRUCE!A193,'2024'!AT:AT,CRUCE!B193)</f>
        <v>4080000</v>
      </c>
      <c r="I193" s="7" t="str">
        <f t="shared" si="82"/>
        <v>63Fondo Rotatorio De Estupefacientes Resoluciones Manejo De Medicamentos2727000</v>
      </c>
      <c r="J193" s="7" t="str">
        <f t="shared" si="83"/>
        <v>63Fondo Rotatorio De Estupefacientes Resoluciones Manejo De Medicamentos2401200</v>
      </c>
      <c r="K193" s="7" t="str">
        <f t="shared" si="84"/>
        <v>63Fondo Rotatorio De Estupefacientes Resoluciones Manejo De Medicamentos5467000</v>
      </c>
      <c r="L193" s="7" t="str">
        <f t="shared" si="85"/>
        <v>63Fondo Rotatorio De Estupefacientes Resoluciones Manejo De Medicamentos4080000</v>
      </c>
      <c r="M193" t="s">
        <v>1906</v>
      </c>
      <c r="N193" s="136">
        <v>0.05</v>
      </c>
      <c r="O193" s="136"/>
      <c r="P193" s="20">
        <f t="shared" si="76"/>
        <v>4284000</v>
      </c>
      <c r="Q193" s="136">
        <f t="shared" si="102"/>
        <v>0.05</v>
      </c>
      <c r="R193" s="136">
        <f t="shared" si="103"/>
        <v>0.05</v>
      </c>
      <c r="S193" s="20">
        <f t="shared" si="77"/>
        <v>4498200</v>
      </c>
      <c r="T193" s="136">
        <v>0.05</v>
      </c>
      <c r="U193" s="136">
        <f t="shared" si="104"/>
        <v>0.05</v>
      </c>
      <c r="V193" s="20">
        <f t="shared" si="78"/>
        <v>4723110</v>
      </c>
    </row>
    <row r="194" spans="1:22" hidden="1" x14ac:dyDescent="0.3">
      <c r="A194" s="5">
        <v>63</v>
      </c>
      <c r="B194" s="8" t="s">
        <v>1208</v>
      </c>
      <c r="C194" s="11">
        <f>+SUMIFS('2021'!Z:Z,'2021'!D:D,CRUCE!A194,'2021'!AT:AT,CRUCE!B194)</f>
        <v>0</v>
      </c>
      <c r="D194" s="11">
        <f>+SUMIFS('2022'!Y:Y,'2022'!D:D,CRUCE!A194,'2022'!AS:AS,CRUCE!B194)</f>
        <v>0</v>
      </c>
      <c r="E194" s="136" t="e">
        <f t="shared" si="74"/>
        <v>#DIV/0!</v>
      </c>
      <c r="F194" s="11">
        <f>+SUMIFS('2023'!Y:Y,'2023'!D:D,CRUCE!A194,'2023'!AS:AS,CRUCE!B194)</f>
        <v>0</v>
      </c>
      <c r="G194" s="136" t="e">
        <f t="shared" si="75"/>
        <v>#DIV/0!</v>
      </c>
      <c r="H194" s="11">
        <f>+SUMIFS('2024'!J:J,'2024'!D:D,CRUCE!A194,'2024'!AT:AT,CRUCE!B194)</f>
        <v>0</v>
      </c>
      <c r="I194" s="7" t="str">
        <f t="shared" si="82"/>
        <v>63Recursos no apropiados0</v>
      </c>
      <c r="J194" s="7" t="str">
        <f t="shared" si="83"/>
        <v>63Recursos no apropiados0</v>
      </c>
      <c r="K194" s="7" t="str">
        <f t="shared" si="84"/>
        <v>63Recursos no apropiados0</v>
      </c>
      <c r="L194" s="7" t="str">
        <f t="shared" si="85"/>
        <v>63Recursos no apropiados0</v>
      </c>
      <c r="M194" t="s">
        <v>1906</v>
      </c>
      <c r="N194" s="136" t="e">
        <f t="shared" si="86"/>
        <v>#DIV/0!</v>
      </c>
      <c r="O194" s="136"/>
      <c r="P194" s="20" t="e">
        <f t="shared" si="76"/>
        <v>#DIV/0!</v>
      </c>
      <c r="Q194" s="136">
        <v>0.05</v>
      </c>
      <c r="R194" s="136">
        <v>0.05</v>
      </c>
      <c r="S194" s="20" t="e">
        <f t="shared" si="77"/>
        <v>#DIV/0!</v>
      </c>
      <c r="T194" s="136">
        <v>0.05</v>
      </c>
      <c r="U194" s="136">
        <v>0.05</v>
      </c>
      <c r="V194" s="20" t="e">
        <f t="shared" si="78"/>
        <v>#DIV/0!</v>
      </c>
    </row>
    <row r="195" spans="1:22" hidden="1" x14ac:dyDescent="0.3">
      <c r="A195" s="5">
        <v>63</v>
      </c>
      <c r="B195" s="8" t="s">
        <v>459</v>
      </c>
      <c r="C195" s="11">
        <f>+SUMIFS('2021'!Z:Z,'2021'!D:D,CRUCE!A195,'2021'!AT:AT,CRUCE!B195)</f>
        <v>0</v>
      </c>
      <c r="D195" s="11">
        <f>+SUMIFS('2022'!Y:Y,'2022'!D:D,CRUCE!A195,'2022'!AS:AS,CRUCE!B195)</f>
        <v>0</v>
      </c>
      <c r="E195" s="136" t="e">
        <f t="shared" si="74"/>
        <v>#DIV/0!</v>
      </c>
      <c r="F195" s="11">
        <f>+SUMIFS('2023'!Y:Y,'2023'!D:D,CRUCE!A195,'2023'!AS:AS,CRUCE!B195)</f>
        <v>0</v>
      </c>
      <c r="G195" s="136" t="e">
        <f t="shared" si="75"/>
        <v>#DIV/0!</v>
      </c>
      <c r="H195" s="11">
        <f>+SUMIFS('2024'!J:J,'2024'!D:D,CRUCE!A195,'2024'!AT:AT,CRUCE!B195)</f>
        <v>0</v>
      </c>
      <c r="I195" s="7" t="str">
        <f t="shared" si="82"/>
        <v>63Reintegros0</v>
      </c>
      <c r="J195" s="7" t="str">
        <f t="shared" si="83"/>
        <v>63Reintegros0</v>
      </c>
      <c r="K195" s="7" t="str">
        <f t="shared" si="84"/>
        <v>63Reintegros0</v>
      </c>
      <c r="L195" s="7" t="str">
        <f t="shared" si="85"/>
        <v>63Reintegros0</v>
      </c>
      <c r="M195" t="s">
        <v>1906</v>
      </c>
      <c r="N195" s="136" t="e">
        <f t="shared" si="86"/>
        <v>#DIV/0!</v>
      </c>
      <c r="O195" s="136"/>
      <c r="P195" s="20" t="e">
        <f t="shared" si="76"/>
        <v>#DIV/0!</v>
      </c>
      <c r="Q195" s="136">
        <v>0.05</v>
      </c>
      <c r="R195" s="136">
        <v>0.05</v>
      </c>
      <c r="S195" s="20" t="e">
        <f t="shared" si="77"/>
        <v>#DIV/0!</v>
      </c>
      <c r="T195" s="136">
        <v>0.05</v>
      </c>
      <c r="U195" s="136">
        <v>0.05</v>
      </c>
      <c r="V195" s="20" t="e">
        <f t="shared" si="78"/>
        <v>#DIV/0!</v>
      </c>
    </row>
    <row r="196" spans="1:22" x14ac:dyDescent="0.3">
      <c r="A196" s="5">
        <v>63</v>
      </c>
      <c r="B196" s="8" t="s">
        <v>226</v>
      </c>
      <c r="C196" s="11">
        <f>+SUMIFS('2021'!Z:Z,'2021'!D:D,CRUCE!A196,'2021'!AT:AT,CRUCE!B196)</f>
        <v>0</v>
      </c>
      <c r="D196" s="11">
        <f>+SUMIFS('2022'!Y:Y,'2022'!D:D,CRUCE!A196,'2022'!AS:AS,CRUCE!B196)</f>
        <v>0</v>
      </c>
      <c r="E196" s="136" t="e">
        <f t="shared" ref="E196:E259" si="105">+(D196-C196)/C196</f>
        <v>#DIV/0!</v>
      </c>
      <c r="F196" s="11">
        <f>+SUMIFS('2023'!Y:Y,'2023'!D:D,CRUCE!A196,'2023'!AS:AS,CRUCE!B196)</f>
        <v>0</v>
      </c>
      <c r="G196" s="136" t="e">
        <f t="shared" ref="G196:G259" si="106">+(F196-D196)/D196</f>
        <v>#DIV/0!</v>
      </c>
      <c r="H196" s="11">
        <f>+SUMIFS('2024'!J:J,'2024'!D:D,CRUCE!A196,'2024'!AT:AT,CRUCE!B196)</f>
        <v>271950000</v>
      </c>
      <c r="I196" s="7" t="str">
        <f t="shared" si="82"/>
        <v>63Servicios para la comunidad, sociales y personales0</v>
      </c>
      <c r="J196" s="7" t="str">
        <f t="shared" si="83"/>
        <v>63Servicios para la comunidad, sociales y personales0</v>
      </c>
      <c r="K196" s="7" t="str">
        <f t="shared" si="84"/>
        <v>63Servicios para la comunidad, sociales y personales0</v>
      </c>
      <c r="L196" s="7" t="str">
        <f t="shared" si="85"/>
        <v>63Servicios para la comunidad, sociales y personales271950000</v>
      </c>
      <c r="M196" t="s">
        <v>1906</v>
      </c>
      <c r="N196" s="136">
        <v>0.05</v>
      </c>
      <c r="O196" s="136"/>
      <c r="P196" s="20">
        <f t="shared" ref="P196:P259" si="107">+H196+(H196*N196)</f>
        <v>285547500</v>
      </c>
      <c r="Q196" s="136">
        <f>+N196</f>
        <v>0.05</v>
      </c>
      <c r="R196" s="136">
        <f>+Q196</f>
        <v>0.05</v>
      </c>
      <c r="S196" s="20">
        <f t="shared" ref="S196:S259" si="108">+P196+(P196*R196)</f>
        <v>299824875</v>
      </c>
      <c r="T196" s="136">
        <v>0.05</v>
      </c>
      <c r="U196" s="136">
        <f>+R196</f>
        <v>0.05</v>
      </c>
      <c r="V196" s="20">
        <f t="shared" ref="V196:V259" si="109">+S196+(S196*U196)</f>
        <v>314816118.75</v>
      </c>
    </row>
    <row r="197" spans="1:22" hidden="1" x14ac:dyDescent="0.3">
      <c r="A197" s="5">
        <v>63</v>
      </c>
      <c r="B197" s="8" t="s">
        <v>720</v>
      </c>
      <c r="C197" s="11">
        <f>+SUMIFS('2021'!Z:Z,'2021'!D:D,CRUCE!A197,'2021'!AT:AT,CRUCE!B197)</f>
        <v>841537843.11000001</v>
      </c>
      <c r="D197" s="11">
        <f>+SUMIFS('2022'!Y:Y,'2022'!D:D,CRUCE!A197,'2022'!AS:AS,CRUCE!B197)</f>
        <v>353900917.66000003</v>
      </c>
      <c r="E197" s="136">
        <f t="shared" si="105"/>
        <v>-0.57945929519685246</v>
      </c>
      <c r="F197" s="11">
        <f>+SUMIFS('2023'!Y:Y,'2023'!D:D,CRUCE!A197,'2023'!AS:AS,CRUCE!B197)</f>
        <v>407374178.60000002</v>
      </c>
      <c r="G197" s="136">
        <f t="shared" si="106"/>
        <v>0.15109670043685186</v>
      </c>
      <c r="H197" s="11">
        <f>+SUMIFS('2024'!J:J,'2024'!D:D,CRUCE!A197,'2024'!AT:AT,CRUCE!B197)</f>
        <v>0</v>
      </c>
      <c r="I197" s="7" t="str">
        <f t="shared" si="82"/>
        <v>63Venta de Medicamentos841537843,11</v>
      </c>
      <c r="J197" s="7" t="str">
        <f t="shared" si="83"/>
        <v>63Venta de Medicamentos353900917,66</v>
      </c>
      <c r="K197" s="7" t="str">
        <f t="shared" si="84"/>
        <v>63Venta de Medicamentos407374178,6</v>
      </c>
      <c r="L197" s="7" t="str">
        <f t="shared" si="85"/>
        <v>63Venta de Medicamentos0</v>
      </c>
      <c r="M197" t="s">
        <v>1906</v>
      </c>
      <c r="N197" s="136">
        <f t="shared" si="86"/>
        <v>-0.2141812973800003</v>
      </c>
      <c r="O197" s="136"/>
      <c r="P197" s="20">
        <f t="shared" si="107"/>
        <v>0</v>
      </c>
      <c r="Q197" s="136">
        <v>0.05</v>
      </c>
      <c r="R197" s="136">
        <v>0.05</v>
      </c>
      <c r="S197" s="20">
        <f t="shared" si="108"/>
        <v>0</v>
      </c>
      <c r="T197" s="136">
        <v>0.05</v>
      </c>
      <c r="U197" s="136">
        <v>0.05</v>
      </c>
      <c r="V197" s="20">
        <f t="shared" si="109"/>
        <v>0</v>
      </c>
    </row>
    <row r="198" spans="1:22" hidden="1" x14ac:dyDescent="0.3">
      <c r="A198" s="5">
        <v>65</v>
      </c>
      <c r="B198" s="8" t="s">
        <v>1298</v>
      </c>
      <c r="C198" s="11">
        <f>+SUMIFS('2021'!Z:Z,'2021'!D:D,CRUCE!A198,'2021'!AT:AT,CRUCE!B198)</f>
        <v>104386.39</v>
      </c>
      <c r="D198" s="11">
        <f>+SUMIFS('2022'!Y:Y,'2022'!D:D,CRUCE!A198,'2022'!AS:AS,CRUCE!B198)</f>
        <v>2040377.8</v>
      </c>
      <c r="E198" s="136">
        <f t="shared" si="105"/>
        <v>18.54639680517738</v>
      </c>
      <c r="F198" s="11">
        <f>+SUMIFS('2023'!Y:Y,'2023'!D:D,CRUCE!A198,'2023'!AS:AS,CRUCE!B198)</f>
        <v>6420920.21</v>
      </c>
      <c r="G198" s="136">
        <f t="shared" si="106"/>
        <v>2.1469271083031778</v>
      </c>
      <c r="H198" s="11">
        <f>+SUMIFS('2024'!J:J,'2024'!D:D,CRUCE!A198,'2024'!AT:AT,CRUCE!B198)</f>
        <v>0</v>
      </c>
      <c r="I198" s="7" t="str">
        <f t="shared" si="82"/>
        <v>65Depositos Aportes de la Nacion104386,39</v>
      </c>
      <c r="J198" s="7" t="str">
        <f t="shared" si="83"/>
        <v>65Depositos Aportes de la Nacion2040377,8</v>
      </c>
      <c r="K198" s="7" t="str">
        <f t="shared" si="84"/>
        <v>65Depositos Aportes de la Nacion6420920,21</v>
      </c>
      <c r="L198" s="7" t="str">
        <f t="shared" si="85"/>
        <v>65Depositos Aportes de la Nacion0</v>
      </c>
      <c r="M198" t="s">
        <v>1906</v>
      </c>
      <c r="N198" s="136">
        <f t="shared" si="86"/>
        <v>10.346661956740279</v>
      </c>
      <c r="O198" s="136"/>
      <c r="P198" s="20">
        <f t="shared" si="107"/>
        <v>0</v>
      </c>
      <c r="Q198" s="136">
        <v>0.05</v>
      </c>
      <c r="R198" s="136">
        <v>0.05</v>
      </c>
      <c r="S198" s="20">
        <f t="shared" si="108"/>
        <v>0</v>
      </c>
      <c r="T198" s="136">
        <v>0.05</v>
      </c>
      <c r="U198" s="136">
        <v>0.05</v>
      </c>
      <c r="V198" s="20">
        <f t="shared" si="109"/>
        <v>0</v>
      </c>
    </row>
    <row r="199" spans="1:22" hidden="1" x14ac:dyDescent="0.3">
      <c r="A199" s="5">
        <v>70</v>
      </c>
      <c r="B199" s="8" t="s">
        <v>969</v>
      </c>
      <c r="C199" s="11">
        <f>+SUMIFS('2021'!Z:Z,'2021'!D:D,CRUCE!A199,'2021'!AT:AT,CRUCE!B199)</f>
        <v>19080955</v>
      </c>
      <c r="D199" s="11">
        <f>+SUMIFS('2022'!Y:Y,'2022'!D:D,CRUCE!A199,'2022'!AS:AS,CRUCE!B199)</f>
        <v>10480000</v>
      </c>
      <c r="E199" s="136">
        <f t="shared" si="105"/>
        <v>-0.4507612433444762</v>
      </c>
      <c r="F199" s="11">
        <f>+SUMIFS('2023'!Y:Y,'2023'!D:D,CRUCE!A199,'2023'!AS:AS,CRUCE!B199)</f>
        <v>0</v>
      </c>
      <c r="G199" s="136">
        <f t="shared" si="106"/>
        <v>-1</v>
      </c>
      <c r="H199" s="11">
        <f>+SUMIFS('2024'!J:J,'2024'!D:D,CRUCE!A199,'2024'!AT:AT,CRUCE!B199)</f>
        <v>0</v>
      </c>
      <c r="I199" s="7" t="str">
        <f t="shared" si="82"/>
        <v>70Aplicación de Procesos Innovadores en la Cadena de Suministros para la Industria de la Guadua en el 19080955</v>
      </c>
      <c r="J199" s="7" t="str">
        <f t="shared" si="83"/>
        <v>70Aplicación de Procesos Innovadores en la Cadena de Suministros para la Industria de la Guadua en el 10480000</v>
      </c>
      <c r="K199" s="7" t="str">
        <f t="shared" si="84"/>
        <v>70Aplicación de Procesos Innovadores en la Cadena de Suministros para la Industria de la Guadua en el 0</v>
      </c>
      <c r="L199" s="7" t="str">
        <f t="shared" si="85"/>
        <v>70Aplicación de Procesos Innovadores en la Cadena de Suministros para la Industria de la Guadua en el 0</v>
      </c>
      <c r="M199" t="s">
        <v>1906</v>
      </c>
      <c r="N199" s="136">
        <f t="shared" si="86"/>
        <v>-0.72538062167223805</v>
      </c>
      <c r="O199" s="136"/>
      <c r="P199" s="20">
        <f t="shared" si="107"/>
        <v>0</v>
      </c>
      <c r="Q199" s="136">
        <v>9.2692111399510363E-2</v>
      </c>
      <c r="R199" s="136">
        <v>9.2692111399510363E-2</v>
      </c>
      <c r="S199" s="20">
        <f t="shared" si="108"/>
        <v>0</v>
      </c>
      <c r="T199" s="136">
        <v>9.2692111399510363E-2</v>
      </c>
      <c r="U199" s="136">
        <v>9.2692111399510363E-2</v>
      </c>
      <c r="V199" s="20">
        <f t="shared" si="109"/>
        <v>0</v>
      </c>
    </row>
    <row r="200" spans="1:22" hidden="1" x14ac:dyDescent="0.3">
      <c r="A200" s="5">
        <v>70</v>
      </c>
      <c r="B200" s="8" t="s">
        <v>959</v>
      </c>
      <c r="C200" s="11">
        <f>+SUMIFS('2021'!Z:Z,'2021'!D:D,CRUCE!A200,'2021'!AT:AT,CRUCE!B200)</f>
        <v>815143124.17999995</v>
      </c>
      <c r="D200" s="11">
        <f>+SUMIFS('2022'!Y:Y,'2022'!D:D,CRUCE!A200,'2022'!AS:AS,CRUCE!B200)</f>
        <v>1013694149.3099999</v>
      </c>
      <c r="E200" s="136">
        <f t="shared" si="105"/>
        <v>0.24357811437069296</v>
      </c>
      <c r="F200" s="11">
        <f>+SUMIFS('2023'!Y:Y,'2023'!D:D,CRUCE!A200,'2023'!AS:AS,CRUCE!B200)</f>
        <v>0</v>
      </c>
      <c r="G200" s="136">
        <f t="shared" si="106"/>
        <v>-1</v>
      </c>
      <c r="H200" s="11">
        <f>+SUMIFS('2024'!J:J,'2024'!D:D,CRUCE!A200,'2024'!AT:AT,CRUCE!B200)</f>
        <v>0</v>
      </c>
      <c r="I200" s="7" t="str">
        <f t="shared" si="82"/>
        <v>70Construcción de obras de estabilización y conformación de la banca vía La Española Río Verde, Barrag815143124,18</v>
      </c>
      <c r="J200" s="7" t="str">
        <f t="shared" si="83"/>
        <v>70Construcción de obras de estabilización y conformación de la banca vía La Española Río Verde, Barrag1013694149,31</v>
      </c>
      <c r="K200" s="7" t="str">
        <f t="shared" si="84"/>
        <v>70Construcción de obras de estabilización y conformación de la banca vía La Española Río Verde, Barrag0</v>
      </c>
      <c r="L200" s="7" t="str">
        <f t="shared" si="85"/>
        <v>70Construcción de obras de estabilización y conformación de la banca vía La Española Río Verde, Barrag0</v>
      </c>
      <c r="M200" t="s">
        <v>1906</v>
      </c>
      <c r="N200" s="136">
        <f t="shared" ref="N200:N263" si="110">+(E200+G200)/2</f>
        <v>-0.37821094281465351</v>
      </c>
      <c r="O200" s="136"/>
      <c r="P200" s="20">
        <f t="shared" si="107"/>
        <v>0</v>
      </c>
      <c r="S200" s="20">
        <f t="shared" si="108"/>
        <v>0</v>
      </c>
      <c r="V200" s="20">
        <f t="shared" si="109"/>
        <v>0</v>
      </c>
    </row>
    <row r="201" spans="1:22" hidden="1" x14ac:dyDescent="0.3">
      <c r="A201" s="5">
        <v>70</v>
      </c>
      <c r="B201" s="8" t="s">
        <v>941</v>
      </c>
      <c r="C201" s="11">
        <f>+SUMIFS('2021'!Z:Z,'2021'!D:D,CRUCE!A201,'2021'!AT:AT,CRUCE!B201)</f>
        <v>0</v>
      </c>
      <c r="D201" s="11">
        <f>+SUMIFS('2022'!Y:Y,'2022'!D:D,CRUCE!A201,'2022'!AS:AS,CRUCE!B201)</f>
        <v>437564038.63</v>
      </c>
      <c r="E201" s="136" t="e">
        <f t="shared" si="105"/>
        <v>#DIV/0!</v>
      </c>
      <c r="F201" s="11">
        <f>+SUMIFS('2023'!Y:Y,'2023'!D:D,CRUCE!A201,'2023'!AS:AS,CRUCE!B201)</f>
        <v>0</v>
      </c>
      <c r="G201" s="136">
        <f t="shared" si="106"/>
        <v>-1</v>
      </c>
      <c r="H201" s="11">
        <f>+SUMIFS('2024'!J:J,'2024'!D:D,CRUCE!A201,'2024'!AT:AT,CRUCE!B201)</f>
        <v>0</v>
      </c>
      <c r="I201" s="7" t="str">
        <f t="shared" ref="I201:I265" si="111">+$A201&amp;$B201&amp;C201</f>
        <v>70Construcción de pavimento en concreto asfaltico para el desarrollo regional y la conectividad  en lo0</v>
      </c>
      <c r="J201" s="7" t="str">
        <f t="shared" ref="J201:J265" si="112">+$A201&amp;$B201&amp;D201</f>
        <v>70Construcción de pavimento en concreto asfaltico para el desarrollo regional y la conectividad  en lo437564038,63</v>
      </c>
      <c r="K201" s="7" t="str">
        <f t="shared" ref="K201:K265" si="113">+$A201&amp;$B201&amp;F201</f>
        <v>70Construcción de pavimento en concreto asfaltico para el desarrollo regional y la conectividad  en lo0</v>
      </c>
      <c r="L201" s="7" t="str">
        <f t="shared" ref="L201:L265" si="114">+$A201&amp;$B201&amp;H201</f>
        <v>70Construcción de pavimento en concreto asfaltico para el desarrollo regional y la conectividad  en lo0</v>
      </c>
      <c r="M201" t="s">
        <v>1906</v>
      </c>
      <c r="N201" s="136" t="e">
        <f t="shared" si="110"/>
        <v>#DIV/0!</v>
      </c>
      <c r="O201" s="136"/>
      <c r="P201" s="20" t="e">
        <f t="shared" si="107"/>
        <v>#DIV/0!</v>
      </c>
      <c r="S201" s="20" t="e">
        <f t="shared" si="108"/>
        <v>#DIV/0!</v>
      </c>
      <c r="V201" s="20" t="e">
        <f t="shared" si="109"/>
        <v>#DIV/0!</v>
      </c>
    </row>
    <row r="202" spans="1:22" hidden="1" x14ac:dyDescent="0.3">
      <c r="A202" s="5">
        <v>70</v>
      </c>
      <c r="B202" s="8" t="s">
        <v>1473</v>
      </c>
      <c r="C202" s="11">
        <f>+SUMIFS('2021'!Z:Z,'2021'!D:D,CRUCE!A202,'2021'!AT:AT,CRUCE!B202)</f>
        <v>0</v>
      </c>
      <c r="D202" s="11">
        <f>+SUMIFS('2022'!Y:Y,'2022'!D:D,CRUCE!A202,'2022'!AS:AS,CRUCE!B202)</f>
        <v>0</v>
      </c>
      <c r="E202" s="136" t="e">
        <f t="shared" si="105"/>
        <v>#DIV/0!</v>
      </c>
      <c r="F202" s="11">
        <f>+SUMIFS('2023'!Y:Y,'2023'!D:D,CRUCE!A202,'2023'!AS:AS,CRUCE!B202)</f>
        <v>0</v>
      </c>
      <c r="G202" s="136" t="e">
        <f t="shared" si="106"/>
        <v>#DIV/0!</v>
      </c>
      <c r="H202" s="11">
        <f>+SUMIFS('2024'!J:J,'2024'!D:D,CRUCE!A202,'2024'!AT:AT,CRUCE!B202)</f>
        <v>0</v>
      </c>
      <c r="I202" s="7" t="str">
        <f t="shared" si="111"/>
        <v>70Construcción de pavimento en concreto asfaltico para el desarrollo regional y la conectividad en los0</v>
      </c>
      <c r="J202" s="7" t="str">
        <f t="shared" si="112"/>
        <v>70Construcción de pavimento en concreto asfaltico para el desarrollo regional y la conectividad en los0</v>
      </c>
      <c r="K202" s="7" t="str">
        <f t="shared" si="113"/>
        <v>70Construcción de pavimento en concreto asfaltico para el desarrollo regional y la conectividad en los0</v>
      </c>
      <c r="L202" s="7" t="str">
        <f t="shared" si="114"/>
        <v>70Construcción de pavimento en concreto asfaltico para el desarrollo regional y la conectividad en los0</v>
      </c>
      <c r="M202" t="s">
        <v>1906</v>
      </c>
      <c r="N202" s="136" t="e">
        <f t="shared" si="110"/>
        <v>#DIV/0!</v>
      </c>
      <c r="O202" s="136"/>
      <c r="P202" s="20" t="e">
        <f t="shared" si="107"/>
        <v>#DIV/0!</v>
      </c>
      <c r="S202" s="20" t="e">
        <f t="shared" si="108"/>
        <v>#DIV/0!</v>
      </c>
      <c r="V202" s="20" t="e">
        <f t="shared" si="109"/>
        <v>#DIV/0!</v>
      </c>
    </row>
    <row r="203" spans="1:22" hidden="1" x14ac:dyDescent="0.3">
      <c r="A203" s="5">
        <v>70</v>
      </c>
      <c r="B203" s="8" t="s">
        <v>947</v>
      </c>
      <c r="C203" s="11">
        <f>+SUMIFS('2021'!Z:Z,'2021'!D:D,CRUCE!A203,'2021'!AT:AT,CRUCE!B203)</f>
        <v>392656792.43000001</v>
      </c>
      <c r="D203" s="11">
        <f>+SUMIFS('2022'!Y:Y,'2022'!D:D,CRUCE!A203,'2022'!AS:AS,CRUCE!B203)</f>
        <v>392656792.43000001</v>
      </c>
      <c r="E203" s="136">
        <f t="shared" si="105"/>
        <v>0</v>
      </c>
      <c r="F203" s="11">
        <f>+SUMIFS('2023'!Y:Y,'2023'!D:D,CRUCE!A203,'2023'!AS:AS,CRUCE!B203)</f>
        <v>3300139040</v>
      </c>
      <c r="G203" s="136">
        <f t="shared" si="106"/>
        <v>7.4046401427993249</v>
      </c>
      <c r="H203" s="11">
        <f>+SUMIFS('2024'!J:J,'2024'!D:D,CRUCE!A203,'2024'!AT:AT,CRUCE!B203)</f>
        <v>0</v>
      </c>
      <c r="I203" s="7" t="str">
        <f t="shared" si="111"/>
        <v>70Construcción Obras de estabilización y rehabilitación de la vía Rio Verde-Pijao (cod.40qn03), estabi392656792,43</v>
      </c>
      <c r="J203" s="7" t="str">
        <f t="shared" si="112"/>
        <v>70Construcción Obras de estabilización y rehabilitación de la vía Rio Verde-Pijao (cod.40qn03), estabi392656792,43</v>
      </c>
      <c r="K203" s="7" t="str">
        <f t="shared" si="113"/>
        <v>70Construcción Obras de estabilización y rehabilitación de la vía Rio Verde-Pijao (cod.40qn03), estabi3300139040</v>
      </c>
      <c r="L203" s="7" t="str">
        <f t="shared" si="114"/>
        <v>70Construcción Obras de estabilización y rehabilitación de la vía Rio Verde-Pijao (cod.40qn03), estabi0</v>
      </c>
      <c r="M203" t="s">
        <v>1906</v>
      </c>
      <c r="N203" s="136">
        <f t="shared" si="110"/>
        <v>3.7023200713996625</v>
      </c>
      <c r="O203" s="136"/>
      <c r="P203" s="20">
        <f t="shared" si="107"/>
        <v>0</v>
      </c>
      <c r="S203" s="20">
        <f t="shared" si="108"/>
        <v>0</v>
      </c>
      <c r="V203" s="20">
        <f t="shared" si="109"/>
        <v>0</v>
      </c>
    </row>
    <row r="204" spans="1:22" hidden="1" x14ac:dyDescent="0.3">
      <c r="A204" s="5">
        <v>70</v>
      </c>
      <c r="B204" s="8" t="s">
        <v>953</v>
      </c>
      <c r="C204" s="11">
        <f>+SUMIFS('2021'!Z:Z,'2021'!D:D,CRUCE!A204,'2021'!AT:AT,CRUCE!B204)</f>
        <v>0</v>
      </c>
      <c r="D204" s="11">
        <f>+SUMIFS('2022'!Y:Y,'2022'!D:D,CRUCE!A204,'2022'!AS:AS,CRUCE!B204)</f>
        <v>0</v>
      </c>
      <c r="E204" s="136" t="e">
        <f t="shared" si="105"/>
        <v>#DIV/0!</v>
      </c>
      <c r="F204" s="11">
        <f>+SUMIFS('2023'!Y:Y,'2023'!D:D,CRUCE!A204,'2023'!AS:AS,CRUCE!B204)</f>
        <v>0</v>
      </c>
      <c r="G204" s="136" t="e">
        <f t="shared" si="106"/>
        <v>#DIV/0!</v>
      </c>
      <c r="H204" s="11">
        <f>+SUMIFS('2024'!J:J,'2024'!D:D,CRUCE!A204,'2024'!AT:AT,CRUCE!B204)</f>
        <v>0</v>
      </c>
      <c r="I204" s="7" t="str">
        <f t="shared" si="111"/>
        <v>70Construcción Obras de Rehabilitación de la Banca en Puntos Críticos de la Vía que Intercomunica a Gé0</v>
      </c>
      <c r="J204" s="7" t="str">
        <f t="shared" si="112"/>
        <v>70Construcción Obras de Rehabilitación de la Banca en Puntos Críticos de la Vía que Intercomunica a Gé0</v>
      </c>
      <c r="K204" s="7" t="str">
        <f t="shared" si="113"/>
        <v>70Construcción Obras de Rehabilitación de la Banca en Puntos Críticos de la Vía que Intercomunica a Gé0</v>
      </c>
      <c r="L204" s="7" t="str">
        <f t="shared" si="114"/>
        <v>70Construcción Obras de Rehabilitación de la Banca en Puntos Críticos de la Vía que Intercomunica a Gé0</v>
      </c>
      <c r="M204" t="s">
        <v>1906</v>
      </c>
      <c r="N204" s="136" t="e">
        <f t="shared" si="110"/>
        <v>#DIV/0!</v>
      </c>
      <c r="O204" s="136"/>
      <c r="P204" s="20" t="e">
        <f t="shared" si="107"/>
        <v>#DIV/0!</v>
      </c>
      <c r="S204" s="20" t="e">
        <f t="shared" si="108"/>
        <v>#DIV/0!</v>
      </c>
      <c r="V204" s="20" t="e">
        <f t="shared" si="109"/>
        <v>#DIV/0!</v>
      </c>
    </row>
    <row r="205" spans="1:22" hidden="1" x14ac:dyDescent="0.3">
      <c r="A205" s="5">
        <v>70</v>
      </c>
      <c r="B205" s="8" t="s">
        <v>1464</v>
      </c>
      <c r="C205" s="11">
        <f>+SUMIFS('2021'!Z:Z,'2021'!D:D,CRUCE!A205,'2021'!AT:AT,CRUCE!B205)</f>
        <v>0</v>
      </c>
      <c r="D205" s="11">
        <f>+SUMIFS('2022'!Y:Y,'2022'!D:D,CRUCE!A205,'2022'!AS:AS,CRUCE!B205)</f>
        <v>0</v>
      </c>
      <c r="E205" s="136" t="e">
        <f t="shared" si="105"/>
        <v>#DIV/0!</v>
      </c>
      <c r="F205" s="11">
        <f>+SUMIFS('2023'!Y:Y,'2023'!D:D,CRUCE!A205,'2023'!AS:AS,CRUCE!B205)</f>
        <v>16884000</v>
      </c>
      <c r="G205" s="136" t="e">
        <f t="shared" si="106"/>
        <v>#DIV/0!</v>
      </c>
      <c r="H205" s="11">
        <f>+SUMIFS('2024'!J:J,'2024'!D:D,CRUCE!A205,'2024'!AT:AT,CRUCE!B205)</f>
        <v>0</v>
      </c>
      <c r="I205" s="7" t="str">
        <f t="shared" si="111"/>
        <v>70DESARROLLO DE INSTRUMENTOS Y HERRAMIENTAS PARA LA PLANEACION Y GESTION DEL ORDENAMIENTO TERRITORIAL 0</v>
      </c>
      <c r="J205" s="7" t="str">
        <f t="shared" si="112"/>
        <v>70DESARROLLO DE INSTRUMENTOS Y HERRAMIENTAS PARA LA PLANEACION Y GESTION DEL ORDENAMIENTO TERRITORIAL 0</v>
      </c>
      <c r="K205" s="7" t="str">
        <f t="shared" si="113"/>
        <v>70DESARROLLO DE INSTRUMENTOS Y HERRAMIENTAS PARA LA PLANEACION Y GESTION DEL ORDENAMIENTO TERRITORIAL 16884000</v>
      </c>
      <c r="L205" s="7" t="str">
        <f t="shared" si="114"/>
        <v>70DESARROLLO DE INSTRUMENTOS Y HERRAMIENTAS PARA LA PLANEACION Y GESTION DEL ORDENAMIENTO TERRITORIAL 0</v>
      </c>
      <c r="M205" t="s">
        <v>1906</v>
      </c>
      <c r="N205" s="136" t="e">
        <f t="shared" si="110"/>
        <v>#DIV/0!</v>
      </c>
      <c r="O205" s="136"/>
      <c r="P205" s="20" t="e">
        <f t="shared" si="107"/>
        <v>#DIV/0!</v>
      </c>
      <c r="S205" s="20" t="e">
        <f t="shared" si="108"/>
        <v>#DIV/0!</v>
      </c>
      <c r="V205" s="20" t="e">
        <f t="shared" si="109"/>
        <v>#DIV/0!</v>
      </c>
    </row>
    <row r="206" spans="1:22" hidden="1" x14ac:dyDescent="0.3">
      <c r="A206" s="5">
        <v>70</v>
      </c>
      <c r="B206" s="8" t="s">
        <v>931</v>
      </c>
      <c r="C206" s="11">
        <f>+SUMIFS('2021'!Z:Z,'2021'!D:D,CRUCE!A206,'2021'!AT:AT,CRUCE!B206)</f>
        <v>142000000</v>
      </c>
      <c r="D206" s="11">
        <f>+SUMIFS('2022'!Y:Y,'2022'!D:D,CRUCE!A206,'2022'!AS:AS,CRUCE!B206)</f>
        <v>298783333</v>
      </c>
      <c r="E206" s="136">
        <f t="shared" si="105"/>
        <v>1.1041079788732395</v>
      </c>
      <c r="F206" s="11">
        <f>+SUMIFS('2023'!Y:Y,'2023'!D:D,CRUCE!A206,'2023'!AS:AS,CRUCE!B206)</f>
        <v>1114055102</v>
      </c>
      <c r="G206" s="136">
        <f t="shared" si="106"/>
        <v>2.7286387122537388</v>
      </c>
      <c r="H206" s="11">
        <f>+SUMIFS('2024'!J:J,'2024'!D:D,CRUCE!A206,'2024'!AT:AT,CRUCE!B206)</f>
        <v>0</v>
      </c>
      <c r="I206" s="7" t="str">
        <f t="shared" si="111"/>
        <v>70Desarrollo de Instrumentos y Herramientas para la planeación y gestión del ordenamiento territorial 142000000</v>
      </c>
      <c r="J206" s="7" t="str">
        <f t="shared" si="112"/>
        <v>70Desarrollo de Instrumentos y Herramientas para la planeación y gestión del ordenamiento territorial 298783333</v>
      </c>
      <c r="K206" s="7" t="str">
        <f t="shared" si="113"/>
        <v>70Desarrollo de Instrumentos y Herramientas para la planeación y gestión del ordenamiento territorial 1114055102</v>
      </c>
      <c r="L206" s="7" t="str">
        <f t="shared" si="114"/>
        <v>70Desarrollo de Instrumentos y Herramientas para la planeación y gestión del ordenamiento territorial 0</v>
      </c>
      <c r="M206" t="s">
        <v>1906</v>
      </c>
      <c r="N206" s="136">
        <f t="shared" si="110"/>
        <v>1.916373345563489</v>
      </c>
      <c r="O206" s="136"/>
      <c r="P206" s="20">
        <f t="shared" si="107"/>
        <v>0</v>
      </c>
      <c r="S206" s="20">
        <f t="shared" si="108"/>
        <v>0</v>
      </c>
      <c r="V206" s="20">
        <f t="shared" si="109"/>
        <v>0</v>
      </c>
    </row>
    <row r="207" spans="1:22" hidden="1" x14ac:dyDescent="0.3">
      <c r="A207" s="5">
        <v>70</v>
      </c>
      <c r="B207" s="8" t="s">
        <v>975</v>
      </c>
      <c r="C207" s="11">
        <f>+SUMIFS('2021'!Z:Z,'2021'!D:D,CRUCE!A207,'2021'!AT:AT,CRUCE!B207)</f>
        <v>2451634413</v>
      </c>
      <c r="D207" s="11">
        <f>+SUMIFS('2022'!Y:Y,'2022'!D:D,CRUCE!A207,'2022'!AS:AS,CRUCE!B207)</f>
        <v>4864605998</v>
      </c>
      <c r="E207" s="136">
        <f t="shared" si="105"/>
        <v>0.98422977431097103</v>
      </c>
      <c r="F207" s="11">
        <f>+SUMIFS('2023'!Y:Y,'2023'!D:D,CRUCE!A207,'2023'!AS:AS,CRUCE!B207)</f>
        <v>129671574.90000001</v>
      </c>
      <c r="G207" s="136">
        <f t="shared" si="106"/>
        <v>-0.97334386896835801</v>
      </c>
      <c r="H207" s="11">
        <f>+SUMIFS('2024'!J:J,'2024'!D:D,CRUCE!A207,'2024'!AT:AT,CRUCE!B207)</f>
        <v>0</v>
      </c>
      <c r="I207" s="7" t="str">
        <f t="shared" si="111"/>
        <v>70Desarrollo Experimental para la Competitividad del Sector Cafetero del Departamento del Quindío.2451634413</v>
      </c>
      <c r="J207" s="7" t="str">
        <f t="shared" si="112"/>
        <v>70Desarrollo Experimental para la Competitividad del Sector Cafetero del Departamento del Quindío.4864605998</v>
      </c>
      <c r="K207" s="7" t="str">
        <f t="shared" si="113"/>
        <v>70Desarrollo Experimental para la Competitividad del Sector Cafetero del Departamento del Quindío.129671574,9</v>
      </c>
      <c r="L207" s="7" t="str">
        <f t="shared" si="114"/>
        <v>70Desarrollo Experimental para la Competitividad del Sector Cafetero del Departamento del Quindío.0</v>
      </c>
      <c r="M207" t="s">
        <v>1906</v>
      </c>
      <c r="N207" s="136">
        <f t="shared" si="110"/>
        <v>5.4429526713065113E-3</v>
      </c>
      <c r="O207" s="136"/>
      <c r="P207" s="20">
        <f t="shared" si="107"/>
        <v>0</v>
      </c>
      <c r="S207" s="20">
        <f t="shared" si="108"/>
        <v>0</v>
      </c>
      <c r="V207" s="20">
        <f t="shared" si="109"/>
        <v>0</v>
      </c>
    </row>
    <row r="208" spans="1:22" hidden="1" x14ac:dyDescent="0.3">
      <c r="A208" s="5">
        <v>70</v>
      </c>
      <c r="B208" s="8" t="s">
        <v>973</v>
      </c>
      <c r="C208" s="11">
        <f>+SUMIFS('2021'!Z:Z,'2021'!D:D,CRUCE!A208,'2021'!AT:AT,CRUCE!B208)</f>
        <v>0</v>
      </c>
      <c r="D208" s="11">
        <f>+SUMIFS('2022'!Y:Y,'2022'!D:D,CRUCE!A208,'2022'!AS:AS,CRUCE!B208)</f>
        <v>0</v>
      </c>
      <c r="E208" s="136" t="e">
        <f t="shared" si="105"/>
        <v>#DIV/0!</v>
      </c>
      <c r="F208" s="11">
        <f>+SUMIFS('2023'!Y:Y,'2023'!D:D,CRUCE!A208,'2023'!AS:AS,CRUCE!B208)</f>
        <v>0</v>
      </c>
      <c r="G208" s="136" t="e">
        <f t="shared" si="106"/>
        <v>#DIV/0!</v>
      </c>
      <c r="H208" s="11">
        <f>+SUMIFS('2024'!J:J,'2024'!D:D,CRUCE!A208,'2024'!AT:AT,CRUCE!B208)</f>
        <v>0</v>
      </c>
      <c r="I208" s="7" t="str">
        <f t="shared" si="111"/>
        <v>70Desarrollo Sostenible del Sector Curtimbre a través de la I+D+I, Quindío Occidente Código BPIN 201300</v>
      </c>
      <c r="J208" s="7" t="str">
        <f t="shared" si="112"/>
        <v>70Desarrollo Sostenible del Sector Curtimbre a través de la I+D+I, Quindío Occidente Código BPIN 201300</v>
      </c>
      <c r="K208" s="7" t="str">
        <f t="shared" si="113"/>
        <v>70Desarrollo Sostenible del Sector Curtimbre a través de la I+D+I, Quindío Occidente Código BPIN 201300</v>
      </c>
      <c r="L208" s="7" t="str">
        <f t="shared" si="114"/>
        <v>70Desarrollo Sostenible del Sector Curtimbre a través de la I+D+I, Quindío Occidente Código BPIN 201300</v>
      </c>
      <c r="M208" t="s">
        <v>1906</v>
      </c>
      <c r="N208" s="136" t="e">
        <f t="shared" si="110"/>
        <v>#DIV/0!</v>
      </c>
      <c r="O208" s="136"/>
      <c r="P208" s="20" t="e">
        <f t="shared" si="107"/>
        <v>#DIV/0!</v>
      </c>
      <c r="S208" s="20" t="e">
        <f t="shared" si="108"/>
        <v>#DIV/0!</v>
      </c>
      <c r="V208" s="20" t="e">
        <f t="shared" si="109"/>
        <v>#DIV/0!</v>
      </c>
    </row>
    <row r="209" spans="1:22" hidden="1" x14ac:dyDescent="0.3">
      <c r="A209" s="5">
        <v>70</v>
      </c>
      <c r="B209" s="8" t="s">
        <v>971</v>
      </c>
      <c r="C209" s="11">
        <f>+SUMIFS('2021'!Z:Z,'2021'!D:D,CRUCE!A209,'2021'!AT:AT,CRUCE!B209)</f>
        <v>854830234</v>
      </c>
      <c r="D209" s="11">
        <f>+SUMIFS('2022'!Y:Y,'2022'!D:D,CRUCE!A209,'2022'!AS:AS,CRUCE!B209)</f>
        <v>867802234</v>
      </c>
      <c r="E209" s="136">
        <f t="shared" si="105"/>
        <v>1.5174942911530197E-2</v>
      </c>
      <c r="F209" s="11">
        <f>+SUMIFS('2023'!Y:Y,'2023'!D:D,CRUCE!A209,'2023'!AS:AS,CRUCE!B209)</f>
        <v>0</v>
      </c>
      <c r="G209" s="136">
        <f t="shared" si="106"/>
        <v>-1</v>
      </c>
      <c r="H209" s="11">
        <f>+SUMIFS('2024'!J:J,'2024'!D:D,CRUCE!A209,'2024'!AT:AT,CRUCE!B209)</f>
        <v>0</v>
      </c>
      <c r="I209" s="7" t="str">
        <f t="shared" si="111"/>
        <v>70Fortalecimiento de capacidades instaladas de ciencia y tecnología del laboratorio departamental de s854830234</v>
      </c>
      <c r="J209" s="7" t="str">
        <f t="shared" si="112"/>
        <v>70Fortalecimiento de capacidades instaladas de ciencia y tecnología del laboratorio departamental de s867802234</v>
      </c>
      <c r="K209" s="7" t="str">
        <f t="shared" si="113"/>
        <v>70Fortalecimiento de capacidades instaladas de ciencia y tecnología del laboratorio departamental de s0</v>
      </c>
      <c r="L209" s="7" t="str">
        <f t="shared" si="114"/>
        <v>70Fortalecimiento de capacidades instaladas de ciencia y tecnología del laboratorio departamental de s0</v>
      </c>
      <c r="M209" t="s">
        <v>1906</v>
      </c>
      <c r="N209" s="136">
        <f t="shared" si="110"/>
        <v>-0.4924125285442349</v>
      </c>
      <c r="O209" s="136"/>
      <c r="P209" s="20">
        <f t="shared" si="107"/>
        <v>0</v>
      </c>
      <c r="S209" s="20">
        <f t="shared" si="108"/>
        <v>0</v>
      </c>
      <c r="V209" s="20">
        <f t="shared" si="109"/>
        <v>0</v>
      </c>
    </row>
    <row r="210" spans="1:22" hidden="1" x14ac:dyDescent="0.3">
      <c r="A210" s="5">
        <v>70</v>
      </c>
      <c r="B210" s="8" t="s">
        <v>929</v>
      </c>
      <c r="C210" s="11">
        <f>+SUMIFS('2021'!Z:Z,'2021'!D:D,CRUCE!A210,'2021'!AT:AT,CRUCE!B210)</f>
        <v>0</v>
      </c>
      <c r="D210" s="11">
        <f>+SUMIFS('2022'!Y:Y,'2022'!D:D,CRUCE!A210,'2022'!AS:AS,CRUCE!B210)</f>
        <v>0</v>
      </c>
      <c r="E210" s="136" t="e">
        <f t="shared" si="105"/>
        <v>#DIV/0!</v>
      </c>
      <c r="F210" s="11">
        <f>+SUMIFS('2023'!Y:Y,'2023'!D:D,CRUCE!A210,'2023'!AS:AS,CRUCE!B210)</f>
        <v>0</v>
      </c>
      <c r="G210" s="136" t="e">
        <f t="shared" si="106"/>
        <v>#DIV/0!</v>
      </c>
      <c r="H210" s="11">
        <f>+SUMIFS('2024'!J:J,'2024'!D:D,CRUCE!A210,'2024'!AT:AT,CRUCE!B210)</f>
        <v>0</v>
      </c>
      <c r="I210" s="7" t="str">
        <f t="shared" si="111"/>
        <v>70Fortalecimiento de la Calidad educativa en las instituciones educativas, mediante la incorpación de 0</v>
      </c>
      <c r="J210" s="7" t="str">
        <f t="shared" si="112"/>
        <v>70Fortalecimiento de la Calidad educativa en las instituciones educativas, mediante la incorpación de 0</v>
      </c>
      <c r="K210" s="7" t="str">
        <f t="shared" si="113"/>
        <v>70Fortalecimiento de la Calidad educativa en las instituciones educativas, mediante la incorpación de 0</v>
      </c>
      <c r="L210" s="7" t="str">
        <f t="shared" si="114"/>
        <v>70Fortalecimiento de la Calidad educativa en las instituciones educativas, mediante la incorpación de 0</v>
      </c>
      <c r="M210" t="s">
        <v>1906</v>
      </c>
      <c r="N210" s="136" t="e">
        <f t="shared" si="110"/>
        <v>#DIV/0!</v>
      </c>
      <c r="O210" s="136"/>
      <c r="P210" s="20" t="e">
        <f t="shared" si="107"/>
        <v>#DIV/0!</v>
      </c>
      <c r="S210" s="20" t="e">
        <f t="shared" si="108"/>
        <v>#DIV/0!</v>
      </c>
      <c r="V210" s="20" t="e">
        <f t="shared" si="109"/>
        <v>#DIV/0!</v>
      </c>
    </row>
    <row r="211" spans="1:22" hidden="1" x14ac:dyDescent="0.3">
      <c r="A211" s="5">
        <v>70</v>
      </c>
      <c r="B211" s="8" t="s">
        <v>917</v>
      </c>
      <c r="C211" s="11">
        <f>+SUMIFS('2021'!Z:Z,'2021'!D:D,CRUCE!A211,'2021'!AT:AT,CRUCE!B211)</f>
        <v>1440761047.1700001</v>
      </c>
      <c r="D211" s="11">
        <f>+SUMIFS('2022'!Y:Y,'2022'!D:D,CRUCE!A211,'2022'!AS:AS,CRUCE!B211)</f>
        <v>1959571563.49</v>
      </c>
      <c r="E211" s="136">
        <f t="shared" si="105"/>
        <v>0.36009476889944247</v>
      </c>
      <c r="F211" s="11">
        <f>+SUMIFS('2023'!Y:Y,'2023'!D:D,CRUCE!A211,'2023'!AS:AS,CRUCE!B211)</f>
        <v>549712946.94000006</v>
      </c>
      <c r="G211" s="136">
        <f t="shared" si="106"/>
        <v>-0.71947289030824657</v>
      </c>
      <c r="H211" s="11">
        <f>+SUMIFS('2024'!J:J,'2024'!D:D,CRUCE!A211,'2024'!AT:AT,CRUCE!B211)</f>
        <v>0</v>
      </c>
      <c r="I211" s="7" t="str">
        <f t="shared" si="111"/>
        <v>70Fortalecimiento de la prestación de servicios de salud y las acciones de Salud Pública durante la pa1440761047,17</v>
      </c>
      <c r="J211" s="7" t="str">
        <f t="shared" si="112"/>
        <v>70Fortalecimiento de la prestación de servicios de salud y las acciones de Salud Pública durante la pa1959571563,49</v>
      </c>
      <c r="K211" s="7" t="str">
        <f t="shared" si="113"/>
        <v>70Fortalecimiento de la prestación de servicios de salud y las acciones de Salud Pública durante la pa549712946,94</v>
      </c>
      <c r="L211" s="7" t="str">
        <f t="shared" si="114"/>
        <v>70Fortalecimiento de la prestación de servicios de salud y las acciones de Salud Pública durante la pa0</v>
      </c>
      <c r="M211" t="s">
        <v>1906</v>
      </c>
      <c r="N211" s="136">
        <f t="shared" si="110"/>
        <v>-0.17968906070440205</v>
      </c>
      <c r="O211" s="136"/>
      <c r="P211" s="20">
        <f t="shared" si="107"/>
        <v>0</v>
      </c>
      <c r="S211" s="20">
        <f t="shared" si="108"/>
        <v>0</v>
      </c>
      <c r="V211" s="20">
        <f t="shared" si="109"/>
        <v>0</v>
      </c>
    </row>
    <row r="212" spans="1:22" hidden="1" x14ac:dyDescent="0.3">
      <c r="A212" s="5">
        <v>70</v>
      </c>
      <c r="B212" s="8" t="s">
        <v>983</v>
      </c>
      <c r="C212" s="11">
        <f>+SUMIFS('2021'!Z:Z,'2021'!D:D,CRUCE!A212,'2021'!AT:AT,CRUCE!B212)</f>
        <v>0</v>
      </c>
      <c r="D212" s="11">
        <f>+SUMIFS('2022'!Y:Y,'2022'!D:D,CRUCE!A212,'2022'!AS:AS,CRUCE!B212)</f>
        <v>0</v>
      </c>
      <c r="E212" s="136" t="e">
        <f t="shared" si="105"/>
        <v>#DIV/0!</v>
      </c>
      <c r="F212" s="11">
        <f>+SUMIFS('2023'!Y:Y,'2023'!D:D,CRUCE!A212,'2023'!AS:AS,CRUCE!B212)</f>
        <v>0</v>
      </c>
      <c r="G212" s="136" t="e">
        <f t="shared" si="106"/>
        <v>#DIV/0!</v>
      </c>
      <c r="H212" s="11">
        <f>+SUMIFS('2024'!J:J,'2024'!D:D,CRUCE!A212,'2024'!AT:AT,CRUCE!B212)</f>
        <v>0</v>
      </c>
      <c r="I212" s="7" t="str">
        <f t="shared" si="111"/>
        <v>70Fortalecimiento de las Secretarías Técnicas de los OCAD Resolución 0496 de 20190</v>
      </c>
      <c r="J212" s="7" t="str">
        <f t="shared" si="112"/>
        <v>70Fortalecimiento de las Secretarías Técnicas de los OCAD Resolución 0496 de 20190</v>
      </c>
      <c r="K212" s="7" t="str">
        <f t="shared" si="113"/>
        <v>70Fortalecimiento de las Secretarías Técnicas de los OCAD Resolución 0496 de 20190</v>
      </c>
      <c r="L212" s="7" t="str">
        <f t="shared" si="114"/>
        <v>70Fortalecimiento de las Secretarías Técnicas de los OCAD Resolución 0496 de 20190</v>
      </c>
      <c r="M212" t="s">
        <v>1906</v>
      </c>
      <c r="N212" s="136" t="e">
        <f t="shared" si="110"/>
        <v>#DIV/0!</v>
      </c>
      <c r="O212" s="136"/>
      <c r="P212" s="20" t="e">
        <f t="shared" si="107"/>
        <v>#DIV/0!</v>
      </c>
      <c r="S212" s="20" t="e">
        <f t="shared" si="108"/>
        <v>#DIV/0!</v>
      </c>
      <c r="V212" s="20" t="e">
        <f t="shared" si="109"/>
        <v>#DIV/0!</v>
      </c>
    </row>
    <row r="213" spans="1:22" hidden="1" x14ac:dyDescent="0.3">
      <c r="A213" s="5">
        <v>70</v>
      </c>
      <c r="B213" s="8" t="s">
        <v>981</v>
      </c>
      <c r="C213" s="11">
        <f>+SUMIFS('2021'!Z:Z,'2021'!D:D,CRUCE!A213,'2021'!AT:AT,CRUCE!B213)</f>
        <v>304467967</v>
      </c>
      <c r="D213" s="11">
        <f>+SUMIFS('2022'!Y:Y,'2022'!D:D,CRUCE!A213,'2022'!AS:AS,CRUCE!B213)</f>
        <v>304467967</v>
      </c>
      <c r="E213" s="136">
        <f t="shared" si="105"/>
        <v>0</v>
      </c>
      <c r="F213" s="11">
        <f>+SUMIFS('2023'!Y:Y,'2023'!D:D,CRUCE!A213,'2023'!AS:AS,CRUCE!B213)</f>
        <v>0</v>
      </c>
      <c r="G213" s="136">
        <f t="shared" si="106"/>
        <v>-1</v>
      </c>
      <c r="H213" s="11">
        <f>+SUMIFS('2024'!J:J,'2024'!D:D,CRUCE!A213,'2024'!AT:AT,CRUCE!B213)</f>
        <v>0</v>
      </c>
      <c r="I213" s="7" t="str">
        <f t="shared" si="111"/>
        <v>70Fortalecimiento de las Secretarías Técnicas de los Organos Colegiados de Administracion y Decision D304467967</v>
      </c>
      <c r="J213" s="7" t="str">
        <f t="shared" si="112"/>
        <v>70Fortalecimiento de las Secretarías Técnicas de los Organos Colegiados de Administracion y Decision D304467967</v>
      </c>
      <c r="K213" s="7" t="str">
        <f t="shared" si="113"/>
        <v>70Fortalecimiento de las Secretarías Técnicas de los Organos Colegiados de Administracion y Decision D0</v>
      </c>
      <c r="L213" s="7" t="str">
        <f t="shared" si="114"/>
        <v>70Fortalecimiento de las Secretarías Técnicas de los Organos Colegiados de Administracion y Decision D0</v>
      </c>
      <c r="M213" t="s">
        <v>1906</v>
      </c>
      <c r="N213" s="136">
        <f t="shared" si="110"/>
        <v>-0.5</v>
      </c>
      <c r="O213" s="136"/>
      <c r="P213" s="20">
        <f t="shared" si="107"/>
        <v>0</v>
      </c>
      <c r="S213" s="20">
        <f t="shared" si="108"/>
        <v>0</v>
      </c>
      <c r="V213" s="20">
        <f t="shared" si="109"/>
        <v>0</v>
      </c>
    </row>
    <row r="214" spans="1:22" hidden="1" x14ac:dyDescent="0.3">
      <c r="A214" s="5">
        <v>70</v>
      </c>
      <c r="B214" s="8" t="s">
        <v>967</v>
      </c>
      <c r="C214" s="11">
        <f>+SUMIFS('2021'!Z:Z,'2021'!D:D,CRUCE!A214,'2021'!AT:AT,CRUCE!B214)</f>
        <v>912686212</v>
      </c>
      <c r="D214" s="11">
        <f>+SUMIFS('2022'!Y:Y,'2022'!D:D,CRUCE!A214,'2022'!AS:AS,CRUCE!B214)</f>
        <v>2571661260</v>
      </c>
      <c r="E214" s="136">
        <f t="shared" si="105"/>
        <v>1.8176839161014957</v>
      </c>
      <c r="F214" s="11">
        <f>+SUMIFS('2023'!Y:Y,'2023'!D:D,CRUCE!A214,'2023'!AS:AS,CRUCE!B214)</f>
        <v>0</v>
      </c>
      <c r="G214" s="136">
        <f t="shared" si="106"/>
        <v>-1</v>
      </c>
      <c r="H214" s="11">
        <f>+SUMIFS('2024'!J:J,'2024'!D:D,CRUCE!A214,'2024'!AT:AT,CRUCE!B214)</f>
        <v>0</v>
      </c>
      <c r="I214" s="7" t="str">
        <f t="shared" si="111"/>
        <v>70Fortalecimiento de un Centro de Innovación y Productividad agrario adecuando una infraestructura tec912686212</v>
      </c>
      <c r="J214" s="7" t="str">
        <f t="shared" si="112"/>
        <v>70Fortalecimiento de un Centro de Innovación y Productividad agrario adecuando una infraestructura tec2571661260</v>
      </c>
      <c r="K214" s="7" t="str">
        <f t="shared" si="113"/>
        <v>70Fortalecimiento de un Centro de Innovación y Productividad agrario adecuando una infraestructura tec0</v>
      </c>
      <c r="L214" s="7" t="str">
        <f t="shared" si="114"/>
        <v>70Fortalecimiento de un Centro de Innovación y Productividad agrario adecuando una infraestructura tec0</v>
      </c>
      <c r="M214" t="s">
        <v>1906</v>
      </c>
      <c r="N214" s="136">
        <f t="shared" si="110"/>
        <v>0.40884195805074786</v>
      </c>
      <c r="O214" s="136"/>
      <c r="P214" s="20">
        <f t="shared" si="107"/>
        <v>0</v>
      </c>
      <c r="S214" s="20">
        <f t="shared" si="108"/>
        <v>0</v>
      </c>
      <c r="V214" s="20">
        <f t="shared" si="109"/>
        <v>0</v>
      </c>
    </row>
    <row r="215" spans="1:22" hidden="1" x14ac:dyDescent="0.3">
      <c r="A215" s="5">
        <v>70</v>
      </c>
      <c r="B215" s="8" t="s">
        <v>961</v>
      </c>
      <c r="C215" s="11">
        <f>+SUMIFS('2021'!Z:Z,'2021'!D:D,CRUCE!A215,'2021'!AT:AT,CRUCE!B215)</f>
        <v>695481062</v>
      </c>
      <c r="D215" s="11">
        <f>+SUMIFS('2022'!Y:Y,'2022'!D:D,CRUCE!A215,'2022'!AS:AS,CRUCE!B215)</f>
        <v>1057664960</v>
      </c>
      <c r="E215" s="136">
        <f t="shared" si="105"/>
        <v>0.52076744830184896</v>
      </c>
      <c r="F215" s="11">
        <f>+SUMIFS('2023'!Y:Y,'2023'!D:D,CRUCE!A215,'2023'!AS:AS,CRUCE!B215)</f>
        <v>0</v>
      </c>
      <c r="G215" s="136">
        <f t="shared" si="106"/>
        <v>-1</v>
      </c>
      <c r="H215" s="11">
        <f>+SUMIFS('2024'!J:J,'2024'!D:D,CRUCE!A215,'2024'!AT:AT,CRUCE!B215)</f>
        <v>0</v>
      </c>
      <c r="I215" s="7" t="str">
        <f t="shared" ref="I215" si="115">+$A215&amp;$B215&amp;C215</f>
        <v>70Fortalecimiento del Ecosistema de emprendimiento mediante el acompañamiento tecnico y servicio de ap695481062</v>
      </c>
      <c r="J215" s="7" t="str">
        <f t="shared" ref="J215" si="116">+$A215&amp;$B215&amp;D215</f>
        <v>70Fortalecimiento del Ecosistema de emprendimiento mediante el acompañamiento tecnico y servicio de ap1057664960</v>
      </c>
      <c r="K215" s="7" t="str">
        <f t="shared" ref="K215" si="117">+$A215&amp;$B215&amp;F215</f>
        <v>70Fortalecimiento del Ecosistema de emprendimiento mediante el acompañamiento tecnico y servicio de ap0</v>
      </c>
      <c r="L215" s="7" t="str">
        <f t="shared" ref="L215" si="118">+$A215&amp;$B215&amp;H215</f>
        <v>70Fortalecimiento del Ecosistema de emprendimiento mediante el acompañamiento tecnico y servicio de ap0</v>
      </c>
      <c r="M215" t="s">
        <v>1906</v>
      </c>
      <c r="N215" s="136">
        <f t="shared" si="110"/>
        <v>-0.23961627584907552</v>
      </c>
      <c r="O215" s="136"/>
      <c r="P215" s="20">
        <f t="shared" si="107"/>
        <v>0</v>
      </c>
      <c r="S215" s="20">
        <f t="shared" si="108"/>
        <v>0</v>
      </c>
      <c r="V215" s="20">
        <f t="shared" si="109"/>
        <v>0</v>
      </c>
    </row>
    <row r="216" spans="1:22" hidden="1" x14ac:dyDescent="0.3">
      <c r="A216" s="5">
        <v>70</v>
      </c>
      <c r="B216" s="8" t="s">
        <v>1488</v>
      </c>
      <c r="C216" s="11">
        <f>+SUMIFS('2021'!Z:Z,'2021'!D:D,CRUCE!A216,'2021'!AT:AT,CRUCE!B216)</f>
        <v>0</v>
      </c>
      <c r="D216" s="11">
        <f>+SUMIFS('2022'!Y:Y,'2022'!D:D,CRUCE!A216,'2022'!AS:AS,CRUCE!B216)</f>
        <v>0</v>
      </c>
      <c r="E216" s="136" t="e">
        <f t="shared" si="105"/>
        <v>#DIV/0!</v>
      </c>
      <c r="F216" s="11">
        <f>+SUMIFS('2023'!Y:Y,'2023'!D:D,CRUCE!A216,'2023'!AS:AS,CRUCE!B216)</f>
        <v>734147338</v>
      </c>
      <c r="G216" s="136" t="e">
        <f t="shared" si="106"/>
        <v>#DIV/0!</v>
      </c>
      <c r="H216" s="11">
        <f>+SUMIFS('2024'!J:J,'2024'!D:D,CRUCE!A216,'2024'!AT:AT,CRUCE!B216)</f>
        <v>0</v>
      </c>
      <c r="I216" s="7" t="str">
        <f t="shared" si="111"/>
        <v>70Fortalecimiento del ecosistema de emprendimiento mediante el acompañamiento técnico y servicio de ap0</v>
      </c>
      <c r="J216" s="7" t="str">
        <f t="shared" si="112"/>
        <v>70Fortalecimiento del ecosistema de emprendimiento mediante el acompañamiento técnico y servicio de ap0</v>
      </c>
      <c r="K216" s="7" t="str">
        <f t="shared" si="113"/>
        <v>70Fortalecimiento del ecosistema de emprendimiento mediante el acompañamiento técnico y servicio de ap734147338</v>
      </c>
      <c r="L216" s="7" t="str">
        <f t="shared" si="114"/>
        <v>70Fortalecimiento del ecosistema de emprendimiento mediante el acompañamiento técnico y servicio de ap0</v>
      </c>
      <c r="M216" t="s">
        <v>1906</v>
      </c>
      <c r="N216" s="136" t="e">
        <f t="shared" si="110"/>
        <v>#DIV/0!</v>
      </c>
      <c r="O216" s="136"/>
      <c r="P216" s="20" t="e">
        <f t="shared" si="107"/>
        <v>#DIV/0!</v>
      </c>
      <c r="S216" s="20" t="e">
        <f t="shared" si="108"/>
        <v>#DIV/0!</v>
      </c>
      <c r="V216" s="20" t="e">
        <f t="shared" si="109"/>
        <v>#DIV/0!</v>
      </c>
    </row>
    <row r="217" spans="1:22" hidden="1" x14ac:dyDescent="0.3">
      <c r="A217" s="5">
        <v>70</v>
      </c>
      <c r="B217" s="8" t="s">
        <v>935</v>
      </c>
      <c r="C217" s="11">
        <f>+SUMIFS('2021'!Z:Z,'2021'!D:D,CRUCE!A217,'2021'!AT:AT,CRUCE!B217)</f>
        <v>0</v>
      </c>
      <c r="D217" s="11">
        <f>+SUMIFS('2022'!Y:Y,'2022'!D:D,CRUCE!A217,'2022'!AS:AS,CRUCE!B217)</f>
        <v>2301932236.3000002</v>
      </c>
      <c r="E217" s="136" t="e">
        <f t="shared" si="105"/>
        <v>#DIV/0!</v>
      </c>
      <c r="F217" s="11">
        <f>+SUMIFS('2023'!Y:Y,'2023'!D:D,CRUCE!A217,'2023'!AS:AS,CRUCE!B217)</f>
        <v>590023688</v>
      </c>
      <c r="G217" s="136">
        <f t="shared" si="106"/>
        <v>-0.743683294105837</v>
      </c>
      <c r="H217" s="11">
        <f>+SUMIFS('2024'!J:J,'2024'!D:D,CRUCE!A217,'2024'!AT:AT,CRUCE!B217)</f>
        <v>0</v>
      </c>
      <c r="I217" s="7" t="str">
        <f t="shared" si="111"/>
        <v>70Generación de instrumentos de valoración de la amenaza sísmica para el desarrollo de procesos de red0</v>
      </c>
      <c r="J217" s="7" t="str">
        <f t="shared" si="112"/>
        <v>70Generación de instrumentos de valoración de la amenaza sísmica para el desarrollo de procesos de red2301932236,3</v>
      </c>
      <c r="K217" s="7" t="str">
        <f t="shared" si="113"/>
        <v>70Generación de instrumentos de valoración de la amenaza sísmica para el desarrollo de procesos de red590023688</v>
      </c>
      <c r="L217" s="7" t="str">
        <f t="shared" si="114"/>
        <v>70Generación de instrumentos de valoración de la amenaza sísmica para el desarrollo de procesos de red0</v>
      </c>
      <c r="M217" t="s">
        <v>1906</v>
      </c>
      <c r="N217" s="136" t="e">
        <f t="shared" si="110"/>
        <v>#DIV/0!</v>
      </c>
      <c r="O217" s="136"/>
      <c r="P217" s="20" t="e">
        <f t="shared" si="107"/>
        <v>#DIV/0!</v>
      </c>
      <c r="S217" s="20" t="e">
        <f t="shared" si="108"/>
        <v>#DIV/0!</v>
      </c>
      <c r="V217" s="20" t="e">
        <f t="shared" si="109"/>
        <v>#DIV/0!</v>
      </c>
    </row>
    <row r="218" spans="1:22" hidden="1" x14ac:dyDescent="0.3">
      <c r="A218" s="5">
        <v>70</v>
      </c>
      <c r="B218" s="8" t="s">
        <v>937</v>
      </c>
      <c r="C218" s="11">
        <f>+SUMIFS('2021'!Z:Z,'2021'!D:D,CRUCE!A218,'2021'!AT:AT,CRUCE!B218)</f>
        <v>851770533</v>
      </c>
      <c r="D218" s="11">
        <f>+SUMIFS('2022'!Y:Y,'2022'!D:D,CRUCE!A218,'2022'!AS:AS,CRUCE!B218)</f>
        <v>2619930370</v>
      </c>
      <c r="E218" s="136">
        <f t="shared" si="105"/>
        <v>2.0758640602092768</v>
      </c>
      <c r="F218" s="11">
        <f>+SUMIFS('2023'!Y:Y,'2023'!D:D,CRUCE!A218,'2023'!AS:AS,CRUCE!B218)</f>
        <v>7080731234</v>
      </c>
      <c r="G218" s="136">
        <f t="shared" si="106"/>
        <v>1.7026409995774048</v>
      </c>
      <c r="H218" s="11">
        <f>+SUMIFS('2024'!J:J,'2024'!D:D,CRUCE!A218,'2024'!AT:AT,CRUCE!B218)</f>
        <v>0</v>
      </c>
      <c r="I218" s="7" t="str">
        <f t="shared" si="111"/>
        <v>70Implementación de Acciones de Adaptación Etapa I del Plan de Gestión Integral del Cambio Climático (851770533</v>
      </c>
      <c r="J218" s="7" t="str">
        <f t="shared" si="112"/>
        <v>70Implementación de Acciones de Adaptación Etapa I del Plan de Gestión Integral del Cambio Climático (2619930370</v>
      </c>
      <c r="K218" s="7" t="str">
        <f t="shared" si="113"/>
        <v>70Implementación de Acciones de Adaptación Etapa I del Plan de Gestión Integral del Cambio Climático (7080731234</v>
      </c>
      <c r="L218" s="7" t="str">
        <f t="shared" si="114"/>
        <v>70Implementación de Acciones de Adaptación Etapa I del Plan de Gestión Integral del Cambio Climático (0</v>
      </c>
      <c r="M218" t="s">
        <v>1906</v>
      </c>
      <c r="N218" s="136">
        <f t="shared" si="110"/>
        <v>1.8892525298933407</v>
      </c>
      <c r="O218" s="136"/>
      <c r="P218" s="20">
        <f t="shared" si="107"/>
        <v>0</v>
      </c>
      <c r="S218" s="20">
        <f t="shared" si="108"/>
        <v>0</v>
      </c>
      <c r="V218" s="20">
        <f t="shared" si="109"/>
        <v>0</v>
      </c>
    </row>
    <row r="219" spans="1:22" hidden="1" x14ac:dyDescent="0.3">
      <c r="A219" s="5">
        <v>70</v>
      </c>
      <c r="B219" s="8" t="s">
        <v>949</v>
      </c>
      <c r="C219" s="11">
        <f>+SUMIFS('2021'!Z:Z,'2021'!D:D,CRUCE!A219,'2021'!AT:AT,CRUCE!B219)</f>
        <v>43028500</v>
      </c>
      <c r="D219" s="11">
        <f>+SUMIFS('2022'!Y:Y,'2022'!D:D,CRUCE!A219,'2022'!AS:AS,CRUCE!B219)</f>
        <v>112589000</v>
      </c>
      <c r="E219" s="136">
        <f t="shared" si="105"/>
        <v>1.6166145694132958</v>
      </c>
      <c r="F219" s="11">
        <f>+SUMIFS('2023'!Y:Y,'2023'!D:D,CRUCE!A219,'2023'!AS:AS,CRUCE!B219)</f>
        <v>771174080</v>
      </c>
      <c r="G219" s="136">
        <f t="shared" si="106"/>
        <v>5.8494620255975276</v>
      </c>
      <c r="H219" s="11">
        <f>+SUMIFS('2024'!J:J,'2024'!D:D,CRUCE!A219,'2024'!AT:AT,CRUCE!B219)</f>
        <v>0</v>
      </c>
      <c r="I219" s="7" t="str">
        <f t="shared" si="111"/>
        <v>70Implementación de un programa de educación superior para la profesionalización de los artistas, como43028500</v>
      </c>
      <c r="J219" s="7" t="str">
        <f t="shared" si="112"/>
        <v>70Implementación de un programa de educación superior para la profesionalización de los artistas, como112589000</v>
      </c>
      <c r="K219" s="7" t="str">
        <f t="shared" si="113"/>
        <v>70Implementación de un programa de educación superior para la profesionalización de los artistas, como771174080</v>
      </c>
      <c r="L219" s="7" t="str">
        <f t="shared" si="114"/>
        <v>70Implementación de un programa de educación superior para la profesionalización de los artistas, como0</v>
      </c>
      <c r="M219" t="s">
        <v>1906</v>
      </c>
      <c r="N219" s="136">
        <f t="shared" si="110"/>
        <v>3.7330382975054119</v>
      </c>
      <c r="O219" s="136"/>
      <c r="P219" s="20">
        <f t="shared" si="107"/>
        <v>0</v>
      </c>
      <c r="S219" s="20">
        <f t="shared" si="108"/>
        <v>0</v>
      </c>
      <c r="V219" s="20">
        <f t="shared" si="109"/>
        <v>0</v>
      </c>
    </row>
    <row r="220" spans="1:22" hidden="1" x14ac:dyDescent="0.3">
      <c r="A220" s="5">
        <v>70</v>
      </c>
      <c r="B220" s="8" t="s">
        <v>965</v>
      </c>
      <c r="C220" s="11">
        <f>+SUMIFS('2021'!Z:Z,'2021'!D:D,CRUCE!A220,'2021'!AT:AT,CRUCE!B220)</f>
        <v>458417026</v>
      </c>
      <c r="D220" s="11">
        <f>+SUMIFS('2022'!Y:Y,'2022'!D:D,CRUCE!A220,'2022'!AS:AS,CRUCE!B220)</f>
        <v>458417026</v>
      </c>
      <c r="E220" s="136">
        <f t="shared" si="105"/>
        <v>0</v>
      </c>
      <c r="F220" s="11">
        <f>+SUMIFS('2023'!Y:Y,'2023'!D:D,CRUCE!A220,'2023'!AS:AS,CRUCE!B220)</f>
        <v>420804176</v>
      </c>
      <c r="G220" s="136">
        <f t="shared" si="106"/>
        <v>-8.204941759732981E-2</v>
      </c>
      <c r="H220" s="11">
        <f>+SUMIFS('2024'!J:J,'2024'!D:D,CRUCE!A220,'2024'!AT:AT,CRUCE!B220)</f>
        <v>0</v>
      </c>
      <c r="I220" s="7" t="str">
        <f t="shared" si="111"/>
        <v>70Implementación de un Programa de Innovación Social para el Fomento de una Cultura Ciudadana y Empren458417026</v>
      </c>
      <c r="J220" s="7" t="str">
        <f t="shared" si="112"/>
        <v>70Implementación de un Programa de Innovación Social para el Fomento de una Cultura Ciudadana y Empren458417026</v>
      </c>
      <c r="K220" s="7" t="str">
        <f t="shared" si="113"/>
        <v>70Implementación de un Programa de Innovación Social para el Fomento de una Cultura Ciudadana y Empren420804176</v>
      </c>
      <c r="L220" s="7" t="str">
        <f t="shared" si="114"/>
        <v>70Implementación de un Programa de Innovación Social para el Fomento de una Cultura Ciudadana y Empren0</v>
      </c>
      <c r="M220" t="s">
        <v>1906</v>
      </c>
      <c r="N220" s="136">
        <f t="shared" si="110"/>
        <v>-4.1024708798664905E-2</v>
      </c>
      <c r="O220" s="136"/>
      <c r="P220" s="20">
        <f t="shared" si="107"/>
        <v>0</v>
      </c>
      <c r="S220" s="20">
        <f t="shared" si="108"/>
        <v>0</v>
      </c>
      <c r="V220" s="20">
        <f t="shared" si="109"/>
        <v>0</v>
      </c>
    </row>
    <row r="221" spans="1:22" hidden="1" x14ac:dyDescent="0.3">
      <c r="A221" s="5">
        <v>70</v>
      </c>
      <c r="B221" s="8" t="s">
        <v>951</v>
      </c>
      <c r="C221" s="11">
        <f>+SUMIFS('2021'!Z:Z,'2021'!D:D,CRUCE!A221,'2021'!AT:AT,CRUCE!B221)</f>
        <v>65306763.439999998</v>
      </c>
      <c r="D221" s="11">
        <f>+SUMIFS('2022'!Y:Y,'2022'!D:D,CRUCE!A221,'2022'!AS:AS,CRUCE!B221)</f>
        <v>65306763.439999998</v>
      </c>
      <c r="E221" s="136">
        <f t="shared" si="105"/>
        <v>0</v>
      </c>
      <c r="F221" s="11">
        <f>+SUMIFS('2023'!Y:Y,'2023'!D:D,CRUCE!A221,'2023'!AS:AS,CRUCE!B221)</f>
        <v>0</v>
      </c>
      <c r="G221" s="136">
        <f t="shared" si="106"/>
        <v>-1</v>
      </c>
      <c r="H221" s="11">
        <f>+SUMIFS('2024'!J:J,'2024'!D:D,CRUCE!A221,'2024'!AT:AT,CRUCE!B221)</f>
        <v>0</v>
      </c>
      <c r="I221" s="7" t="str">
        <f t="shared" si="111"/>
        <v>70Implementación del plan de acción para mantenimiento preventivo y atención de emergencias en la red 65306763,44</v>
      </c>
      <c r="J221" s="7" t="str">
        <f t="shared" si="112"/>
        <v>70Implementación del plan de acción para mantenimiento preventivo y atención de emergencias en la red 65306763,44</v>
      </c>
      <c r="K221" s="7" t="str">
        <f t="shared" si="113"/>
        <v>70Implementación del plan de acción para mantenimiento preventivo y atención de emergencias en la red 0</v>
      </c>
      <c r="L221" s="7" t="str">
        <f t="shared" si="114"/>
        <v>70Implementación del plan de acción para mantenimiento preventivo y atención de emergencias en la red 0</v>
      </c>
      <c r="M221" t="s">
        <v>1906</v>
      </c>
      <c r="N221" s="136">
        <f t="shared" si="110"/>
        <v>-0.5</v>
      </c>
      <c r="O221" s="136"/>
      <c r="P221" s="20">
        <f t="shared" si="107"/>
        <v>0</v>
      </c>
      <c r="S221" s="20">
        <f t="shared" si="108"/>
        <v>0</v>
      </c>
      <c r="V221" s="20">
        <f t="shared" si="109"/>
        <v>0</v>
      </c>
    </row>
    <row r="222" spans="1:22" hidden="1" x14ac:dyDescent="0.3">
      <c r="A222" s="5">
        <v>70</v>
      </c>
      <c r="B222" s="8" t="s">
        <v>939</v>
      </c>
      <c r="C222" s="11">
        <f>+SUMIFS('2021'!Z:Z,'2021'!D:D,CRUCE!A222,'2021'!AT:AT,CRUCE!B222)</f>
        <v>53806333</v>
      </c>
      <c r="D222" s="11">
        <f>+SUMIFS('2022'!Y:Y,'2022'!D:D,CRUCE!A222,'2022'!AS:AS,CRUCE!B222)</f>
        <v>1580126978.6800001</v>
      </c>
      <c r="E222" s="136">
        <f t="shared" si="105"/>
        <v>28.366933046338616</v>
      </c>
      <c r="F222" s="11">
        <f>+SUMIFS('2023'!Y:Y,'2023'!D:D,CRUCE!A222,'2023'!AS:AS,CRUCE!B222)</f>
        <v>0</v>
      </c>
      <c r="G222" s="136">
        <f t="shared" si="106"/>
        <v>-1</v>
      </c>
      <c r="H222" s="11">
        <f>+SUMIFS('2024'!J:J,'2024'!D:D,CRUCE!A222,'2024'!AT:AT,CRUCE!B222)</f>
        <v>0</v>
      </c>
      <c r="I222" s="7" t="str">
        <f t="shared" si="111"/>
        <v>70Implementación del Prgrama Integral de Bilinguismo Quindio Bilingue y Competitivo en el Departamento53806333</v>
      </c>
      <c r="J222" s="7" t="str">
        <f t="shared" si="112"/>
        <v>70Implementación del Prgrama Integral de Bilinguismo Quindio Bilingue y Competitivo en el Departamento1580126978,68</v>
      </c>
      <c r="K222" s="7" t="str">
        <f t="shared" si="113"/>
        <v>70Implementación del Prgrama Integral de Bilinguismo Quindio Bilingue y Competitivo en el Departamento0</v>
      </c>
      <c r="L222" s="7" t="str">
        <f t="shared" si="114"/>
        <v>70Implementación del Prgrama Integral de Bilinguismo Quindio Bilingue y Competitivo en el Departamento0</v>
      </c>
      <c r="M222" t="s">
        <v>1906</v>
      </c>
      <c r="N222" s="136">
        <f t="shared" si="110"/>
        <v>13.683466523169308</v>
      </c>
      <c r="O222" s="136"/>
      <c r="P222" s="20">
        <f t="shared" si="107"/>
        <v>0</v>
      </c>
      <c r="S222" s="20">
        <f t="shared" si="108"/>
        <v>0</v>
      </c>
      <c r="V222" s="20">
        <f t="shared" si="109"/>
        <v>0</v>
      </c>
    </row>
    <row r="223" spans="1:22" hidden="1" x14ac:dyDescent="0.3">
      <c r="A223" s="5">
        <v>70</v>
      </c>
      <c r="B223" s="8" t="s">
        <v>1471</v>
      </c>
      <c r="C223" s="11">
        <f>+SUMIFS('2021'!Z:Z,'2021'!D:D,CRUCE!A223,'2021'!AT:AT,CRUCE!B223)</f>
        <v>0</v>
      </c>
      <c r="D223" s="11">
        <f>+SUMIFS('2022'!Y:Y,'2022'!D:D,CRUCE!A223,'2022'!AS:AS,CRUCE!B223)</f>
        <v>0</v>
      </c>
      <c r="E223" s="136" t="e">
        <f t="shared" si="105"/>
        <v>#DIV/0!</v>
      </c>
      <c r="F223" s="11">
        <f>+SUMIFS('2023'!Y:Y,'2023'!D:D,CRUCE!A223,'2023'!AS:AS,CRUCE!B223)</f>
        <v>2860757248</v>
      </c>
      <c r="G223" s="136" t="e">
        <f t="shared" si="106"/>
        <v>#DIV/0!</v>
      </c>
      <c r="H223" s="11">
        <f>+SUMIFS('2024'!J:J,'2024'!D:D,CRUCE!A223,'2024'!AT:AT,CRUCE!B223)</f>
        <v>0</v>
      </c>
      <c r="I223" s="7" t="str">
        <f t="shared" si="111"/>
        <v>70Implementación del programa integral de bilingüismo Quindío bilingüe y competitivo en el departamen"0</v>
      </c>
      <c r="J223" s="7" t="str">
        <f t="shared" si="112"/>
        <v>70Implementación del programa integral de bilingüismo Quindío bilingüe y competitivo en el departamen"0</v>
      </c>
      <c r="K223" s="7" t="str">
        <f t="shared" si="113"/>
        <v>70Implementación del programa integral de bilingüismo Quindío bilingüe y competitivo en el departamen"2860757248</v>
      </c>
      <c r="L223" s="7" t="str">
        <f t="shared" si="114"/>
        <v>70Implementación del programa integral de bilingüismo Quindío bilingüe y competitivo en el departamen"0</v>
      </c>
      <c r="M223" t="s">
        <v>1906</v>
      </c>
      <c r="N223" s="136" t="e">
        <f t="shared" si="110"/>
        <v>#DIV/0!</v>
      </c>
      <c r="O223" s="136"/>
      <c r="P223" s="20" t="e">
        <f t="shared" si="107"/>
        <v>#DIV/0!</v>
      </c>
      <c r="S223" s="20" t="e">
        <f t="shared" si="108"/>
        <v>#DIV/0!</v>
      </c>
      <c r="V223" s="20" t="e">
        <f t="shared" si="109"/>
        <v>#DIV/0!</v>
      </c>
    </row>
    <row r="224" spans="1:22" hidden="1" x14ac:dyDescent="0.3">
      <c r="A224" s="5">
        <v>70</v>
      </c>
      <c r="B224" s="8" t="s">
        <v>933</v>
      </c>
      <c r="C224" s="11">
        <f>+SUMIFS('2021'!Z:Z,'2021'!D:D,CRUCE!A224,'2021'!AT:AT,CRUCE!B224)</f>
        <v>0</v>
      </c>
      <c r="D224" s="11">
        <f>+SUMIFS('2022'!Y:Y,'2022'!D:D,CRUCE!A224,'2022'!AS:AS,CRUCE!B224)</f>
        <v>0</v>
      </c>
      <c r="E224" s="136" t="e">
        <f t="shared" si="105"/>
        <v>#DIV/0!</v>
      </c>
      <c r="F224" s="11">
        <f>+SUMIFS('2023'!Y:Y,'2023'!D:D,CRUCE!A224,'2023'!AS:AS,CRUCE!B224)</f>
        <v>0</v>
      </c>
      <c r="G224" s="136" t="e">
        <f t="shared" si="106"/>
        <v>#DIV/0!</v>
      </c>
      <c r="H224" s="11">
        <f>+SUMIFS('2024'!J:J,'2024'!D:D,CRUCE!A224,'2024'!AT:AT,CRUCE!B224)</f>
        <v>0</v>
      </c>
      <c r="I224" s="7" t="str">
        <f t="shared" si="111"/>
        <v>70Mantenimiento, mejoramiento y/o rehabilitación de  obras físicas de infraestructura deportiva y recr0</v>
      </c>
      <c r="J224" s="7" t="str">
        <f t="shared" si="112"/>
        <v>70Mantenimiento, mejoramiento y/o rehabilitación de  obras físicas de infraestructura deportiva y recr0</v>
      </c>
      <c r="K224" s="7" t="str">
        <f t="shared" si="113"/>
        <v>70Mantenimiento, mejoramiento y/o rehabilitación de  obras físicas de infraestructura deportiva y recr0</v>
      </c>
      <c r="L224" s="7" t="str">
        <f t="shared" si="114"/>
        <v>70Mantenimiento, mejoramiento y/o rehabilitación de  obras físicas de infraestructura deportiva y recr0</v>
      </c>
      <c r="M224" t="s">
        <v>1906</v>
      </c>
      <c r="N224" s="136" t="e">
        <f t="shared" si="110"/>
        <v>#DIV/0!</v>
      </c>
      <c r="O224" s="136"/>
      <c r="P224" s="20" t="e">
        <f t="shared" si="107"/>
        <v>#DIV/0!</v>
      </c>
      <c r="S224" s="20" t="e">
        <f t="shared" si="108"/>
        <v>#DIV/0!</v>
      </c>
      <c r="V224" s="20" t="e">
        <f t="shared" si="109"/>
        <v>#DIV/0!</v>
      </c>
    </row>
    <row r="225" spans="1:22" hidden="1" x14ac:dyDescent="0.3">
      <c r="A225" s="5">
        <v>70</v>
      </c>
      <c r="B225" s="8" t="s">
        <v>955</v>
      </c>
      <c r="C225" s="11">
        <f>+SUMIFS('2021'!Z:Z,'2021'!D:D,CRUCE!A225,'2021'!AT:AT,CRUCE!B225)</f>
        <v>6871692468.4799995</v>
      </c>
      <c r="D225" s="11">
        <f>+SUMIFS('2022'!Y:Y,'2022'!D:D,CRUCE!A225,'2022'!AS:AS,CRUCE!B225)</f>
        <v>15754442372.84</v>
      </c>
      <c r="E225" s="136">
        <f t="shared" si="105"/>
        <v>1.2926582417802586</v>
      </c>
      <c r="F225" s="11">
        <f>+SUMIFS('2023'!Y:Y,'2023'!D:D,CRUCE!A225,'2023'!AS:AS,CRUCE!B225)</f>
        <v>7560254069.0100002</v>
      </c>
      <c r="G225" s="136">
        <f t="shared" si="106"/>
        <v>-0.52011922160802326</v>
      </c>
      <c r="H225" s="11">
        <f>+SUMIFS('2024'!J:J,'2024'!D:D,CRUCE!A225,'2024'!AT:AT,CRUCE!B225)</f>
        <v>0</v>
      </c>
      <c r="I225" s="7" t="str">
        <f t="shared" si="111"/>
        <v>70Mejoramiento de la vía Circasia - Montenegro con código 29BQN03, en los municipios de Circasia y Mon6871692468,48</v>
      </c>
      <c r="J225" s="7" t="str">
        <f t="shared" si="112"/>
        <v>70Mejoramiento de la vía Circasia - Montenegro con código 29BQN03, en los municipios de Circasia y Mon15754442372,84</v>
      </c>
      <c r="K225" s="7" t="str">
        <f t="shared" si="113"/>
        <v>70Mejoramiento de la vía Circasia - Montenegro con código 29BQN03, en los municipios de Circasia y Mon7560254069,01</v>
      </c>
      <c r="L225" s="7" t="str">
        <f t="shared" si="114"/>
        <v>70Mejoramiento de la vía Circasia - Montenegro con código 29BQN03, en los municipios de Circasia y Mon0</v>
      </c>
      <c r="M225" t="s">
        <v>1906</v>
      </c>
      <c r="N225" s="136">
        <f t="shared" si="110"/>
        <v>0.38626951008611765</v>
      </c>
      <c r="O225" s="136"/>
      <c r="P225" s="20">
        <f t="shared" si="107"/>
        <v>0</v>
      </c>
      <c r="S225" s="20">
        <f t="shared" si="108"/>
        <v>0</v>
      </c>
      <c r="V225" s="20">
        <f t="shared" si="109"/>
        <v>0</v>
      </c>
    </row>
    <row r="226" spans="1:22" hidden="1" x14ac:dyDescent="0.3">
      <c r="A226" s="5">
        <v>70</v>
      </c>
      <c r="B226" s="8" t="s">
        <v>943</v>
      </c>
      <c r="C226" s="11">
        <f>+SUMIFS('2021'!Z:Z,'2021'!D:D,CRUCE!A226,'2021'!AT:AT,CRUCE!B226)</f>
        <v>0</v>
      </c>
      <c r="D226" s="11">
        <f>+SUMIFS('2022'!Y:Y,'2022'!D:D,CRUCE!A226,'2022'!AS:AS,CRUCE!B226)</f>
        <v>0</v>
      </c>
      <c r="E226" s="136" t="e">
        <f t="shared" si="105"/>
        <v>#DIV/0!</v>
      </c>
      <c r="F226" s="11">
        <f>+SUMIFS('2023'!Y:Y,'2023'!D:D,CRUCE!A226,'2023'!AS:AS,CRUCE!B226)</f>
        <v>0</v>
      </c>
      <c r="G226" s="136" t="e">
        <f t="shared" si="106"/>
        <v>#DIV/0!</v>
      </c>
      <c r="H226" s="11">
        <f>+SUMIFS('2024'!J:J,'2024'!D:D,CRUCE!A226,'2024'!AT:AT,CRUCE!B226)</f>
        <v>0</v>
      </c>
      <c r="I226" s="7" t="str">
        <f t="shared" si="111"/>
        <v>70Mejoramiento de Vías Terciarias Mediante el Uso de Placa Huella en el Departamento de Quindio (Proye0</v>
      </c>
      <c r="J226" s="7" t="str">
        <f t="shared" si="112"/>
        <v>70Mejoramiento de Vías Terciarias Mediante el Uso de Placa Huella en el Departamento de Quindio (Proye0</v>
      </c>
      <c r="K226" s="7" t="str">
        <f t="shared" si="113"/>
        <v>70Mejoramiento de Vías Terciarias Mediante el Uso de Placa Huella en el Departamento de Quindio (Proye0</v>
      </c>
      <c r="L226" s="7" t="str">
        <f t="shared" si="114"/>
        <v>70Mejoramiento de Vías Terciarias Mediante el Uso de Placa Huella en el Departamento de Quindio (Proye0</v>
      </c>
      <c r="M226" t="s">
        <v>1906</v>
      </c>
      <c r="N226" s="136" t="e">
        <f t="shared" si="110"/>
        <v>#DIV/0!</v>
      </c>
      <c r="O226" s="136"/>
      <c r="P226" s="20" t="e">
        <f t="shared" si="107"/>
        <v>#DIV/0!</v>
      </c>
      <c r="S226" s="20" t="e">
        <f t="shared" si="108"/>
        <v>#DIV/0!</v>
      </c>
      <c r="V226" s="20" t="e">
        <f t="shared" si="109"/>
        <v>#DIV/0!</v>
      </c>
    </row>
    <row r="227" spans="1:22" hidden="1" x14ac:dyDescent="0.3">
      <c r="A227" s="5">
        <v>70</v>
      </c>
      <c r="B227" s="8" t="s">
        <v>1490</v>
      </c>
      <c r="C227" s="11">
        <f>+SUMIFS('2021'!Z:Z,'2021'!D:D,CRUCE!A227,'2021'!AT:AT,CRUCE!B227)</f>
        <v>0</v>
      </c>
      <c r="D227" s="11">
        <f>+SUMIFS('2022'!Y:Y,'2022'!D:D,CRUCE!A227,'2022'!AS:AS,CRUCE!B227)</f>
        <v>0</v>
      </c>
      <c r="E227" s="136" t="e">
        <f t="shared" si="105"/>
        <v>#DIV/0!</v>
      </c>
      <c r="F227" s="11">
        <f>+SUMIFS('2023'!Y:Y,'2023'!D:D,CRUCE!A227,'2023'!AS:AS,CRUCE!B227)</f>
        <v>82500000</v>
      </c>
      <c r="G227" s="136" t="e">
        <f t="shared" si="106"/>
        <v>#DIV/0!</v>
      </c>
      <c r="H227" s="11">
        <f>+SUMIFS('2024'!J:J,'2024'!D:D,CRUCE!A227,'2024'!AT:AT,CRUCE!B227)</f>
        <v>0</v>
      </c>
      <c r="I227" s="7" t="str">
        <f t="shared" si="111"/>
        <v>70MODERNIZACION DEL LABORATORIO DE SALUD PUBLICA DEPARTAMENTAL QUINDIO0</v>
      </c>
      <c r="J227" s="7" t="str">
        <f t="shared" si="112"/>
        <v>70MODERNIZACION DEL LABORATORIO DE SALUD PUBLICA DEPARTAMENTAL QUINDIO0</v>
      </c>
      <c r="K227" s="7" t="str">
        <f t="shared" si="113"/>
        <v>70MODERNIZACION DEL LABORATORIO DE SALUD PUBLICA DEPARTAMENTAL QUINDIO82500000</v>
      </c>
      <c r="L227" s="7" t="str">
        <f t="shared" si="114"/>
        <v>70MODERNIZACION DEL LABORATORIO DE SALUD PUBLICA DEPARTAMENTAL QUINDIO0</v>
      </c>
      <c r="M227" t="s">
        <v>1906</v>
      </c>
      <c r="N227" s="136" t="e">
        <f t="shared" si="110"/>
        <v>#DIV/0!</v>
      </c>
      <c r="O227" s="136"/>
      <c r="P227" s="20" t="e">
        <f t="shared" si="107"/>
        <v>#DIV/0!</v>
      </c>
      <c r="S227" s="20" t="e">
        <f t="shared" si="108"/>
        <v>#DIV/0!</v>
      </c>
      <c r="V227" s="20" t="e">
        <f t="shared" si="109"/>
        <v>#DIV/0!</v>
      </c>
    </row>
    <row r="228" spans="1:22" hidden="1" x14ac:dyDescent="0.3">
      <c r="A228" s="5">
        <v>70</v>
      </c>
      <c r="B228" s="8" t="s">
        <v>957</v>
      </c>
      <c r="C228" s="11">
        <f>+SUMIFS('2021'!Z:Z,'2021'!D:D,CRUCE!A228,'2021'!AT:AT,CRUCE!B228)</f>
        <v>0</v>
      </c>
      <c r="D228" s="11">
        <f>+SUMIFS('2022'!Y:Y,'2022'!D:D,CRUCE!A228,'2022'!AS:AS,CRUCE!B228)</f>
        <v>0</v>
      </c>
      <c r="E228" s="136" t="e">
        <f t="shared" si="105"/>
        <v>#DIV/0!</v>
      </c>
      <c r="F228" s="11">
        <f>+SUMIFS('2023'!Y:Y,'2023'!D:D,CRUCE!A228,'2023'!AS:AS,CRUCE!B228)</f>
        <v>0</v>
      </c>
      <c r="G228" s="136" t="e">
        <f t="shared" si="106"/>
        <v>#DIV/0!</v>
      </c>
      <c r="H228" s="11">
        <f>+SUMIFS('2024'!J:J,'2024'!D:D,CRUCE!A228,'2024'!AT:AT,CRUCE!B228)</f>
        <v>0</v>
      </c>
      <c r="I228" s="7" t="str">
        <f t="shared" si="111"/>
        <v>70Rehabilitación y Mejoramiento de la vía Filandia - La India código 29QN02-1 Municipio de Filandia, D0</v>
      </c>
      <c r="J228" s="7" t="str">
        <f t="shared" si="112"/>
        <v>70Rehabilitación y Mejoramiento de la vía Filandia - La India código 29QN02-1 Municipio de Filandia, D0</v>
      </c>
      <c r="K228" s="7" t="str">
        <f t="shared" si="113"/>
        <v>70Rehabilitación y Mejoramiento de la vía Filandia - La India código 29QN02-1 Municipio de Filandia, D0</v>
      </c>
      <c r="L228" s="7" t="str">
        <f t="shared" si="114"/>
        <v>70Rehabilitación y Mejoramiento de la vía Filandia - La India código 29QN02-1 Municipio de Filandia, D0</v>
      </c>
      <c r="M228" t="s">
        <v>1906</v>
      </c>
      <c r="N228" s="136" t="e">
        <f t="shared" si="110"/>
        <v>#DIV/0!</v>
      </c>
      <c r="O228" s="136"/>
      <c r="P228" s="20" t="e">
        <f t="shared" si="107"/>
        <v>#DIV/0!</v>
      </c>
      <c r="S228" s="20" t="e">
        <f t="shared" si="108"/>
        <v>#DIV/0!</v>
      </c>
      <c r="V228" s="20" t="e">
        <f t="shared" si="109"/>
        <v>#DIV/0!</v>
      </c>
    </row>
    <row r="229" spans="1:22" hidden="1" x14ac:dyDescent="0.3">
      <c r="A229" s="5">
        <v>70</v>
      </c>
      <c r="B229" s="8" t="s">
        <v>945</v>
      </c>
      <c r="C229" s="11">
        <f>+SUMIFS('2021'!Z:Z,'2021'!D:D,CRUCE!A229,'2021'!AT:AT,CRUCE!B229)</f>
        <v>423928133.81</v>
      </c>
      <c r="D229" s="11">
        <f>+SUMIFS('2022'!Y:Y,'2022'!D:D,CRUCE!A229,'2022'!AS:AS,CRUCE!B229)</f>
        <v>423928133.81</v>
      </c>
      <c r="E229" s="136">
        <f t="shared" si="105"/>
        <v>0</v>
      </c>
      <c r="F229" s="11">
        <f>+SUMIFS('2023'!Y:Y,'2023'!D:D,CRUCE!A229,'2023'!AS:AS,CRUCE!B229)</f>
        <v>78456441.030000001</v>
      </c>
      <c r="G229" s="136">
        <f t="shared" si="106"/>
        <v>-0.81492985538637697</v>
      </c>
      <c r="H229" s="11">
        <f>+SUMIFS('2024'!J:J,'2024'!D:D,CRUCE!A229,'2024'!AT:AT,CRUCE!B229)</f>
        <v>0</v>
      </c>
      <c r="I229" s="7" t="str">
        <f t="shared" si="111"/>
        <v>70Remodelación y Optimización de Escenarios Deportivos, Obras de Urbanismo Complementarias y Movilidad423928133,81</v>
      </c>
      <c r="J229" s="7" t="str">
        <f t="shared" si="112"/>
        <v>70Remodelación y Optimización de Escenarios Deportivos, Obras de Urbanismo Complementarias y Movilidad423928133,81</v>
      </c>
      <c r="K229" s="7" t="str">
        <f t="shared" si="113"/>
        <v>70Remodelación y Optimización de Escenarios Deportivos, Obras de Urbanismo Complementarias y Movilidad78456441,03</v>
      </c>
      <c r="L229" s="7" t="str">
        <f t="shared" si="114"/>
        <v>70Remodelación y Optimización de Escenarios Deportivos, Obras de Urbanismo Complementarias y Movilidad0</v>
      </c>
      <c r="M229" t="s">
        <v>1906</v>
      </c>
      <c r="N229" s="136">
        <f t="shared" si="110"/>
        <v>-0.40746492769318848</v>
      </c>
      <c r="O229" s="136"/>
      <c r="P229" s="20">
        <f t="shared" si="107"/>
        <v>0</v>
      </c>
      <c r="S229" s="20">
        <f t="shared" si="108"/>
        <v>0</v>
      </c>
      <c r="V229" s="20">
        <f t="shared" si="109"/>
        <v>0</v>
      </c>
    </row>
    <row r="230" spans="1:22" hidden="1" x14ac:dyDescent="0.3">
      <c r="A230" s="5">
        <v>70</v>
      </c>
      <c r="B230" s="8" t="s">
        <v>927</v>
      </c>
      <c r="C230" s="11">
        <f>+SUMIFS('2021'!Z:Z,'2021'!D:D,CRUCE!A230,'2021'!AT:AT,CRUCE!B230)</f>
        <v>3342280963.52</v>
      </c>
      <c r="D230" s="11">
        <f>+SUMIFS('2022'!Y:Y,'2022'!D:D,CRUCE!A230,'2022'!AS:AS,CRUCE!B230)</f>
        <v>5015380324.3299999</v>
      </c>
      <c r="E230" s="136">
        <f t="shared" si="105"/>
        <v>0.50058609047874203</v>
      </c>
      <c r="F230" s="11">
        <f>+SUMIFS('2023'!Y:Y,'2023'!D:D,CRUCE!A230,'2023'!AS:AS,CRUCE!B230)</f>
        <v>950198669.01999998</v>
      </c>
      <c r="G230" s="136">
        <f t="shared" si="106"/>
        <v>-0.81054304806945299</v>
      </c>
      <c r="H230" s="11">
        <f>+SUMIFS('2024'!J:J,'2024'!D:D,CRUCE!A230,'2024'!AT:AT,CRUCE!B230)</f>
        <v>0</v>
      </c>
      <c r="I230" s="7" t="str">
        <f t="shared" si="111"/>
        <v>70Remodelación, modernización y equipamiento de áreas resultantes del reforzamiento estructural y del 3342280963,52</v>
      </c>
      <c r="J230" s="7" t="str">
        <f t="shared" si="112"/>
        <v>70Remodelación, modernización y equipamiento de áreas resultantes del reforzamiento estructural y del 5015380324,33</v>
      </c>
      <c r="K230" s="7" t="str">
        <f t="shared" si="113"/>
        <v>70Remodelación, modernización y equipamiento de áreas resultantes del reforzamiento estructural y del 950198669,02</v>
      </c>
      <c r="L230" s="7" t="str">
        <f t="shared" si="114"/>
        <v>70Remodelación, modernización y equipamiento de áreas resultantes del reforzamiento estructural y del 0</v>
      </c>
      <c r="M230" t="s">
        <v>1906</v>
      </c>
      <c r="N230" s="136">
        <f t="shared" si="110"/>
        <v>-0.15497847879535548</v>
      </c>
      <c r="O230" s="136"/>
      <c r="P230" s="20">
        <f t="shared" si="107"/>
        <v>0</v>
      </c>
      <c r="S230" s="20">
        <f t="shared" si="108"/>
        <v>0</v>
      </c>
      <c r="V230" s="20">
        <f t="shared" si="109"/>
        <v>0</v>
      </c>
    </row>
    <row r="231" spans="1:22" hidden="1" x14ac:dyDescent="0.3">
      <c r="A231" s="5">
        <v>70</v>
      </c>
      <c r="B231" s="8" t="s">
        <v>1454</v>
      </c>
      <c r="C231" s="11">
        <f>+SUMIFS('2021'!Z:Z,'2021'!D:D,CRUCE!A231,'2021'!AT:AT,CRUCE!B231)</f>
        <v>0</v>
      </c>
      <c r="D231" s="11">
        <f>+SUMIFS('2022'!Y:Y,'2022'!D:D,CRUCE!A231,'2022'!AS:AS,CRUCE!B231)</f>
        <v>0</v>
      </c>
      <c r="E231" s="136" t="e">
        <f t="shared" si="105"/>
        <v>#DIV/0!</v>
      </c>
      <c r="F231" s="11">
        <f>+SUMIFS('2023'!Y:Y,'2023'!D:D,CRUCE!A231,'2023'!AS:AS,CRUCE!B231)</f>
        <v>5648071.2000000002</v>
      </c>
      <c r="G231" s="136" t="e">
        <f t="shared" si="106"/>
        <v>#DIV/0!</v>
      </c>
      <c r="H231" s="11">
        <f>+SUMIFS('2024'!J:J,'2024'!D:D,CRUCE!A231,'2024'!AT:AT,CRUCE!B231)</f>
        <v>0</v>
      </c>
      <c r="I231" s="7" t="str">
        <f t="shared" si="111"/>
        <v>70Saldos a 31 de diciembre, para fortalecimiento de las oficinas de planeación y/o las secretarías téc0</v>
      </c>
      <c r="J231" s="7" t="str">
        <f t="shared" si="112"/>
        <v>70Saldos a 31 de diciembre, para fortalecimiento de las oficinas de planeación y/o las secretarías téc0</v>
      </c>
      <c r="K231" s="7" t="str">
        <f t="shared" si="113"/>
        <v>70Saldos a 31 de diciembre, para fortalecimiento de las oficinas de planeación y/o las secretarías téc5648071,2</v>
      </c>
      <c r="L231" s="7" t="str">
        <f t="shared" si="114"/>
        <v>70Saldos a 31 de diciembre, para fortalecimiento de las oficinas de planeación y/o las secretarías téc0</v>
      </c>
      <c r="M231" t="s">
        <v>1906</v>
      </c>
      <c r="N231" s="136" t="e">
        <f t="shared" si="110"/>
        <v>#DIV/0!</v>
      </c>
      <c r="O231" s="136"/>
      <c r="P231" s="20" t="e">
        <f t="shared" si="107"/>
        <v>#DIV/0!</v>
      </c>
      <c r="S231" s="20" t="e">
        <f t="shared" si="108"/>
        <v>#DIV/0!</v>
      </c>
      <c r="V231" s="20" t="e">
        <f t="shared" si="109"/>
        <v>#DIV/0!</v>
      </c>
    </row>
    <row r="232" spans="1:22" hidden="1" x14ac:dyDescent="0.3">
      <c r="A232" s="5">
        <v>70</v>
      </c>
      <c r="B232" s="8" t="s">
        <v>991</v>
      </c>
      <c r="C232" s="11">
        <f>+SUMIFS('2021'!Z:Z,'2021'!D:D,CRUCE!A232,'2021'!AT:AT,CRUCE!B232)</f>
        <v>5619.52</v>
      </c>
      <c r="D232" s="11">
        <f>+SUMIFS('2022'!Y:Y,'2022'!D:D,CRUCE!A232,'2022'!AS:AS,CRUCE!B232)</f>
        <v>623053.87</v>
      </c>
      <c r="E232" s="136">
        <f t="shared" si="105"/>
        <v>109.87314752861452</v>
      </c>
      <c r="F232" s="11">
        <f>+SUMIFS('2023'!Y:Y,'2023'!D:D,CRUCE!A232,'2023'!AS:AS,CRUCE!B232)</f>
        <v>1369101.23</v>
      </c>
      <c r="G232" s="136">
        <f t="shared" si="106"/>
        <v>1.1974042629732804</v>
      </c>
      <c r="H232" s="11">
        <f>+SUMIFS('2024'!J:J,'2024'!D:D,CRUCE!A232,'2024'!AT:AT,CRUCE!B232)</f>
        <v>0</v>
      </c>
      <c r="I232" s="7" t="str">
        <f t="shared" si="111"/>
        <v>70Sistema General de Regalias5619,52</v>
      </c>
      <c r="J232" s="7" t="str">
        <f t="shared" si="112"/>
        <v>70Sistema General de Regalias623053,87</v>
      </c>
      <c r="K232" s="7" t="str">
        <f t="shared" si="113"/>
        <v>70Sistema General de Regalias1369101,23</v>
      </c>
      <c r="L232" s="7" t="str">
        <f t="shared" si="114"/>
        <v>70Sistema General de Regalias0</v>
      </c>
      <c r="M232" t="s">
        <v>1906</v>
      </c>
      <c r="N232" s="136">
        <f t="shared" si="110"/>
        <v>55.535275895793902</v>
      </c>
      <c r="O232" s="136"/>
      <c r="P232" s="20">
        <f t="shared" si="107"/>
        <v>0</v>
      </c>
      <c r="S232" s="20">
        <f t="shared" si="108"/>
        <v>0</v>
      </c>
      <c r="V232" s="20">
        <f t="shared" si="109"/>
        <v>0</v>
      </c>
    </row>
    <row r="233" spans="1:22" hidden="1" x14ac:dyDescent="0.3">
      <c r="A233" s="5">
        <v>72</v>
      </c>
      <c r="B233" s="8" t="s">
        <v>1282</v>
      </c>
      <c r="C233" s="11">
        <f>+SUMIFS('2021'!Z:Z,'2021'!D:D,CRUCE!A233,'2021'!AT:AT,CRUCE!B233)</f>
        <v>4140916.49</v>
      </c>
      <c r="D233" s="11">
        <f>+SUMIFS('2022'!Y:Y,'2022'!D:D,CRUCE!A233,'2022'!AS:AS,CRUCE!B233)</f>
        <v>5202126.55</v>
      </c>
      <c r="E233" s="136">
        <f t="shared" si="105"/>
        <v>0.25627419982091926</v>
      </c>
      <c r="F233" s="11">
        <f>+SUMIFS('2023'!Y:Y,'2023'!D:D,CRUCE!A233,'2023'!AS:AS,CRUCE!B233)</f>
        <v>21708243.760000002</v>
      </c>
      <c r="G233" s="136">
        <f t="shared" si="106"/>
        <v>3.1729557232705154</v>
      </c>
      <c r="H233" s="11">
        <f>+SUMIFS('2024'!J:J,'2024'!D:D,CRUCE!A233,'2024'!AT:AT,CRUCE!B233)</f>
        <v>0</v>
      </c>
      <c r="I233" s="7" t="str">
        <f t="shared" si="111"/>
        <v>72Depósitos Rentas Cedidas4140916,49</v>
      </c>
      <c r="J233" s="7" t="str">
        <f t="shared" si="112"/>
        <v>72Depósitos Rentas Cedidas5202126,55</v>
      </c>
      <c r="K233" s="7" t="str">
        <f t="shared" si="113"/>
        <v>72Depósitos Rentas Cedidas21708243,76</v>
      </c>
      <c r="L233" s="7" t="str">
        <f t="shared" si="114"/>
        <v>72Depósitos Rentas Cedidas0</v>
      </c>
      <c r="M233" t="s">
        <v>1906</v>
      </c>
      <c r="N233" s="136">
        <f t="shared" si="110"/>
        <v>1.7146149615457174</v>
      </c>
      <c r="O233" s="136"/>
      <c r="P233" s="20">
        <f>+H233*1.02</f>
        <v>0</v>
      </c>
      <c r="S233" s="20">
        <f>+P233*1.02</f>
        <v>0</v>
      </c>
      <c r="V233" s="20">
        <f>+S233*1.02</f>
        <v>0</v>
      </c>
    </row>
    <row r="234" spans="1:22" hidden="1" x14ac:dyDescent="0.3">
      <c r="A234" s="5">
        <v>72</v>
      </c>
      <c r="B234" s="8" t="s">
        <v>1096</v>
      </c>
      <c r="C234" s="11">
        <f>+SUMIFS('2021'!Z:Z,'2021'!D:D,CRUCE!A234,'2021'!AT:AT,CRUCE!B234)</f>
        <v>0</v>
      </c>
      <c r="D234" s="11">
        <f>+SUMIFS('2022'!Y:Y,'2022'!D:D,CRUCE!A234,'2022'!AS:AS,CRUCE!B234)</f>
        <v>0</v>
      </c>
      <c r="E234" s="136" t="e">
        <f t="shared" si="105"/>
        <v>#DIV/0!</v>
      </c>
      <c r="F234" s="11">
        <f>+SUMIFS('2023'!Y:Y,'2023'!D:D,CRUCE!A234,'2023'!AS:AS,CRUCE!B234)</f>
        <v>7448377.5</v>
      </c>
      <c r="G234" s="136" t="e">
        <f t="shared" si="106"/>
        <v>#DIV/0!</v>
      </c>
      <c r="H234" s="11">
        <f>+SUMIFS('2024'!J:J,'2024'!D:D,CRUCE!A234,'2024'!AT:AT,CRUCE!B234)</f>
        <v>0</v>
      </c>
      <c r="I234" s="7" t="str">
        <f t="shared" si="111"/>
        <v>72Derechos de monopolio por la introducción de licores destilados de producción extranjera0</v>
      </c>
      <c r="J234" s="7" t="str">
        <f t="shared" si="112"/>
        <v>72Derechos de monopolio por la introducción de licores destilados de producción extranjera0</v>
      </c>
      <c r="K234" s="7" t="str">
        <f t="shared" si="113"/>
        <v>72Derechos de monopolio por la introducción de licores destilados de producción extranjera7448377,5</v>
      </c>
      <c r="L234" s="7" t="str">
        <f t="shared" si="114"/>
        <v>72Derechos de monopolio por la introducción de licores destilados de producción extranjera0</v>
      </c>
      <c r="M234" t="s">
        <v>1906</v>
      </c>
      <c r="N234" s="136" t="e">
        <f t="shared" si="110"/>
        <v>#DIV/0!</v>
      </c>
      <c r="O234" s="136"/>
      <c r="P234" s="20" t="e">
        <f t="shared" si="107"/>
        <v>#DIV/0!</v>
      </c>
      <c r="S234" s="20" t="e">
        <f t="shared" si="108"/>
        <v>#DIV/0!</v>
      </c>
      <c r="V234" s="20" t="e">
        <f t="shared" si="109"/>
        <v>#DIV/0!</v>
      </c>
    </row>
    <row r="235" spans="1:22" hidden="1" x14ac:dyDescent="0.3">
      <c r="A235" s="5">
        <v>72</v>
      </c>
      <c r="B235" s="8" t="s">
        <v>1093</v>
      </c>
      <c r="C235" s="11">
        <f>+SUMIFS('2021'!Z:Z,'2021'!D:D,CRUCE!A235,'2021'!AT:AT,CRUCE!B235)</f>
        <v>0</v>
      </c>
      <c r="D235" s="11">
        <f>+SUMIFS('2022'!Y:Y,'2022'!D:D,CRUCE!A235,'2022'!AS:AS,CRUCE!B235)</f>
        <v>29127444.640000001</v>
      </c>
      <c r="E235" s="136" t="e">
        <f t="shared" si="105"/>
        <v>#DIV/0!</v>
      </c>
      <c r="F235" s="11">
        <f>+SUMIFS('2023'!Y:Y,'2023'!D:D,CRUCE!A235,'2023'!AS:AS,CRUCE!B235)</f>
        <v>0</v>
      </c>
      <c r="G235" s="136">
        <f t="shared" si="106"/>
        <v>-1</v>
      </c>
      <c r="H235" s="11">
        <f>+SUMIFS('2024'!J:J,'2024'!D:D,CRUCE!A235,'2024'!AT:AT,CRUCE!B235)</f>
        <v>0</v>
      </c>
      <c r="I235" s="7" t="str">
        <f t="shared" si="111"/>
        <v>72Derechos de monopolio por la introducción de licores destilados de producción Nacional0</v>
      </c>
      <c r="J235" s="7" t="str">
        <f t="shared" si="112"/>
        <v>72Derechos de monopolio por la introducción de licores destilados de producción Nacional29127444,64</v>
      </c>
      <c r="K235" s="7" t="str">
        <f t="shared" si="113"/>
        <v>72Derechos de monopolio por la introducción de licores destilados de producción Nacional0</v>
      </c>
      <c r="L235" s="7" t="str">
        <f t="shared" si="114"/>
        <v>72Derechos de monopolio por la introducción de licores destilados de producción Nacional0</v>
      </c>
      <c r="M235" t="s">
        <v>1906</v>
      </c>
      <c r="N235" s="136" t="e">
        <f t="shared" si="110"/>
        <v>#DIV/0!</v>
      </c>
      <c r="O235" s="136"/>
      <c r="P235" s="20" t="e">
        <f t="shared" si="107"/>
        <v>#DIV/0!</v>
      </c>
      <c r="S235" s="20" t="e">
        <f t="shared" si="108"/>
        <v>#DIV/0!</v>
      </c>
      <c r="V235" s="20" t="e">
        <f t="shared" si="109"/>
        <v>#DIV/0!</v>
      </c>
    </row>
    <row r="236" spans="1:22" hidden="1" x14ac:dyDescent="0.3">
      <c r="A236" s="5">
        <v>72</v>
      </c>
      <c r="B236" s="8" t="s">
        <v>1091</v>
      </c>
      <c r="C236" s="11">
        <f>+SUMIFS('2021'!Z:Z,'2021'!D:D,CRUCE!A236,'2021'!AT:AT,CRUCE!B236)</f>
        <v>0</v>
      </c>
      <c r="D236" s="11">
        <f>+SUMIFS('2022'!Y:Y,'2022'!D:D,CRUCE!A236,'2022'!AS:AS,CRUCE!B236)</f>
        <v>84782966.390000001</v>
      </c>
      <c r="E236" s="136" t="e">
        <f t="shared" si="105"/>
        <v>#DIV/0!</v>
      </c>
      <c r="F236" s="11">
        <f>+SUMIFS('2023'!Y:Y,'2023'!D:D,CRUCE!A236,'2023'!AS:AS,CRUCE!B236)</f>
        <v>70108021.430000007</v>
      </c>
      <c r="G236" s="136">
        <f t="shared" si="106"/>
        <v>-0.17308836414729264</v>
      </c>
      <c r="H236" s="11">
        <f>+SUMIFS('2024'!J:J,'2024'!D:D,CRUCE!A236,'2024'!AT:AT,CRUCE!B236)</f>
        <v>0</v>
      </c>
      <c r="I236" s="7" t="str">
        <f t="shared" si="111"/>
        <v>72Derechos de monopolio por la introducción de licores destilados de producción nacional (Monopolio pa0</v>
      </c>
      <c r="J236" s="7" t="str">
        <f t="shared" si="112"/>
        <v>72Derechos de monopolio por la introducción de licores destilados de producción nacional (Monopolio pa84782966,39</v>
      </c>
      <c r="K236" s="7" t="str">
        <f t="shared" si="113"/>
        <v>72Derechos de monopolio por la introducción de licores destilados de producción nacional (Monopolio pa70108021,43</v>
      </c>
      <c r="L236" s="7" t="str">
        <f t="shared" si="114"/>
        <v>72Derechos de monopolio por la introducción de licores destilados de producción nacional (Monopolio pa0</v>
      </c>
      <c r="M236" t="s">
        <v>1906</v>
      </c>
      <c r="N236" s="136" t="e">
        <f t="shared" si="110"/>
        <v>#DIV/0!</v>
      </c>
      <c r="O236" s="136"/>
      <c r="P236" s="20" t="e">
        <f t="shared" si="107"/>
        <v>#DIV/0!</v>
      </c>
      <c r="S236" s="20" t="e">
        <f t="shared" si="108"/>
        <v>#DIV/0!</v>
      </c>
      <c r="V236" s="20" t="e">
        <f t="shared" si="109"/>
        <v>#DIV/0!</v>
      </c>
    </row>
    <row r="237" spans="1:22" x14ac:dyDescent="0.3">
      <c r="A237" s="5">
        <v>72</v>
      </c>
      <c r="B237" s="8" t="s">
        <v>766</v>
      </c>
      <c r="C237" s="11">
        <f>+SUMIFS('2021'!Z:Z,'2021'!D:D,CRUCE!A237,'2021'!AT:AT,CRUCE!B237)</f>
        <v>82520665</v>
      </c>
      <c r="D237" s="11">
        <f>+SUMIFS('2022'!Y:Y,'2022'!D:D,CRUCE!A237,'2022'!AS:AS,CRUCE!B237)</f>
        <v>165697700</v>
      </c>
      <c r="E237" s="136">
        <f t="shared" si="105"/>
        <v>1.0079540076416011</v>
      </c>
      <c r="F237" s="11">
        <f>+SUMIFS('2023'!Y:Y,'2023'!D:D,CRUCE!A237,'2023'!AS:AS,CRUCE!B237)</f>
        <v>115408700</v>
      </c>
      <c r="G237" s="136">
        <f t="shared" si="106"/>
        <v>-0.3034984794598839</v>
      </c>
      <c r="H237" s="11">
        <f>+SUMIFS('2024'!J:J,'2024'!D:D,CRUCE!A237,'2024'!AT:AT,CRUCE!B237)</f>
        <v>112876872.84</v>
      </c>
      <c r="I237" s="7" t="str">
        <f t="shared" si="111"/>
        <v>72Explotacion Sorteo Extraordinario 25%82520665</v>
      </c>
      <c r="J237" s="7" t="str">
        <f t="shared" si="112"/>
        <v>72Explotacion Sorteo Extraordinario 25%165697700</v>
      </c>
      <c r="K237" s="7" t="str">
        <f t="shared" si="113"/>
        <v>72Explotacion Sorteo Extraordinario 25%115408700</v>
      </c>
      <c r="L237" s="7" t="str">
        <f t="shared" si="114"/>
        <v>72Explotacion Sorteo Extraordinario 25%112876872,84</v>
      </c>
      <c r="M237" t="s">
        <v>1906</v>
      </c>
      <c r="N237" s="136">
        <v>0.05</v>
      </c>
      <c r="O237" s="136"/>
      <c r="P237" s="20">
        <f t="shared" si="107"/>
        <v>118520716.48200001</v>
      </c>
      <c r="Q237" s="136">
        <f t="shared" ref="Q237:Q238" si="119">+N237</f>
        <v>0.05</v>
      </c>
      <c r="R237" s="136">
        <f t="shared" ref="R237:R238" si="120">+Q237</f>
        <v>0.05</v>
      </c>
      <c r="S237" s="20">
        <f t="shared" si="108"/>
        <v>124446752.30610001</v>
      </c>
      <c r="U237" s="136">
        <f t="shared" ref="U237:U238" si="121">+R237</f>
        <v>0.05</v>
      </c>
      <c r="V237" s="20">
        <f t="shared" si="109"/>
        <v>130669089.92140502</v>
      </c>
    </row>
    <row r="238" spans="1:22" x14ac:dyDescent="0.3">
      <c r="A238" s="5">
        <v>72</v>
      </c>
      <c r="B238" s="8" t="s">
        <v>768</v>
      </c>
      <c r="C238" s="11">
        <f>+SUMIFS('2021'!Z:Z,'2021'!D:D,CRUCE!A238,'2021'!AT:AT,CRUCE!B238)</f>
        <v>509046480</v>
      </c>
      <c r="D238" s="11">
        <f>+SUMIFS('2022'!Y:Y,'2022'!D:D,CRUCE!A238,'2022'!AS:AS,CRUCE!B238)</f>
        <v>539472960</v>
      </c>
      <c r="E238" s="136">
        <f t="shared" si="105"/>
        <v>5.9771516345619363E-2</v>
      </c>
      <c r="F238" s="11">
        <f>+SUMIFS('2023'!Y:Y,'2023'!D:D,CRUCE!A238,'2023'!AS:AS,CRUCE!B238)</f>
        <v>595722165</v>
      </c>
      <c r="G238" s="136">
        <f t="shared" si="106"/>
        <v>0.10426695899642495</v>
      </c>
      <c r="H238" s="11">
        <f>+SUMIFS('2024'!J:J,'2024'!D:D,CRUCE!A238,'2024'!AT:AT,CRUCE!B238)</f>
        <v>564704627.15999997</v>
      </c>
      <c r="I238" s="7" t="str">
        <f t="shared" si="111"/>
        <v>72Explotacion Sorteo Ordinario Loterias 25%509046480</v>
      </c>
      <c r="J238" s="7" t="str">
        <f t="shared" si="112"/>
        <v>72Explotacion Sorteo Ordinario Loterias 25%539472960</v>
      </c>
      <c r="K238" s="7" t="str">
        <f t="shared" si="113"/>
        <v>72Explotacion Sorteo Ordinario Loterias 25%595722165</v>
      </c>
      <c r="L238" s="7" t="str">
        <f t="shared" si="114"/>
        <v>72Explotacion Sorteo Ordinario Loterias 25%564704627,16</v>
      </c>
      <c r="M238" t="s">
        <v>1906</v>
      </c>
      <c r="N238" s="136">
        <v>0.05</v>
      </c>
      <c r="O238" s="136"/>
      <c r="P238" s="20">
        <f t="shared" si="107"/>
        <v>592939858.51800001</v>
      </c>
      <c r="Q238" s="136">
        <f t="shared" si="119"/>
        <v>0.05</v>
      </c>
      <c r="R238" s="136">
        <f t="shared" si="120"/>
        <v>0.05</v>
      </c>
      <c r="S238" s="20">
        <f t="shared" si="108"/>
        <v>622586851.44389999</v>
      </c>
      <c r="U238" s="136">
        <f t="shared" si="121"/>
        <v>0.05</v>
      </c>
      <c r="V238" s="20">
        <f t="shared" si="109"/>
        <v>653716194.01609504</v>
      </c>
    </row>
    <row r="239" spans="1:22" hidden="1" x14ac:dyDescent="0.3">
      <c r="A239" s="5">
        <v>72</v>
      </c>
      <c r="B239" s="8" t="s">
        <v>700</v>
      </c>
      <c r="C239" s="11">
        <f>+SUMIFS('2021'!Z:Z,'2021'!D:D,CRUCE!A239,'2021'!AT:AT,CRUCE!B239)</f>
        <v>13355500</v>
      </c>
      <c r="D239" s="11">
        <f>+SUMIFS('2022'!Y:Y,'2022'!D:D,CRUCE!A239,'2022'!AS:AS,CRUCE!B239)</f>
        <v>0</v>
      </c>
      <c r="E239" s="136">
        <f t="shared" si="105"/>
        <v>-1</v>
      </c>
      <c r="F239" s="11">
        <f>+SUMIFS('2023'!Y:Y,'2023'!D:D,CRUCE!A239,'2023'!AS:AS,CRUCE!B239)</f>
        <v>0</v>
      </c>
      <c r="G239" s="136" t="e">
        <f t="shared" si="106"/>
        <v>#DIV/0!</v>
      </c>
      <c r="H239" s="11">
        <f>+SUMIFS('2024'!J:J,'2024'!D:D,CRUCE!A239,'2024'!AT:AT,CRUCE!B239)</f>
        <v>0</v>
      </c>
      <c r="I239" s="7" t="str">
        <f t="shared" si="111"/>
        <v>72Impuesto  Consumo de Cerveza Producción Extranjera 25%13355500</v>
      </c>
      <c r="J239" s="7" t="str">
        <f t="shared" si="112"/>
        <v>72Impuesto  Consumo de Cerveza Producción Extranjera 25%0</v>
      </c>
      <c r="K239" s="7" t="str">
        <f t="shared" si="113"/>
        <v>72Impuesto  Consumo de Cerveza Producción Extranjera 25%0</v>
      </c>
      <c r="L239" s="7" t="str">
        <f t="shared" si="114"/>
        <v>72Impuesto  Consumo de Cerveza Producción Extranjera 25%0</v>
      </c>
      <c r="M239" t="s">
        <v>1906</v>
      </c>
      <c r="N239" s="136" t="e">
        <f t="shared" si="110"/>
        <v>#DIV/0!</v>
      </c>
      <c r="O239" s="136"/>
      <c r="P239" s="20" t="e">
        <f t="shared" si="107"/>
        <v>#DIV/0!</v>
      </c>
      <c r="S239" s="20" t="e">
        <f t="shared" si="108"/>
        <v>#DIV/0!</v>
      </c>
      <c r="V239" s="20" t="e">
        <f t="shared" si="109"/>
        <v>#DIV/0!</v>
      </c>
    </row>
    <row r="240" spans="1:22" hidden="1" x14ac:dyDescent="0.3">
      <c r="A240" s="5">
        <v>72</v>
      </c>
      <c r="B240" s="8" t="s">
        <v>695</v>
      </c>
      <c r="C240" s="11">
        <f>+SUMIFS('2021'!Z:Z,'2021'!D:D,CRUCE!A240,'2021'!AT:AT,CRUCE!B240)</f>
        <v>847708250</v>
      </c>
      <c r="D240" s="11">
        <f>+SUMIFS('2022'!Y:Y,'2022'!D:D,CRUCE!A240,'2022'!AS:AS,CRUCE!B240)</f>
        <v>0</v>
      </c>
      <c r="E240" s="136">
        <f t="shared" si="105"/>
        <v>-1</v>
      </c>
      <c r="F240" s="11">
        <f>+SUMIFS('2023'!Y:Y,'2023'!D:D,CRUCE!A240,'2023'!AS:AS,CRUCE!B240)</f>
        <v>0</v>
      </c>
      <c r="G240" s="136" t="e">
        <f t="shared" si="106"/>
        <v>#DIV/0!</v>
      </c>
      <c r="H240" s="11">
        <f>+SUMIFS('2024'!J:J,'2024'!D:D,CRUCE!A240,'2024'!AT:AT,CRUCE!B240)</f>
        <v>0</v>
      </c>
      <c r="I240" s="7" t="str">
        <f t="shared" si="111"/>
        <v>72Impuesto  Consumo de Cerveza Producción Nacional  25%847708250</v>
      </c>
      <c r="J240" s="7" t="str">
        <f t="shared" si="112"/>
        <v>72Impuesto  Consumo de Cerveza Producción Nacional  25%0</v>
      </c>
      <c r="K240" s="7" t="str">
        <f t="shared" si="113"/>
        <v>72Impuesto  Consumo de Cerveza Producción Nacional  25%0</v>
      </c>
      <c r="L240" s="7" t="str">
        <f t="shared" si="114"/>
        <v>72Impuesto  Consumo de Cerveza Producción Nacional  25%0</v>
      </c>
      <c r="M240" t="s">
        <v>1906</v>
      </c>
      <c r="N240" s="136" t="e">
        <f t="shared" si="110"/>
        <v>#DIV/0!</v>
      </c>
      <c r="O240" s="136"/>
      <c r="P240" s="20" t="e">
        <f t="shared" si="107"/>
        <v>#DIV/0!</v>
      </c>
      <c r="S240" s="20" t="e">
        <f t="shared" si="108"/>
        <v>#DIV/0!</v>
      </c>
      <c r="V240" s="20" t="e">
        <f t="shared" si="109"/>
        <v>#DIV/0!</v>
      </c>
    </row>
    <row r="241" spans="1:22" hidden="1" x14ac:dyDescent="0.3">
      <c r="A241" s="5">
        <v>72</v>
      </c>
      <c r="B241" s="8" t="s">
        <v>655</v>
      </c>
      <c r="C241" s="11">
        <f>+SUMIFS('2021'!Z:Z,'2021'!D:D,CRUCE!A241,'2021'!AT:AT,CRUCE!B241)</f>
        <v>22850251</v>
      </c>
      <c r="D241" s="11">
        <f>+SUMIFS('2022'!Y:Y,'2022'!D:D,CRUCE!A241,'2022'!AS:AS,CRUCE!B241)</f>
        <v>31181881</v>
      </c>
      <c r="E241" s="136">
        <f t="shared" si="105"/>
        <v>0.36461875189029652</v>
      </c>
      <c r="F241" s="11">
        <f>+SUMIFS('2023'!Y:Y,'2023'!D:D,CRUCE!A241,'2023'!AS:AS,CRUCE!B241)</f>
        <v>26895106</v>
      </c>
      <c r="G241" s="136">
        <f t="shared" si="106"/>
        <v>-0.13747647231416218</v>
      </c>
      <c r="H241" s="11">
        <f>+SUMIFS('2024'!J:J,'2024'!D:D,CRUCE!A241,'2024'!AT:AT,CRUCE!B241)</f>
        <v>0</v>
      </c>
      <c r="I241" s="7" t="str">
        <f t="shared" si="111"/>
        <v>72Impuesto a Ganadores Sorteo Extraordinario 25%22850251</v>
      </c>
      <c r="J241" s="7" t="str">
        <f t="shared" si="112"/>
        <v>72Impuesto a Ganadores Sorteo Extraordinario 25%31181881</v>
      </c>
      <c r="K241" s="7" t="str">
        <f t="shared" si="113"/>
        <v>72Impuesto a Ganadores Sorteo Extraordinario 25%26895106</v>
      </c>
      <c r="L241" s="7" t="str">
        <f t="shared" si="114"/>
        <v>72Impuesto a Ganadores Sorteo Extraordinario 25%0</v>
      </c>
      <c r="M241" t="s">
        <v>1906</v>
      </c>
      <c r="N241" s="136">
        <f t="shared" si="110"/>
        <v>0.11357113978806717</v>
      </c>
      <c r="O241" s="136"/>
      <c r="P241" s="20">
        <f t="shared" si="107"/>
        <v>0</v>
      </c>
      <c r="S241" s="20">
        <f t="shared" si="108"/>
        <v>0</v>
      </c>
      <c r="V241" s="20">
        <f t="shared" si="109"/>
        <v>0</v>
      </c>
    </row>
    <row r="242" spans="1:22" hidden="1" x14ac:dyDescent="0.3">
      <c r="A242" s="5">
        <v>72</v>
      </c>
      <c r="B242" s="8" t="s">
        <v>658</v>
      </c>
      <c r="C242" s="11">
        <f>+SUMIFS('2021'!Z:Z,'2021'!D:D,CRUCE!A242,'2021'!AT:AT,CRUCE!B242)</f>
        <v>161968521</v>
      </c>
      <c r="D242" s="11">
        <f>+SUMIFS('2022'!Y:Y,'2022'!D:D,CRUCE!A242,'2022'!AS:AS,CRUCE!B242)</f>
        <v>183895078</v>
      </c>
      <c r="E242" s="136">
        <f t="shared" si="105"/>
        <v>0.13537542273414968</v>
      </c>
      <c r="F242" s="11">
        <f>+SUMIFS('2023'!Y:Y,'2023'!D:D,CRUCE!A242,'2023'!AS:AS,CRUCE!B242)</f>
        <v>279025802</v>
      </c>
      <c r="G242" s="136">
        <f t="shared" si="106"/>
        <v>0.51730978900914359</v>
      </c>
      <c r="H242" s="11">
        <f>+SUMIFS('2024'!J:J,'2024'!D:D,CRUCE!A242,'2024'!AT:AT,CRUCE!B242)</f>
        <v>0</v>
      </c>
      <c r="I242" s="7" t="str">
        <f t="shared" si="111"/>
        <v>72Impuesto a Ganadores Sorteo Ordinario 25%161968521</v>
      </c>
      <c r="J242" s="7" t="str">
        <f t="shared" si="112"/>
        <v>72Impuesto a Ganadores Sorteo Ordinario 25%183895078</v>
      </c>
      <c r="K242" s="7" t="str">
        <f t="shared" si="113"/>
        <v>72Impuesto a Ganadores Sorteo Ordinario 25%279025802</v>
      </c>
      <c r="L242" s="7" t="str">
        <f t="shared" si="114"/>
        <v>72Impuesto a Ganadores Sorteo Ordinario 25%0</v>
      </c>
      <c r="M242" t="s">
        <v>1906</v>
      </c>
      <c r="N242" s="136">
        <f t="shared" si="110"/>
        <v>0.32634260587164665</v>
      </c>
      <c r="O242" s="136"/>
      <c r="P242" s="20">
        <f t="shared" si="107"/>
        <v>0</v>
      </c>
      <c r="S242" s="20">
        <f t="shared" si="108"/>
        <v>0</v>
      </c>
      <c r="V242" s="20">
        <f t="shared" si="109"/>
        <v>0</v>
      </c>
    </row>
    <row r="243" spans="1:22" hidden="1" x14ac:dyDescent="0.3">
      <c r="A243" s="5">
        <v>72</v>
      </c>
      <c r="B243" s="8" t="s">
        <v>104</v>
      </c>
      <c r="C243" s="11">
        <f>+SUMIFS('2021'!Z:Z,'2021'!D:D,CRUCE!A243,'2021'!AT:AT,CRUCE!B243)</f>
        <v>1987011024.97</v>
      </c>
      <c r="D243" s="11">
        <f>+SUMIFS('2022'!Y:Y,'2022'!D:D,CRUCE!A243,'2022'!AS:AS,CRUCE!B243)</f>
        <v>9777000</v>
      </c>
      <c r="E243" s="136">
        <f t="shared" si="105"/>
        <v>-0.99507954416098543</v>
      </c>
      <c r="F243" s="11">
        <f>+SUMIFS('2023'!Y:Y,'2023'!D:D,CRUCE!A243,'2023'!AS:AS,CRUCE!B243)</f>
        <v>19627500</v>
      </c>
      <c r="G243" s="136">
        <f t="shared" si="106"/>
        <v>1.0075176434489108</v>
      </c>
      <c r="H243" s="11">
        <f>+SUMIFS('2024'!J:J,'2024'!D:D,CRUCE!A243,'2024'!AT:AT,CRUCE!B243)</f>
        <v>0</v>
      </c>
      <c r="I243" s="7" t="str">
        <f t="shared" si="111"/>
        <v>72Impuesto al consumo de cervezas, sifones, refajos y mezclas - Extranjeras1987011024,97</v>
      </c>
      <c r="J243" s="7" t="str">
        <f t="shared" si="112"/>
        <v>72Impuesto al consumo de cervezas, sifones, refajos y mezclas - Extranjeras9777000</v>
      </c>
      <c r="K243" s="7" t="str">
        <f t="shared" si="113"/>
        <v>72Impuesto al consumo de cervezas, sifones, refajos y mezclas - Extranjeras19627500</v>
      </c>
      <c r="L243" s="7" t="str">
        <f t="shared" si="114"/>
        <v>72Impuesto al consumo de cervezas, sifones, refajos y mezclas - Extranjeras0</v>
      </c>
      <c r="M243" t="s">
        <v>1906</v>
      </c>
      <c r="N243" s="136">
        <f t="shared" si="110"/>
        <v>6.219049643962693E-3</v>
      </c>
      <c r="O243" s="136"/>
      <c r="P243" s="20">
        <f t="shared" si="107"/>
        <v>0</v>
      </c>
      <c r="S243" s="20">
        <f t="shared" si="108"/>
        <v>0</v>
      </c>
      <c r="V243" s="20">
        <f t="shared" si="109"/>
        <v>0</v>
      </c>
    </row>
    <row r="244" spans="1:22" hidden="1" x14ac:dyDescent="0.3">
      <c r="A244" s="5">
        <v>72</v>
      </c>
      <c r="B244" s="8" t="s">
        <v>102</v>
      </c>
      <c r="C244" s="11">
        <f>+SUMIFS('2021'!Z:Z,'2021'!D:D,CRUCE!A244,'2021'!AT:AT,CRUCE!B244)</f>
        <v>0</v>
      </c>
      <c r="D244" s="11">
        <f>+SUMIFS('2022'!Y:Y,'2022'!D:D,CRUCE!A244,'2022'!AS:AS,CRUCE!B244)</f>
        <v>933350750</v>
      </c>
      <c r="E244" s="136" t="e">
        <f t="shared" si="105"/>
        <v>#DIV/0!</v>
      </c>
      <c r="F244" s="11">
        <f>+SUMIFS('2023'!Y:Y,'2023'!D:D,CRUCE!A244,'2023'!AS:AS,CRUCE!B244)</f>
        <v>1049344250</v>
      </c>
      <c r="G244" s="136">
        <f t="shared" si="106"/>
        <v>0.12427643091303028</v>
      </c>
      <c r="H244" s="11">
        <f>+SUMIFS('2024'!J:J,'2024'!D:D,CRUCE!A244,'2024'!AT:AT,CRUCE!B244)</f>
        <v>0</v>
      </c>
      <c r="I244" s="7" t="str">
        <f t="shared" si="111"/>
        <v>72Impuesto al consumo de cervezas, sifones, refajos y mezclas - Nacionales0</v>
      </c>
      <c r="J244" s="7" t="str">
        <f t="shared" si="112"/>
        <v>72Impuesto al consumo de cervezas, sifones, refajos y mezclas - Nacionales933350750</v>
      </c>
      <c r="K244" s="7" t="str">
        <f t="shared" si="113"/>
        <v>72Impuesto al consumo de cervezas, sifones, refajos y mezclas - Nacionales1049344250</v>
      </c>
      <c r="L244" s="7" t="str">
        <f t="shared" si="114"/>
        <v>72Impuesto al consumo de cervezas, sifones, refajos y mezclas - Nacionales0</v>
      </c>
      <c r="M244" t="s">
        <v>1906</v>
      </c>
      <c r="N244" s="136" t="e">
        <f t="shared" si="110"/>
        <v>#DIV/0!</v>
      </c>
      <c r="O244" s="136"/>
      <c r="P244" s="20" t="e">
        <f t="shared" si="107"/>
        <v>#DIV/0!</v>
      </c>
      <c r="S244" s="20" t="e">
        <f t="shared" si="108"/>
        <v>#DIV/0!</v>
      </c>
      <c r="V244" s="20" t="e">
        <f t="shared" si="109"/>
        <v>#DIV/0!</v>
      </c>
    </row>
    <row r="245" spans="1:22" hidden="1" x14ac:dyDescent="0.3">
      <c r="A245" s="5">
        <v>72</v>
      </c>
      <c r="B245" s="8" t="s">
        <v>98</v>
      </c>
      <c r="C245" s="11">
        <f>+SUMIFS('2021'!Z:Z,'2021'!D:D,CRUCE!A245,'2021'!AT:AT,CRUCE!B245)</f>
        <v>1281035355.3399999</v>
      </c>
      <c r="D245" s="11">
        <f>+SUMIFS('2022'!Y:Y,'2022'!D:D,CRUCE!A245,'2022'!AS:AS,CRUCE!B245)</f>
        <v>469567405</v>
      </c>
      <c r="E245" s="136">
        <f t="shared" si="105"/>
        <v>-0.63344695910022564</v>
      </c>
      <c r="F245" s="11">
        <f>+SUMIFS('2023'!Y:Y,'2023'!D:D,CRUCE!A245,'2023'!AS:AS,CRUCE!B245)</f>
        <v>366123126</v>
      </c>
      <c r="G245" s="136">
        <f t="shared" si="106"/>
        <v>-0.22029697525534167</v>
      </c>
      <c r="H245" s="11">
        <f>+SUMIFS('2024'!J:J,'2024'!D:D,CRUCE!A245,'2024'!AT:AT,CRUCE!B245)</f>
        <v>0</v>
      </c>
      <c r="I245" s="7" t="str">
        <f t="shared" si="111"/>
        <v>72Impuesto al consumo de vinos, aperitivos y similares - Extranjeros1281035355,34</v>
      </c>
      <c r="J245" s="7" t="str">
        <f t="shared" si="112"/>
        <v>72Impuesto al consumo de vinos, aperitivos y similares - Extranjeros469567405</v>
      </c>
      <c r="K245" s="7" t="str">
        <f t="shared" si="113"/>
        <v>72Impuesto al consumo de vinos, aperitivos y similares - Extranjeros366123126</v>
      </c>
      <c r="L245" s="7" t="str">
        <f t="shared" si="114"/>
        <v>72Impuesto al consumo de vinos, aperitivos y similares - Extranjeros0</v>
      </c>
      <c r="M245" t="s">
        <v>1906</v>
      </c>
      <c r="N245" s="136">
        <f t="shared" si="110"/>
        <v>-0.42687196717778364</v>
      </c>
      <c r="O245" s="136"/>
      <c r="P245" s="20">
        <f t="shared" si="107"/>
        <v>0</v>
      </c>
      <c r="S245" s="20">
        <f t="shared" si="108"/>
        <v>0</v>
      </c>
      <c r="V245" s="20">
        <f t="shared" si="109"/>
        <v>0</v>
      </c>
    </row>
    <row r="246" spans="1:22" hidden="1" x14ac:dyDescent="0.3">
      <c r="A246" s="5">
        <v>72</v>
      </c>
      <c r="B246" s="8" t="s">
        <v>96</v>
      </c>
      <c r="C246" s="11">
        <f>+SUMIFS('2021'!Z:Z,'2021'!D:D,CRUCE!A246,'2021'!AT:AT,CRUCE!B246)</f>
        <v>205593518.28</v>
      </c>
      <c r="D246" s="11">
        <f>+SUMIFS('2022'!Y:Y,'2022'!D:D,CRUCE!A246,'2022'!AS:AS,CRUCE!B246)</f>
        <v>154256787.46000001</v>
      </c>
      <c r="E246" s="136">
        <f t="shared" si="105"/>
        <v>-0.24970014254089448</v>
      </c>
      <c r="F246" s="11">
        <f>+SUMIFS('2023'!Y:Y,'2023'!D:D,CRUCE!A246,'2023'!AS:AS,CRUCE!B246)</f>
        <v>128672966.98999999</v>
      </c>
      <c r="G246" s="136">
        <f t="shared" si="106"/>
        <v>-0.1658521540041413</v>
      </c>
      <c r="H246" s="11">
        <f>+SUMIFS('2024'!J:J,'2024'!D:D,CRUCE!A246,'2024'!AT:AT,CRUCE!B246)</f>
        <v>0</v>
      </c>
      <c r="I246" s="7" t="str">
        <f t="shared" si="111"/>
        <v>72Impuesto al consumo de vinos, aperitivos y similares - Nacionales205593518,28</v>
      </c>
      <c r="J246" s="7" t="str">
        <f t="shared" si="112"/>
        <v>72Impuesto al consumo de vinos, aperitivos y similares - Nacionales154256787,46</v>
      </c>
      <c r="K246" s="7" t="str">
        <f t="shared" si="113"/>
        <v>72Impuesto al consumo de vinos, aperitivos y similares - Nacionales128672966,99</v>
      </c>
      <c r="L246" s="7" t="str">
        <f t="shared" si="114"/>
        <v>72Impuesto al consumo de vinos, aperitivos y similares - Nacionales0</v>
      </c>
      <c r="M246" t="s">
        <v>1906</v>
      </c>
      <c r="N246" s="136">
        <f t="shared" si="110"/>
        <v>-0.20777614827251789</v>
      </c>
      <c r="O246" s="136"/>
      <c r="P246" s="20">
        <f t="shared" si="107"/>
        <v>0</v>
      </c>
      <c r="S246" s="20">
        <f t="shared" si="108"/>
        <v>0</v>
      </c>
      <c r="V246" s="20">
        <f t="shared" si="109"/>
        <v>0</v>
      </c>
    </row>
    <row r="247" spans="1:22" hidden="1" x14ac:dyDescent="0.3">
      <c r="A247" s="5">
        <v>72</v>
      </c>
      <c r="B247" s="8" t="s">
        <v>81</v>
      </c>
      <c r="C247" s="11">
        <f>+SUMIFS('2021'!Z:Z,'2021'!D:D,CRUCE!A247,'2021'!AT:AT,CRUCE!B247)</f>
        <v>0</v>
      </c>
      <c r="D247" s="11">
        <f>+SUMIFS('2022'!Y:Y,'2022'!D:D,CRUCE!A247,'2022'!AS:AS,CRUCE!B247)</f>
        <v>0</v>
      </c>
      <c r="E247" s="136" t="e">
        <f t="shared" si="105"/>
        <v>#DIV/0!</v>
      </c>
      <c r="F247" s="11">
        <f>+SUMIFS('2023'!Y:Y,'2023'!D:D,CRUCE!A247,'2023'!AS:AS,CRUCE!B247)</f>
        <v>483706241</v>
      </c>
      <c r="G247" s="136" t="e">
        <f t="shared" si="106"/>
        <v>#DIV/0!</v>
      </c>
      <c r="H247" s="11">
        <f>+SUMIFS('2024'!J:J,'2024'!D:D,CRUCE!A247,'2024'!AT:AT,CRUCE!B247)</f>
        <v>0</v>
      </c>
      <c r="I247" s="7" t="str">
        <f t="shared" si="111"/>
        <v>72IVA sobre licores, vinos, aperitivos y similares (régimen anterior)0</v>
      </c>
      <c r="J247" s="7" t="str">
        <f t="shared" si="112"/>
        <v>72IVA sobre licores, vinos, aperitivos y similares (régimen anterior)0</v>
      </c>
      <c r="K247" s="7" t="str">
        <f t="shared" si="113"/>
        <v>72IVA sobre licores, vinos, aperitivos y similares (régimen anterior)483706241</v>
      </c>
      <c r="L247" s="7" t="str">
        <f t="shared" si="114"/>
        <v>72IVA sobre licores, vinos, aperitivos y similares (régimen anterior)0</v>
      </c>
      <c r="M247" t="s">
        <v>1906</v>
      </c>
      <c r="N247" s="136" t="e">
        <f t="shared" si="110"/>
        <v>#DIV/0!</v>
      </c>
      <c r="O247" s="136"/>
      <c r="P247" s="20" t="e">
        <f t="shared" si="107"/>
        <v>#DIV/0!</v>
      </c>
      <c r="S247" s="20" t="e">
        <f t="shared" si="108"/>
        <v>#DIV/0!</v>
      </c>
      <c r="V247" s="20" t="e">
        <f t="shared" si="109"/>
        <v>#DIV/0!</v>
      </c>
    </row>
    <row r="248" spans="1:22" hidden="1" x14ac:dyDescent="0.3">
      <c r="A248" s="5">
        <v>72</v>
      </c>
      <c r="B248" s="8" t="s">
        <v>797</v>
      </c>
      <c r="C248" s="11">
        <f>+SUMIFS('2021'!Z:Z,'2021'!D:D,CRUCE!A248,'2021'!AT:AT,CRUCE!B248)</f>
        <v>50930953</v>
      </c>
      <c r="D248" s="11">
        <f>+SUMIFS('2022'!Y:Y,'2022'!D:D,CRUCE!A248,'2022'!AS:AS,CRUCE!B248)</f>
        <v>79674715</v>
      </c>
      <c r="E248" s="136">
        <f t="shared" si="105"/>
        <v>0.56436725226798723</v>
      </c>
      <c r="F248" s="11">
        <f>+SUMIFS('2023'!Y:Y,'2023'!D:D,CRUCE!A248,'2023'!AS:AS,CRUCE!B248)</f>
        <v>86527971</v>
      </c>
      <c r="G248" s="136">
        <f t="shared" si="106"/>
        <v>8.6015444171968491E-2</v>
      </c>
      <c r="H248" s="11">
        <f>+SUMIFS('2024'!J:J,'2024'!D:D,CRUCE!A248,'2024'!AT:AT,CRUCE!B248)</f>
        <v>0</v>
      </c>
      <c r="I248" s="7" t="str">
        <f t="shared" si="111"/>
        <v>72Juegos Novedosos - Super Astro 25%50930953</v>
      </c>
      <c r="J248" s="7" t="str">
        <f t="shared" si="112"/>
        <v>72Juegos Novedosos - Super Astro 25%79674715</v>
      </c>
      <c r="K248" s="7" t="str">
        <f t="shared" si="113"/>
        <v>72Juegos Novedosos - Super Astro 25%86527971</v>
      </c>
      <c r="L248" s="7" t="str">
        <f t="shared" si="114"/>
        <v>72Juegos Novedosos - Super Astro 25%0</v>
      </c>
      <c r="M248" t="s">
        <v>1906</v>
      </c>
      <c r="N248" s="136">
        <f t="shared" si="110"/>
        <v>0.32519134821997786</v>
      </c>
      <c r="O248" s="136"/>
      <c r="P248" s="20">
        <f t="shared" si="107"/>
        <v>0</v>
      </c>
      <c r="S248" s="20">
        <f t="shared" si="108"/>
        <v>0</v>
      </c>
      <c r="V248" s="20">
        <f t="shared" si="109"/>
        <v>0</v>
      </c>
    </row>
    <row r="249" spans="1:22" hidden="1" x14ac:dyDescent="0.3">
      <c r="A249" s="5">
        <v>72</v>
      </c>
      <c r="B249" s="8" t="s">
        <v>799</v>
      </c>
      <c r="C249" s="11">
        <f>+SUMIFS('2021'!Z:Z,'2021'!D:D,CRUCE!A249,'2021'!AT:AT,CRUCE!B249)</f>
        <v>53534328</v>
      </c>
      <c r="D249" s="11">
        <f>+SUMIFS('2022'!Y:Y,'2022'!D:D,CRUCE!A249,'2022'!AS:AS,CRUCE!B249)</f>
        <v>115558679</v>
      </c>
      <c r="E249" s="136">
        <f t="shared" si="105"/>
        <v>1.1585902600664009</v>
      </c>
      <c r="F249" s="11">
        <f>+SUMIFS('2023'!Y:Y,'2023'!D:D,CRUCE!A249,'2023'!AS:AS,CRUCE!B249)</f>
        <v>150620665</v>
      </c>
      <c r="G249" s="136">
        <f t="shared" si="106"/>
        <v>0.3034128315018208</v>
      </c>
      <c r="H249" s="11">
        <f>+SUMIFS('2024'!J:J,'2024'!D:D,CRUCE!A249,'2024'!AT:AT,CRUCE!B249)</f>
        <v>0</v>
      </c>
      <c r="I249" s="7" t="str">
        <f t="shared" si="111"/>
        <v>72Juegos Novedosos 25% -otros-53534328</v>
      </c>
      <c r="J249" s="7" t="str">
        <f t="shared" si="112"/>
        <v>72Juegos Novedosos 25% -otros-115558679</v>
      </c>
      <c r="K249" s="7" t="str">
        <f t="shared" si="113"/>
        <v>72Juegos Novedosos 25% -otros-150620665</v>
      </c>
      <c r="L249" s="7" t="str">
        <f t="shared" si="114"/>
        <v>72Juegos Novedosos 25% -otros-0</v>
      </c>
      <c r="M249" t="s">
        <v>1906</v>
      </c>
      <c r="N249" s="136">
        <f t="shared" si="110"/>
        <v>0.73100154578411081</v>
      </c>
      <c r="O249" s="136"/>
      <c r="P249" s="20">
        <f t="shared" si="107"/>
        <v>0</v>
      </c>
      <c r="S249" s="20">
        <f t="shared" si="108"/>
        <v>0</v>
      </c>
      <c r="V249" s="20">
        <f t="shared" si="109"/>
        <v>0</v>
      </c>
    </row>
    <row r="250" spans="1:22" x14ac:dyDescent="0.3">
      <c r="A250" s="5">
        <v>72</v>
      </c>
      <c r="B250" s="8" t="s">
        <v>779</v>
      </c>
      <c r="C250" s="11">
        <f>+SUMIFS('2021'!Z:Z,'2021'!D:D,CRUCE!A250,'2021'!AT:AT,CRUCE!B250)</f>
        <v>1396437622</v>
      </c>
      <c r="D250" s="11">
        <f>+SUMIFS('2022'!Y:Y,'2022'!D:D,CRUCE!A250,'2022'!AS:AS,CRUCE!B250)</f>
        <v>1813636797</v>
      </c>
      <c r="E250" s="136">
        <f t="shared" si="105"/>
        <v>0.29875962121564781</v>
      </c>
      <c r="F250" s="11">
        <f>+SUMIFS('2023'!Y:Y,'2023'!D:D,CRUCE!A250,'2023'!AS:AS,CRUCE!B250)</f>
        <v>1818600153</v>
      </c>
      <c r="G250" s="136">
        <f t="shared" si="106"/>
        <v>2.7366868648728681E-3</v>
      </c>
      <c r="H250" s="11">
        <f>+SUMIFS('2024'!J:J,'2024'!D:D,CRUCE!A250,'2024'!AT:AT,CRUCE!B250)</f>
        <v>1638880750.6300001</v>
      </c>
      <c r="I250" s="7" t="str">
        <f t="shared" si="111"/>
        <v>72Juegos y Apuestas Permanentes  25%1396437622</v>
      </c>
      <c r="J250" s="7" t="str">
        <f t="shared" si="112"/>
        <v>72Juegos y Apuestas Permanentes  25%1813636797</v>
      </c>
      <c r="K250" s="7" t="str">
        <f t="shared" si="113"/>
        <v>72Juegos y Apuestas Permanentes  25%1818600153</v>
      </c>
      <c r="L250" s="7" t="str">
        <f t="shared" si="114"/>
        <v>72Juegos y Apuestas Permanentes  25%1638880750,63</v>
      </c>
      <c r="M250" t="s">
        <v>1906</v>
      </c>
      <c r="N250" s="136">
        <v>0.05</v>
      </c>
      <c r="O250" s="136"/>
      <c r="P250" s="20">
        <f t="shared" si="107"/>
        <v>1720824788.1615002</v>
      </c>
      <c r="Q250" s="136">
        <f>+N250</f>
        <v>0.05</v>
      </c>
      <c r="R250" s="136">
        <f>+Q250</f>
        <v>0.05</v>
      </c>
      <c r="S250" s="20">
        <f t="shared" si="108"/>
        <v>1806866027.5695753</v>
      </c>
      <c r="U250" s="136">
        <f>+R250</f>
        <v>0.05</v>
      </c>
      <c r="V250" s="20">
        <f t="shared" si="109"/>
        <v>1897209328.9480541</v>
      </c>
    </row>
    <row r="251" spans="1:22" hidden="1" x14ac:dyDescent="0.3">
      <c r="A251" s="5">
        <v>72</v>
      </c>
      <c r="B251" s="8" t="s">
        <v>670</v>
      </c>
      <c r="C251" s="11">
        <f>+SUMIFS('2021'!Z:Z,'2021'!D:D,CRUCE!A251,'2021'!AT:AT,CRUCE!B251)</f>
        <v>179366135</v>
      </c>
      <c r="D251" s="11">
        <f>+SUMIFS('2022'!Y:Y,'2022'!D:D,CRUCE!A251,'2022'!AS:AS,CRUCE!B251)</f>
        <v>208541707.25</v>
      </c>
      <c r="E251" s="136">
        <f t="shared" si="105"/>
        <v>0.1626593127515403</v>
      </c>
      <c r="F251" s="11">
        <f>+SUMIFS('2023'!Y:Y,'2023'!D:D,CRUCE!A251,'2023'!AS:AS,CRUCE!B251)</f>
        <v>235990806</v>
      </c>
      <c r="G251" s="136">
        <f t="shared" si="106"/>
        <v>0.13162402433530476</v>
      </c>
      <c r="H251" s="11">
        <f>+SUMIFS('2024'!J:J,'2024'!D:D,CRUCE!A251,'2024'!AT:AT,CRUCE!B251)</f>
        <v>0</v>
      </c>
      <c r="I251" s="7" t="str">
        <f t="shared" si="111"/>
        <v>72Loterias Foráneas 25%179366135</v>
      </c>
      <c r="J251" s="7" t="str">
        <f t="shared" si="112"/>
        <v>72Loterias Foráneas 25%208541707,25</v>
      </c>
      <c r="K251" s="7" t="str">
        <f t="shared" si="113"/>
        <v>72Loterias Foráneas 25%235990806</v>
      </c>
      <c r="L251" s="7" t="str">
        <f t="shared" si="114"/>
        <v>72Loterias Foráneas 25%0</v>
      </c>
      <c r="M251" t="s">
        <v>1906</v>
      </c>
      <c r="N251" s="136">
        <f t="shared" si="110"/>
        <v>0.14714166854342253</v>
      </c>
      <c r="O251" s="136"/>
      <c r="P251" s="20">
        <f t="shared" si="107"/>
        <v>0</v>
      </c>
      <c r="S251" s="20">
        <f t="shared" si="108"/>
        <v>0</v>
      </c>
      <c r="V251" s="20">
        <f t="shared" si="109"/>
        <v>0</v>
      </c>
    </row>
    <row r="252" spans="1:22" hidden="1" x14ac:dyDescent="0.3">
      <c r="A252" s="5">
        <v>72</v>
      </c>
      <c r="B252" s="8" t="s">
        <v>1108</v>
      </c>
      <c r="C252" s="11">
        <f>+SUMIFS('2021'!Z:Z,'2021'!D:D,CRUCE!A252,'2021'!AT:AT,CRUCE!B252)</f>
        <v>0</v>
      </c>
      <c r="D252" s="11">
        <f>+SUMIFS('2022'!Y:Y,'2022'!D:D,CRUCE!A252,'2022'!AS:AS,CRUCE!B252)</f>
        <v>743424627.52999997</v>
      </c>
      <c r="E252" s="136" t="e">
        <f t="shared" si="105"/>
        <v>#DIV/0!</v>
      </c>
      <c r="F252" s="11">
        <f>+SUMIFS('2023'!Y:Y,'2023'!D:D,CRUCE!A252,'2023'!AS:AS,CRUCE!B252)</f>
        <v>721695874</v>
      </c>
      <c r="G252" s="136">
        <f t="shared" si="106"/>
        <v>-2.9227917297000139E-2</v>
      </c>
      <c r="H252" s="11">
        <f>+SUMIFS('2024'!J:J,'2024'!D:D,CRUCE!A252,'2024'!AT:AT,CRUCE!B252)</f>
        <v>0</v>
      </c>
      <c r="I252" s="7" t="str">
        <f t="shared" si="111"/>
        <v>72Participación por el consumo de licores destilados introducidos de producción extranjera recaudado p0</v>
      </c>
      <c r="J252" s="7" t="str">
        <f t="shared" si="112"/>
        <v>72Participación por el consumo de licores destilados introducidos de producción extranjera recaudado p743424627,53</v>
      </c>
      <c r="K252" s="7" t="str">
        <f t="shared" si="113"/>
        <v>72Participación por el consumo de licores destilados introducidos de producción extranjera recaudado p721695874</v>
      </c>
      <c r="L252" s="7" t="str">
        <f t="shared" si="114"/>
        <v>72Participación por el consumo de licores destilados introducidos de producción extranjera recaudado p0</v>
      </c>
      <c r="M252" t="s">
        <v>1906</v>
      </c>
      <c r="N252" s="136" t="e">
        <f t="shared" si="110"/>
        <v>#DIV/0!</v>
      </c>
      <c r="O252" s="136"/>
      <c r="P252" s="20" t="e">
        <f t="shared" si="107"/>
        <v>#DIV/0!</v>
      </c>
      <c r="S252" s="20" t="e">
        <f t="shared" si="108"/>
        <v>#DIV/0!</v>
      </c>
      <c r="V252" s="20" t="e">
        <f t="shared" si="109"/>
        <v>#DIV/0!</v>
      </c>
    </row>
    <row r="253" spans="1:22" hidden="1" x14ac:dyDescent="0.3">
      <c r="A253" s="5">
        <v>72</v>
      </c>
      <c r="B253" s="8" t="s">
        <v>363</v>
      </c>
      <c r="C253" s="11">
        <f>+SUMIFS('2021'!Z:Z,'2021'!D:D,CRUCE!A253,'2021'!AT:AT,CRUCE!B253)</f>
        <v>0</v>
      </c>
      <c r="D253" s="11">
        <f>+SUMIFS('2022'!Y:Y,'2022'!D:D,CRUCE!A253,'2022'!AS:AS,CRUCE!B253)</f>
        <v>2158351445.8099999</v>
      </c>
      <c r="E253" s="136" t="e">
        <f t="shared" si="105"/>
        <v>#DIV/0!</v>
      </c>
      <c r="F253" s="11">
        <f>+SUMIFS('2023'!Y:Y,'2023'!D:D,CRUCE!A253,'2023'!AS:AS,CRUCE!B253)</f>
        <v>2361855890.6399999</v>
      </c>
      <c r="G253" s="136">
        <f t="shared" si="106"/>
        <v>9.4286982421265264E-2</v>
      </c>
      <c r="H253" s="11">
        <f>+SUMIFS('2024'!J:J,'2024'!D:D,CRUCE!A253,'2024'!AT:AT,CRUCE!B253)</f>
        <v>0</v>
      </c>
      <c r="I253" s="7" t="str">
        <f t="shared" si="111"/>
        <v>72Participación por el consumo de licores destilados introducidos de producción nacional0</v>
      </c>
      <c r="J253" s="7" t="str">
        <f t="shared" si="112"/>
        <v>72Participación por el consumo de licores destilados introducidos de producción nacional2158351445,81</v>
      </c>
      <c r="K253" s="7" t="str">
        <f t="shared" si="113"/>
        <v>72Participación por el consumo de licores destilados introducidos de producción nacional2361855890,64</v>
      </c>
      <c r="L253" s="7" t="str">
        <f t="shared" si="114"/>
        <v>72Participación por el consumo de licores destilados introducidos de producción nacional0</v>
      </c>
      <c r="M253" t="s">
        <v>1906</v>
      </c>
      <c r="N253" s="136" t="e">
        <f t="shared" si="110"/>
        <v>#DIV/0!</v>
      </c>
      <c r="O253" s="136"/>
      <c r="P253" s="20" t="e">
        <f t="shared" si="107"/>
        <v>#DIV/0!</v>
      </c>
      <c r="S253" s="20" t="e">
        <f t="shared" si="108"/>
        <v>#DIV/0!</v>
      </c>
      <c r="V253" s="20" t="e">
        <f t="shared" si="109"/>
        <v>#DIV/0!</v>
      </c>
    </row>
    <row r="254" spans="1:22" hidden="1" x14ac:dyDescent="0.3">
      <c r="A254" s="5">
        <v>72</v>
      </c>
      <c r="B254" s="8" t="s">
        <v>1114</v>
      </c>
      <c r="C254" s="11">
        <f>+SUMIFS('2021'!Z:Z,'2021'!D:D,CRUCE!A254,'2021'!AT:AT,CRUCE!B254)</f>
        <v>0</v>
      </c>
      <c r="D254" s="11">
        <f>+SUMIFS('2022'!Y:Y,'2022'!D:D,CRUCE!A254,'2022'!AS:AS,CRUCE!B254)</f>
        <v>1804212.5</v>
      </c>
      <c r="E254" s="136" t="e">
        <f t="shared" si="105"/>
        <v>#DIV/0!</v>
      </c>
      <c r="F254" s="11">
        <f>+SUMIFS('2023'!Y:Y,'2023'!D:D,CRUCE!A254,'2023'!AS:AS,CRUCE!B254)</f>
        <v>1263168</v>
      </c>
      <c r="G254" s="136">
        <f t="shared" si="106"/>
        <v>-0.29987847883772006</v>
      </c>
      <c r="H254" s="11">
        <f>+SUMIFS('2024'!J:J,'2024'!D:D,CRUCE!A254,'2024'!AT:AT,CRUCE!B254)</f>
        <v>0</v>
      </c>
      <c r="I254" s="7" t="str">
        <f t="shared" si="111"/>
        <v>72Participación por la utilización de alcohol potable producido0</v>
      </c>
      <c r="J254" s="7" t="str">
        <f t="shared" si="112"/>
        <v>72Participación por la utilización de alcohol potable producido1804212,5</v>
      </c>
      <c r="K254" s="7" t="str">
        <f t="shared" si="113"/>
        <v>72Participación por la utilización de alcohol potable producido1263168</v>
      </c>
      <c r="L254" s="7" t="str">
        <f t="shared" si="114"/>
        <v>72Participación por la utilización de alcohol potable producido0</v>
      </c>
      <c r="M254" t="s">
        <v>1906</v>
      </c>
      <c r="N254" s="136" t="e">
        <f t="shared" si="110"/>
        <v>#DIV/0!</v>
      </c>
      <c r="O254" s="136"/>
      <c r="P254" s="20" t="e">
        <f t="shared" si="107"/>
        <v>#DIV/0!</v>
      </c>
      <c r="S254" s="20" t="e">
        <f t="shared" si="108"/>
        <v>#DIV/0!</v>
      </c>
      <c r="V254" s="20" t="e">
        <f t="shared" si="109"/>
        <v>#DIV/0!</v>
      </c>
    </row>
    <row r="255" spans="1:22" x14ac:dyDescent="0.3">
      <c r="A255" s="5">
        <v>72</v>
      </c>
      <c r="B255" s="8" t="s">
        <v>787</v>
      </c>
      <c r="C255" s="11">
        <f>+SUMIFS('2021'!Z:Z,'2021'!D:D,CRUCE!A255,'2021'!AT:AT,CRUCE!B255)</f>
        <v>6496597</v>
      </c>
      <c r="D255" s="11">
        <f>+SUMIFS('2022'!Y:Y,'2022'!D:D,CRUCE!A255,'2022'!AS:AS,CRUCE!B255)</f>
        <v>6810265</v>
      </c>
      <c r="E255" s="136">
        <f t="shared" si="105"/>
        <v>4.8281892812498603E-2</v>
      </c>
      <c r="F255" s="11">
        <f>+SUMIFS('2023'!Y:Y,'2023'!D:D,CRUCE!A255,'2023'!AS:AS,CRUCE!B255)</f>
        <v>8274704.5</v>
      </c>
      <c r="G255" s="136">
        <f t="shared" si="106"/>
        <v>0.21503414331160389</v>
      </c>
      <c r="H255" s="11">
        <f>+SUMIFS('2024'!J:J,'2024'!D:D,CRUCE!A255,'2024'!AT:AT,CRUCE!B255)</f>
        <v>8039999.3700000001</v>
      </c>
      <c r="I255" s="7" t="str">
        <f t="shared" si="111"/>
        <v>72Rifas Departamentales - Otros 25%6496597</v>
      </c>
      <c r="J255" s="7" t="str">
        <f t="shared" si="112"/>
        <v>72Rifas Departamentales - Otros 25%6810265</v>
      </c>
      <c r="K255" s="7" t="str">
        <f t="shared" si="113"/>
        <v>72Rifas Departamentales - Otros 25%8274704,5</v>
      </c>
      <c r="L255" s="7" t="str">
        <f t="shared" si="114"/>
        <v>72Rifas Departamentales - Otros 25%8039999,37</v>
      </c>
      <c r="M255" t="s">
        <v>1906</v>
      </c>
      <c r="N255" s="136">
        <v>0.05</v>
      </c>
      <c r="O255" s="136"/>
      <c r="P255" s="20">
        <f t="shared" si="107"/>
        <v>8441999.3385000005</v>
      </c>
      <c r="Q255" s="136">
        <f t="shared" ref="Q255:Q256" si="122">+N255</f>
        <v>0.05</v>
      </c>
      <c r="R255" s="136">
        <f t="shared" ref="R255:R256" si="123">+Q255</f>
        <v>0.05</v>
      </c>
      <c r="S255" s="20">
        <f t="shared" si="108"/>
        <v>8864099.3054250013</v>
      </c>
      <c r="U255" s="136">
        <f t="shared" ref="U255:U256" si="124">+R255</f>
        <v>0.05</v>
      </c>
      <c r="V255" s="20">
        <f t="shared" si="109"/>
        <v>9307304.2706962507</v>
      </c>
    </row>
    <row r="256" spans="1:22" x14ac:dyDescent="0.3">
      <c r="A256" s="5">
        <v>81</v>
      </c>
      <c r="B256" s="8" t="s">
        <v>619</v>
      </c>
      <c r="C256" s="11">
        <f>+SUMIFS('2021'!Z:Z,'2021'!D:D,CRUCE!A256,'2021'!AT:AT,CRUCE!B256)</f>
        <v>4410980.9400000004</v>
      </c>
      <c r="D256" s="11">
        <f>+SUMIFS('2022'!Y:Y,'2022'!D:D,CRUCE!A256,'2022'!AS:AS,CRUCE!B256)</f>
        <v>7431942.7199999997</v>
      </c>
      <c r="E256" s="136">
        <f t="shared" si="105"/>
        <v>0.68487300695522824</v>
      </c>
      <c r="F256" s="11">
        <f>+SUMIFS('2023'!Y:Y,'2023'!D:D,CRUCE!A256,'2023'!AS:AS,CRUCE!B256)</f>
        <v>206353154.84999999</v>
      </c>
      <c r="G256" s="136">
        <f t="shared" si="106"/>
        <v>26.765708459335382</v>
      </c>
      <c r="H256" s="11">
        <f>+SUMIFS('2024'!J:J,'2024'!D:D,CRUCE!A256,'2024'!AT:AT,CRUCE!B256)</f>
        <v>10000000</v>
      </c>
      <c r="I256" s="7" t="str">
        <f t="shared" si="111"/>
        <v>81Rendimientos Financieros PAE4410980,94</v>
      </c>
      <c r="J256" s="7" t="str">
        <f t="shared" si="112"/>
        <v>81Rendimientos Financieros PAE7431942,72</v>
      </c>
      <c r="K256" s="7" t="str">
        <f t="shared" si="113"/>
        <v>81Rendimientos Financieros PAE206353154,85</v>
      </c>
      <c r="L256" s="7" t="str">
        <f t="shared" si="114"/>
        <v>81Rendimientos Financieros PAE10000000</v>
      </c>
      <c r="M256" t="s">
        <v>1906</v>
      </c>
      <c r="N256" s="136">
        <v>0.05</v>
      </c>
      <c r="O256" s="136"/>
      <c r="P256" s="20">
        <f t="shared" si="107"/>
        <v>10500000</v>
      </c>
      <c r="Q256" s="136">
        <f t="shared" si="122"/>
        <v>0.05</v>
      </c>
      <c r="R256" s="136">
        <f t="shared" si="123"/>
        <v>0.05</v>
      </c>
      <c r="S256" s="20">
        <f t="shared" si="108"/>
        <v>11025000</v>
      </c>
      <c r="U256" s="136">
        <f t="shared" si="124"/>
        <v>0.05</v>
      </c>
      <c r="V256" s="20">
        <f t="shared" si="109"/>
        <v>11576250</v>
      </c>
    </row>
    <row r="257" spans="1:22" hidden="1" x14ac:dyDescent="0.3">
      <c r="A257" s="5">
        <v>81</v>
      </c>
      <c r="B257" s="8" t="s">
        <v>611</v>
      </c>
      <c r="C257" s="11">
        <f>+SUMIFS('2021'!Z:Z,'2021'!D:D,CRUCE!A257,'2021'!AT:AT,CRUCE!B257)</f>
        <v>0</v>
      </c>
      <c r="D257" s="11">
        <f>+SUMIFS('2022'!Y:Y,'2022'!D:D,CRUCE!A257,'2022'!AS:AS,CRUCE!B257)</f>
        <v>0</v>
      </c>
      <c r="E257" s="136" t="e">
        <f t="shared" si="105"/>
        <v>#DIV/0!</v>
      </c>
      <c r="F257" s="11">
        <f>+SUMIFS('2023'!Y:Y,'2023'!D:D,CRUCE!A257,'2023'!AS:AS,CRUCE!B257)</f>
        <v>0</v>
      </c>
      <c r="G257" s="136" t="e">
        <f t="shared" si="106"/>
        <v>#DIV/0!</v>
      </c>
      <c r="H257" s="11">
        <f>+SUMIFS('2024'!J:J,'2024'!D:D,CRUCE!A257,'2024'!AT:AT,CRUCE!B257)</f>
        <v>0</v>
      </c>
      <c r="I257" s="7" t="str">
        <f t="shared" si="111"/>
        <v>81Rendimientos PAE0</v>
      </c>
      <c r="J257" s="7" t="str">
        <f t="shared" si="112"/>
        <v>81Rendimientos PAE0</v>
      </c>
      <c r="K257" s="7" t="str">
        <f t="shared" si="113"/>
        <v>81Rendimientos PAE0</v>
      </c>
      <c r="L257" s="7" t="str">
        <f t="shared" si="114"/>
        <v>81Rendimientos PAE0</v>
      </c>
      <c r="M257" t="s">
        <v>1906</v>
      </c>
      <c r="N257" s="136" t="e">
        <f t="shared" si="110"/>
        <v>#DIV/0!</v>
      </c>
      <c r="O257" s="136"/>
      <c r="P257" s="20" t="e">
        <f t="shared" si="107"/>
        <v>#DIV/0!</v>
      </c>
      <c r="S257" s="20" t="e">
        <f t="shared" si="108"/>
        <v>#DIV/0!</v>
      </c>
      <c r="V257" s="20" t="e">
        <f t="shared" si="109"/>
        <v>#DIV/0!</v>
      </c>
    </row>
    <row r="258" spans="1:22" x14ac:dyDescent="0.3">
      <c r="A258" s="5">
        <v>81</v>
      </c>
      <c r="B258" s="8" t="s">
        <v>580</v>
      </c>
      <c r="C258" s="11">
        <f>+SUMIFS('2021'!Z:Z,'2021'!D:D,CRUCE!A258,'2021'!AT:AT,CRUCE!B258)</f>
        <v>10566387719</v>
      </c>
      <c r="D258" s="11">
        <f>+SUMIFS('2022'!Y:Y,'2022'!D:D,CRUCE!A258,'2022'!AS:AS,CRUCE!B258)</f>
        <v>9333161322</v>
      </c>
      <c r="E258" s="136">
        <f t="shared" si="105"/>
        <v>-0.11671220381043448</v>
      </c>
      <c r="F258" s="11">
        <f>+SUMIFS('2023'!Y:Y,'2023'!D:D,CRUCE!A258,'2023'!AS:AS,CRUCE!B258)</f>
        <v>12574891461</v>
      </c>
      <c r="G258" s="136">
        <f t="shared" si="106"/>
        <v>0.34733463048138236</v>
      </c>
      <c r="H258" s="11">
        <f>+SUMIFS('2024'!J:J,'2024'!D:D,CRUCE!A258,'2024'!AT:AT,CRUCE!B258)</f>
        <v>9901551000</v>
      </c>
      <c r="I258" s="7" t="str">
        <f t="shared" si="111"/>
        <v>81U.A.E. de Alimentación Escolar - Alimentos para Aprender (UAPA)10566387719</v>
      </c>
      <c r="J258" s="7" t="str">
        <f t="shared" si="112"/>
        <v>81U.A.E. de Alimentación Escolar - Alimentos para Aprender (UAPA)9333161322</v>
      </c>
      <c r="K258" s="7" t="str">
        <f t="shared" si="113"/>
        <v>81U.A.E. de Alimentación Escolar - Alimentos para Aprender (UAPA)12574891461</v>
      </c>
      <c r="L258" s="7" t="str">
        <f t="shared" si="114"/>
        <v>81U.A.E. de Alimentación Escolar - Alimentos para Aprender (UAPA)9901551000</v>
      </c>
      <c r="M258" t="s">
        <v>1906</v>
      </c>
      <c r="N258" s="136">
        <v>0.05</v>
      </c>
      <c r="O258" s="136"/>
      <c r="P258" s="20">
        <f t="shared" si="107"/>
        <v>10396628550</v>
      </c>
      <c r="Q258" s="136">
        <f>+N258</f>
        <v>0.05</v>
      </c>
      <c r="R258" s="136">
        <f>+Q258</f>
        <v>0.05</v>
      </c>
      <c r="S258" s="20">
        <f t="shared" si="108"/>
        <v>10916459977.5</v>
      </c>
      <c r="U258" s="136">
        <f>+R258</f>
        <v>0.05</v>
      </c>
      <c r="V258" s="20">
        <f t="shared" si="109"/>
        <v>11462282976.375</v>
      </c>
    </row>
    <row r="259" spans="1:22" hidden="1" x14ac:dyDescent="0.3">
      <c r="A259" s="5">
        <v>82</v>
      </c>
      <c r="B259" s="8" t="s">
        <v>484</v>
      </c>
      <c r="C259" s="11">
        <f>+SUMIFS('2021'!Z:Z,'2021'!D:D,CRUCE!A259,'2021'!AT:AT,CRUCE!B259)</f>
        <v>1668135329.8800001</v>
      </c>
      <c r="D259" s="11">
        <f>+SUMIFS('2022'!Y:Y,'2022'!D:D,CRUCE!A259,'2022'!AS:AS,CRUCE!B259)</f>
        <v>6166196642.6099997</v>
      </c>
      <c r="E259" s="136">
        <f t="shared" si="105"/>
        <v>2.6964606720808284</v>
      </c>
      <c r="F259" s="11">
        <f>+SUMIFS('2023'!Y:Y,'2023'!D:D,CRUCE!A259,'2023'!AS:AS,CRUCE!B259)</f>
        <v>5442470182.1000004</v>
      </c>
      <c r="G259" s="136">
        <f t="shared" si="106"/>
        <v>-0.11736999360494992</v>
      </c>
      <c r="H259" s="11">
        <f>+SUMIFS('2024'!J:J,'2024'!D:D,CRUCE!A259,'2024'!AT:AT,CRUCE!B259)</f>
        <v>0</v>
      </c>
      <c r="I259" s="7" t="str">
        <f t="shared" si="111"/>
        <v>82Superávit Estampilla Pro-Desarrollo1668135329,88</v>
      </c>
      <c r="J259" s="7" t="str">
        <f t="shared" si="112"/>
        <v>82Superávit Estampilla Pro-Desarrollo6166196642,61</v>
      </c>
      <c r="K259" s="7" t="str">
        <f t="shared" si="113"/>
        <v>82Superávit Estampilla Pro-Desarrollo5442470182,1</v>
      </c>
      <c r="L259" s="7" t="str">
        <f t="shared" si="114"/>
        <v>82Superávit Estampilla Pro-Desarrollo0</v>
      </c>
      <c r="M259" t="s">
        <v>1906</v>
      </c>
      <c r="N259" s="136">
        <f t="shared" si="110"/>
        <v>1.2895453392379392</v>
      </c>
      <c r="O259" s="136"/>
      <c r="P259" s="20">
        <f t="shared" si="107"/>
        <v>0</v>
      </c>
      <c r="S259" s="20">
        <f t="shared" si="108"/>
        <v>0</v>
      </c>
      <c r="V259" s="20">
        <f t="shared" si="109"/>
        <v>0</v>
      </c>
    </row>
    <row r="260" spans="1:22" hidden="1" x14ac:dyDescent="0.3">
      <c r="A260" s="5">
        <v>83</v>
      </c>
      <c r="B260" s="8" t="s">
        <v>496</v>
      </c>
      <c r="C260" s="11">
        <f>+SUMIFS('2021'!Z:Z,'2021'!D:D,CRUCE!A260,'2021'!AT:AT,CRUCE!B260)</f>
        <v>1509653585.8199999</v>
      </c>
      <c r="D260" s="11">
        <f>+SUMIFS('2022'!Y:Y,'2022'!D:D,CRUCE!A260,'2022'!AS:AS,CRUCE!B260)</f>
        <v>11355716.949999999</v>
      </c>
      <c r="E260" s="136">
        <f t="shared" ref="E260:E323" si="125">+(D260-C260)/C260</f>
        <v>-0.99247793198607748</v>
      </c>
      <c r="F260" s="11">
        <f>+SUMIFS('2023'!Y:Y,'2023'!D:D,CRUCE!A260,'2023'!AS:AS,CRUCE!B260)</f>
        <v>0</v>
      </c>
      <c r="G260" s="136">
        <f t="shared" ref="G260:G323" si="126">+(F260-D260)/D260</f>
        <v>-1</v>
      </c>
      <c r="H260" s="11">
        <f>+SUMIFS('2024'!J:J,'2024'!D:D,CRUCE!A260,'2024'!AT:AT,CRUCE!B260)</f>
        <v>0</v>
      </c>
      <c r="I260" s="7" t="str">
        <f t="shared" si="111"/>
        <v>83Superavit Estampilla Pro-cultura1509653585,82</v>
      </c>
      <c r="J260" s="7" t="str">
        <f t="shared" si="112"/>
        <v>83Superavit Estampilla Pro-cultura11355716,95</v>
      </c>
      <c r="K260" s="7" t="str">
        <f t="shared" si="113"/>
        <v>83Superavit Estampilla Pro-cultura0</v>
      </c>
      <c r="L260" s="7" t="str">
        <f t="shared" si="114"/>
        <v>83Superavit Estampilla Pro-cultura0</v>
      </c>
      <c r="M260" t="s">
        <v>1906</v>
      </c>
      <c r="N260" s="136">
        <f t="shared" si="110"/>
        <v>-0.99623896599303874</v>
      </c>
      <c r="O260" s="136"/>
      <c r="P260" s="20">
        <f t="shared" ref="P260:P323" si="127">+H260+(H260*N260)</f>
        <v>0</v>
      </c>
      <c r="S260" s="20">
        <f t="shared" ref="S260:S323" si="128">+P260+(P260*R260)</f>
        <v>0</v>
      </c>
      <c r="V260" s="20">
        <f t="shared" ref="V260:V323" si="129">+S260+(S260*U260)</f>
        <v>0</v>
      </c>
    </row>
    <row r="261" spans="1:22" hidden="1" x14ac:dyDescent="0.3">
      <c r="A261" s="5">
        <v>84</v>
      </c>
      <c r="B261" s="8" t="s">
        <v>459</v>
      </c>
      <c r="C261" s="11">
        <f>+SUMIFS('2021'!Z:Z,'2021'!D:D,CRUCE!A261,'2021'!AT:AT,CRUCE!B261)</f>
        <v>0</v>
      </c>
      <c r="D261" s="11">
        <f>+SUMIFS('2022'!Y:Y,'2022'!D:D,CRUCE!A261,'2022'!AS:AS,CRUCE!B261)</f>
        <v>0</v>
      </c>
      <c r="E261" s="136" t="e">
        <f t="shared" si="125"/>
        <v>#DIV/0!</v>
      </c>
      <c r="F261" s="11">
        <f>+SUMIFS('2023'!Y:Y,'2023'!D:D,CRUCE!A261,'2023'!AS:AS,CRUCE!B261)</f>
        <v>0</v>
      </c>
      <c r="G261" s="136" t="e">
        <f t="shared" si="126"/>
        <v>#DIV/0!</v>
      </c>
      <c r="H261" s="11">
        <f>+SUMIFS('2024'!J:J,'2024'!D:D,CRUCE!A261,'2024'!AT:AT,CRUCE!B261)</f>
        <v>0</v>
      </c>
      <c r="I261" s="7" t="str">
        <f t="shared" si="111"/>
        <v>84Reintegros0</v>
      </c>
      <c r="J261" s="7" t="str">
        <f t="shared" si="112"/>
        <v>84Reintegros0</v>
      </c>
      <c r="K261" s="7" t="str">
        <f t="shared" si="113"/>
        <v>84Reintegros0</v>
      </c>
      <c r="L261" s="7" t="str">
        <f t="shared" si="114"/>
        <v>84Reintegros0</v>
      </c>
      <c r="M261" t="s">
        <v>1906</v>
      </c>
      <c r="N261" s="136" t="e">
        <f t="shared" si="110"/>
        <v>#DIV/0!</v>
      </c>
      <c r="O261" s="136"/>
      <c r="P261" s="20" t="e">
        <f t="shared" si="127"/>
        <v>#DIV/0!</v>
      </c>
      <c r="S261" s="20" t="e">
        <f t="shared" si="128"/>
        <v>#DIV/0!</v>
      </c>
      <c r="V261" s="20" t="e">
        <f t="shared" si="129"/>
        <v>#DIV/0!</v>
      </c>
    </row>
    <row r="262" spans="1:22" hidden="1" x14ac:dyDescent="0.3">
      <c r="A262" s="5">
        <v>84</v>
      </c>
      <c r="B262" s="8" t="s">
        <v>505</v>
      </c>
      <c r="C262" s="11">
        <f>+SUMIFS('2021'!Z:Z,'2021'!D:D,CRUCE!A262,'2021'!AT:AT,CRUCE!B262)</f>
        <v>557479178.99000001</v>
      </c>
      <c r="D262" s="11">
        <f>+SUMIFS('2022'!Y:Y,'2022'!D:D,CRUCE!A262,'2022'!AS:AS,CRUCE!B262)</f>
        <v>1170202789.98</v>
      </c>
      <c r="E262" s="136">
        <f t="shared" si="125"/>
        <v>1.0990968525498797</v>
      </c>
      <c r="F262" s="11">
        <f>+SUMIFS('2023'!Y:Y,'2023'!D:D,CRUCE!A262,'2023'!AS:AS,CRUCE!B262)</f>
        <v>934325106.42999995</v>
      </c>
      <c r="G262" s="136">
        <f t="shared" si="126"/>
        <v>-0.20156992067505791</v>
      </c>
      <c r="H262" s="11">
        <f>+SUMIFS('2024'!J:J,'2024'!D:D,CRUCE!A262,'2024'!AT:AT,CRUCE!B262)</f>
        <v>0</v>
      </c>
      <c r="I262" s="7" t="str">
        <f t="shared" si="111"/>
        <v>84Superavít Estampilla Pro Adulto Mayor557479178,99</v>
      </c>
      <c r="J262" s="7" t="str">
        <f t="shared" si="112"/>
        <v>84Superavít Estampilla Pro Adulto Mayor1170202789,98</v>
      </c>
      <c r="K262" s="7" t="str">
        <f t="shared" si="113"/>
        <v>84Superavít Estampilla Pro Adulto Mayor934325106,43</v>
      </c>
      <c r="L262" s="7" t="str">
        <f t="shared" si="114"/>
        <v>84Superavít Estampilla Pro Adulto Mayor0</v>
      </c>
      <c r="M262" t="s">
        <v>1906</v>
      </c>
      <c r="N262" s="136">
        <f t="shared" si="110"/>
        <v>0.4487634659374109</v>
      </c>
      <c r="O262" s="136"/>
      <c r="P262" s="20">
        <f t="shared" si="127"/>
        <v>0</v>
      </c>
      <c r="S262" s="20">
        <f t="shared" si="128"/>
        <v>0</v>
      </c>
      <c r="V262" s="20">
        <f t="shared" si="129"/>
        <v>0</v>
      </c>
    </row>
    <row r="263" spans="1:22" hidden="1" x14ac:dyDescent="0.3">
      <c r="A263" s="5">
        <v>86</v>
      </c>
      <c r="B263" s="8" t="s">
        <v>531</v>
      </c>
      <c r="C263" s="11">
        <f>+SUMIFS('2021'!Z:Z,'2021'!D:D,CRUCE!A263,'2021'!AT:AT,CRUCE!B263)</f>
        <v>470006152</v>
      </c>
      <c r="D263" s="11">
        <f>+SUMIFS('2022'!Y:Y,'2022'!D:D,CRUCE!A263,'2022'!AS:AS,CRUCE!B263)</f>
        <v>915730476.15999997</v>
      </c>
      <c r="E263" s="136">
        <f t="shared" si="125"/>
        <v>0.94833721274354721</v>
      </c>
      <c r="F263" s="11">
        <f>+SUMIFS('2023'!Y:Y,'2023'!D:D,CRUCE!A263,'2023'!AS:AS,CRUCE!B263)</f>
        <v>0</v>
      </c>
      <c r="G263" s="136">
        <f t="shared" si="126"/>
        <v>-1</v>
      </c>
      <c r="H263" s="11">
        <f>+SUMIFS('2024'!J:J,'2024'!D:D,CRUCE!A263,'2024'!AT:AT,CRUCE!B263)</f>
        <v>0</v>
      </c>
      <c r="I263" s="7" t="str">
        <f t="shared" si="111"/>
        <v>86Suparávit Registro Pago Cuotas Partes Pensionales470006152</v>
      </c>
      <c r="J263" s="7" t="str">
        <f t="shared" si="112"/>
        <v>86Suparávit Registro Pago Cuotas Partes Pensionales915730476,16</v>
      </c>
      <c r="K263" s="7" t="str">
        <f t="shared" si="113"/>
        <v>86Suparávit Registro Pago Cuotas Partes Pensionales0</v>
      </c>
      <c r="L263" s="7" t="str">
        <f t="shared" si="114"/>
        <v>86Suparávit Registro Pago Cuotas Partes Pensionales0</v>
      </c>
      <c r="M263" t="s">
        <v>1906</v>
      </c>
      <c r="N263" s="136">
        <f t="shared" si="110"/>
        <v>-2.5831393628226396E-2</v>
      </c>
      <c r="O263" s="136"/>
      <c r="P263" s="20">
        <f t="shared" si="127"/>
        <v>0</v>
      </c>
      <c r="S263" s="20">
        <f t="shared" si="128"/>
        <v>0</v>
      </c>
      <c r="V263" s="20">
        <f t="shared" si="129"/>
        <v>0</v>
      </c>
    </row>
    <row r="264" spans="1:22" hidden="1" x14ac:dyDescent="0.3">
      <c r="A264" s="5">
        <v>88</v>
      </c>
      <c r="B264" s="8" t="s">
        <v>459</v>
      </c>
      <c r="C264" s="11">
        <f>+SUMIFS('2021'!Z:Z,'2021'!D:D,CRUCE!A264,'2021'!AT:AT,CRUCE!B264)</f>
        <v>15863901.92</v>
      </c>
      <c r="D264" s="11">
        <f>+SUMIFS('2022'!Y:Y,'2022'!D:D,CRUCE!A264,'2022'!AS:AS,CRUCE!B264)</f>
        <v>46247244.350000001</v>
      </c>
      <c r="E264" s="136">
        <f t="shared" si="125"/>
        <v>1.9152502696511879</v>
      </c>
      <c r="F264" s="11">
        <f>+SUMIFS('2023'!Y:Y,'2023'!D:D,CRUCE!A264,'2023'!AS:AS,CRUCE!B264)</f>
        <v>0</v>
      </c>
      <c r="G264" s="136">
        <f t="shared" si="126"/>
        <v>-1</v>
      </c>
      <c r="H264" s="11">
        <f>+SUMIFS('2024'!J:J,'2024'!D:D,CRUCE!A264,'2024'!AT:AT,CRUCE!B264)</f>
        <v>0</v>
      </c>
      <c r="I264" s="7" t="str">
        <f t="shared" si="111"/>
        <v>88Reintegros15863901,92</v>
      </c>
      <c r="J264" s="7" t="str">
        <f t="shared" si="112"/>
        <v>88Reintegros46247244,35</v>
      </c>
      <c r="K264" s="7" t="str">
        <f t="shared" si="113"/>
        <v>88Reintegros0</v>
      </c>
      <c r="L264" s="7" t="str">
        <f t="shared" si="114"/>
        <v>88Reintegros0</v>
      </c>
      <c r="M264" t="s">
        <v>1906</v>
      </c>
      <c r="N264" s="136">
        <f t="shared" ref="N264:N327" si="130">+(E264+G264)/2</f>
        <v>0.45762513482559397</v>
      </c>
      <c r="O264" s="136"/>
      <c r="P264" s="20">
        <f t="shared" si="127"/>
        <v>0</v>
      </c>
      <c r="S264" s="20">
        <f t="shared" si="128"/>
        <v>0</v>
      </c>
      <c r="V264" s="20">
        <f t="shared" si="129"/>
        <v>0</v>
      </c>
    </row>
    <row r="265" spans="1:22" hidden="1" x14ac:dyDescent="0.3">
      <c r="A265" s="5">
        <v>88</v>
      </c>
      <c r="B265" s="8" t="s">
        <v>480</v>
      </c>
      <c r="C265" s="11">
        <f>+SUMIFS('2021'!Z:Z,'2021'!D:D,CRUCE!A265,'2021'!AT:AT,CRUCE!B265)</f>
        <v>20842997274.400002</v>
      </c>
      <c r="D265" s="11">
        <f>+SUMIFS('2022'!Y:Y,'2022'!D:D,CRUCE!A265,'2022'!AS:AS,CRUCE!B265)</f>
        <v>20785297769.709999</v>
      </c>
      <c r="E265" s="136">
        <f t="shared" si="125"/>
        <v>-2.7682920997581626E-3</v>
      </c>
      <c r="F265" s="11">
        <f>+SUMIFS('2023'!Y:Y,'2023'!D:D,CRUCE!A265,'2023'!AS:AS,CRUCE!B265)</f>
        <v>18971515896</v>
      </c>
      <c r="G265" s="136">
        <f t="shared" si="126"/>
        <v>-8.7262732235339313E-2</v>
      </c>
      <c r="H265" s="11">
        <f>+SUMIFS('2024'!J:J,'2024'!D:D,CRUCE!A265,'2024'!AT:AT,CRUCE!B265)</f>
        <v>0</v>
      </c>
      <c r="I265" s="7" t="str">
        <f t="shared" si="111"/>
        <v>88Superávit Recurso Ordinario 20842997274,4</v>
      </c>
      <c r="J265" s="7" t="str">
        <f t="shared" si="112"/>
        <v>88Superávit Recurso Ordinario 20785297769,71</v>
      </c>
      <c r="K265" s="7" t="str">
        <f t="shared" si="113"/>
        <v>88Superávit Recurso Ordinario 18971515896</v>
      </c>
      <c r="L265" s="7" t="str">
        <f t="shared" si="114"/>
        <v>88Superávit Recurso Ordinario 0</v>
      </c>
      <c r="M265" t="s">
        <v>1906</v>
      </c>
      <c r="N265" s="136">
        <f t="shared" si="130"/>
        <v>-4.5015512167548739E-2</v>
      </c>
      <c r="O265" s="136"/>
      <c r="P265" s="20">
        <f t="shared" si="127"/>
        <v>0</v>
      </c>
      <c r="S265" s="20">
        <f t="shared" si="128"/>
        <v>0</v>
      </c>
      <c r="V265" s="20">
        <f t="shared" si="129"/>
        <v>0</v>
      </c>
    </row>
    <row r="266" spans="1:22" hidden="1" x14ac:dyDescent="0.3">
      <c r="A266" s="5">
        <v>89</v>
      </c>
      <c r="B266" s="8" t="s">
        <v>487</v>
      </c>
      <c r="C266" s="11">
        <f>+SUMIFS('2021'!Z:Z,'2021'!D:D,CRUCE!A266,'2021'!AT:AT,CRUCE!B266)</f>
        <v>56108067</v>
      </c>
      <c r="D266" s="11">
        <f>+SUMIFS('2022'!Y:Y,'2022'!D:D,CRUCE!A266,'2022'!AS:AS,CRUCE!B266)</f>
        <v>0</v>
      </c>
      <c r="E266" s="136">
        <f t="shared" si="125"/>
        <v>-1</v>
      </c>
      <c r="F266" s="11">
        <f>+SUMIFS('2023'!Y:Y,'2023'!D:D,CRUCE!A266,'2023'!AS:AS,CRUCE!B266)</f>
        <v>1880477394.52</v>
      </c>
      <c r="G266" s="136" t="e">
        <f t="shared" si="126"/>
        <v>#DIV/0!</v>
      </c>
      <c r="H266" s="11">
        <f>+SUMIFS('2024'!J:J,'2024'!D:D,CRUCE!A266,'2024'!AT:AT,CRUCE!B266)</f>
        <v>0</v>
      </c>
      <c r="I266" s="7" t="str">
        <f t="shared" ref="I266:I310" si="131">+$A266&amp;$B266&amp;C266</f>
        <v>89Superávit Sobretasa ACPM  56108067</v>
      </c>
      <c r="J266" s="7" t="str">
        <f t="shared" ref="J266:J310" si="132">+$A266&amp;$B266&amp;D266</f>
        <v>89Superávit Sobretasa ACPM  0</v>
      </c>
      <c r="K266" s="7" t="str">
        <f t="shared" ref="K266:K310" si="133">+$A266&amp;$B266&amp;F266</f>
        <v>89Superávit Sobretasa ACPM  1880477394,52</v>
      </c>
      <c r="L266" s="7" t="str">
        <f t="shared" ref="L266:L310" si="134">+$A266&amp;$B266&amp;H266</f>
        <v>89Superávit Sobretasa ACPM  0</v>
      </c>
      <c r="M266" t="s">
        <v>1906</v>
      </c>
      <c r="N266" s="136" t="e">
        <f t="shared" si="130"/>
        <v>#DIV/0!</v>
      </c>
      <c r="O266" s="136"/>
      <c r="P266" s="20" t="e">
        <f t="shared" si="127"/>
        <v>#DIV/0!</v>
      </c>
      <c r="S266" s="20" t="e">
        <f t="shared" si="128"/>
        <v>#DIV/0!</v>
      </c>
      <c r="V266" s="20" t="e">
        <f t="shared" si="129"/>
        <v>#DIV/0!</v>
      </c>
    </row>
    <row r="267" spans="1:22" hidden="1" x14ac:dyDescent="0.3">
      <c r="A267" s="5">
        <v>90</v>
      </c>
      <c r="B267" s="8" t="s">
        <v>502</v>
      </c>
      <c r="C267" s="11">
        <f>+SUMIFS('2021'!Z:Z,'2021'!D:D,CRUCE!A267,'2021'!AT:AT,CRUCE!B267)</f>
        <v>18429555.68</v>
      </c>
      <c r="D267" s="11">
        <f>+SUMIFS('2022'!Y:Y,'2022'!D:D,CRUCE!A267,'2022'!AS:AS,CRUCE!B267)</f>
        <v>664789.80000000005</v>
      </c>
      <c r="E267" s="136">
        <f t="shared" si="125"/>
        <v>-0.9639280614496073</v>
      </c>
      <c r="F267" s="11">
        <f>+SUMIFS('2023'!Y:Y,'2023'!D:D,CRUCE!A267,'2023'!AS:AS,CRUCE!B267)</f>
        <v>19052645.84</v>
      </c>
      <c r="G267" s="136">
        <f t="shared" si="126"/>
        <v>27.659654284707734</v>
      </c>
      <c r="H267" s="11">
        <f>+SUMIFS('2024'!J:J,'2024'!D:D,CRUCE!A267,'2024'!AT:AT,CRUCE!B267)</f>
        <v>0</v>
      </c>
      <c r="I267" s="7" t="str">
        <f t="shared" si="131"/>
        <v>90Superavít SGP Agua Potable18429555,68</v>
      </c>
      <c r="J267" s="7" t="str">
        <f t="shared" si="132"/>
        <v>90Superavít SGP Agua Potable664789,8</v>
      </c>
      <c r="K267" s="7" t="str">
        <f t="shared" si="133"/>
        <v>90Superavít SGP Agua Potable19052645,84</v>
      </c>
      <c r="L267" s="7" t="str">
        <f t="shared" si="134"/>
        <v>90Superavít SGP Agua Potable0</v>
      </c>
      <c r="M267" t="s">
        <v>1906</v>
      </c>
      <c r="N267" s="136">
        <f t="shared" si="130"/>
        <v>13.347863111629064</v>
      </c>
      <c r="O267" s="136"/>
      <c r="P267" s="20">
        <f t="shared" si="127"/>
        <v>0</v>
      </c>
      <c r="S267" s="20">
        <f t="shared" si="128"/>
        <v>0</v>
      </c>
      <c r="V267" s="20">
        <f t="shared" si="129"/>
        <v>0</v>
      </c>
    </row>
    <row r="268" spans="1:22" hidden="1" x14ac:dyDescent="0.3">
      <c r="A268" s="5">
        <v>91</v>
      </c>
      <c r="B268" s="8" t="s">
        <v>459</v>
      </c>
      <c r="C268" s="11">
        <f>+SUMIFS('2021'!Z:Z,'2021'!D:D,CRUCE!A268,'2021'!AT:AT,CRUCE!B268)</f>
        <v>0</v>
      </c>
      <c r="D268" s="11">
        <f>+SUMIFS('2022'!Y:Y,'2022'!D:D,CRUCE!A268,'2022'!AS:AS,CRUCE!B268)</f>
        <v>0</v>
      </c>
      <c r="E268" s="136" t="e">
        <f t="shared" si="125"/>
        <v>#DIV/0!</v>
      </c>
      <c r="F268" s="11">
        <f>+SUMIFS('2023'!Y:Y,'2023'!D:D,CRUCE!A268,'2023'!AS:AS,CRUCE!B268)</f>
        <v>0</v>
      </c>
      <c r="G268" s="136" t="e">
        <f t="shared" si="126"/>
        <v>#DIV/0!</v>
      </c>
      <c r="H268" s="11">
        <f>+SUMIFS('2024'!J:J,'2024'!D:D,CRUCE!A268,'2024'!AT:AT,CRUCE!B268)</f>
        <v>0</v>
      </c>
      <c r="I268" s="7" t="str">
        <f t="shared" si="131"/>
        <v>91Reintegros0</v>
      </c>
      <c r="J268" s="7" t="str">
        <f t="shared" si="132"/>
        <v>91Reintegros0</v>
      </c>
      <c r="K268" s="7" t="str">
        <f t="shared" si="133"/>
        <v>91Reintegros0</v>
      </c>
      <c r="L268" s="7" t="str">
        <f t="shared" si="134"/>
        <v>91Reintegros0</v>
      </c>
      <c r="M268" t="s">
        <v>1906</v>
      </c>
      <c r="N268" s="136" t="e">
        <f t="shared" si="130"/>
        <v>#DIV/0!</v>
      </c>
      <c r="O268" s="136"/>
      <c r="P268" s="20" t="e">
        <f t="shared" si="127"/>
        <v>#DIV/0!</v>
      </c>
      <c r="S268" s="20" t="e">
        <f t="shared" si="128"/>
        <v>#DIV/0!</v>
      </c>
      <c r="V268" s="20" t="e">
        <f t="shared" si="129"/>
        <v>#DIV/0!</v>
      </c>
    </row>
    <row r="269" spans="1:22" hidden="1" x14ac:dyDescent="0.3">
      <c r="A269" s="5">
        <v>91</v>
      </c>
      <c r="B269" s="8" t="s">
        <v>490</v>
      </c>
      <c r="C269" s="11">
        <f>+SUMIFS('2021'!Z:Z,'2021'!D:D,CRUCE!A269,'2021'!AT:AT,CRUCE!B269)</f>
        <v>725133446.03000009</v>
      </c>
      <c r="D269" s="11">
        <f>+SUMIFS('2022'!Y:Y,'2022'!D:D,CRUCE!A269,'2022'!AS:AS,CRUCE!B269)</f>
        <v>359888430.18000001</v>
      </c>
      <c r="E269" s="136">
        <f t="shared" si="125"/>
        <v>-0.5036935171721334</v>
      </c>
      <c r="F269" s="11">
        <f>+SUMIFS('2023'!Y:Y,'2023'!D:D,CRUCE!A269,'2023'!AS:AS,CRUCE!B269)</f>
        <v>1660656453.3699999</v>
      </c>
      <c r="G269" s="136">
        <f t="shared" si="126"/>
        <v>3.6143646589011325</v>
      </c>
      <c r="H269" s="11">
        <f>+SUMIFS('2024'!J:J,'2024'!D:D,CRUCE!A269,'2024'!AT:AT,CRUCE!B269)</f>
        <v>0</v>
      </c>
      <c r="I269" s="7" t="str">
        <f t="shared" si="131"/>
        <v>91Superávit Recurso Destinado del Monopolio 725133446,03</v>
      </c>
      <c r="J269" s="7" t="str">
        <f t="shared" si="132"/>
        <v>91Superávit Recurso Destinado del Monopolio 359888430,18</v>
      </c>
      <c r="K269" s="7" t="str">
        <f t="shared" si="133"/>
        <v>91Superávit Recurso Destinado del Monopolio 1660656453,37</v>
      </c>
      <c r="L269" s="7" t="str">
        <f t="shared" si="134"/>
        <v>91Superávit Recurso Destinado del Monopolio 0</v>
      </c>
      <c r="M269" t="s">
        <v>1906</v>
      </c>
      <c r="N269" s="136">
        <f t="shared" si="130"/>
        <v>1.5553355708644996</v>
      </c>
      <c r="O269" s="136"/>
      <c r="P269" s="20">
        <f t="shared" si="127"/>
        <v>0</v>
      </c>
      <c r="S269" s="20">
        <f t="shared" si="128"/>
        <v>0</v>
      </c>
      <c r="V269" s="20">
        <f t="shared" si="129"/>
        <v>0</v>
      </c>
    </row>
    <row r="270" spans="1:22" hidden="1" x14ac:dyDescent="0.3">
      <c r="A270" s="5">
        <v>92</v>
      </c>
      <c r="B270" s="8" t="s">
        <v>493</v>
      </c>
      <c r="C270" s="11">
        <f>+SUMIFS('2021'!Z:Z,'2021'!D:D,CRUCE!A270,'2021'!AT:AT,CRUCE!B270)</f>
        <v>2663696802.3299999</v>
      </c>
      <c r="D270" s="11">
        <f>+SUMIFS('2022'!Y:Y,'2022'!D:D,CRUCE!A270,'2022'!AS:AS,CRUCE!B270)</f>
        <v>3201088686.1500001</v>
      </c>
      <c r="E270" s="136">
        <f t="shared" si="125"/>
        <v>0.20174664149085231</v>
      </c>
      <c r="F270" s="11">
        <f>+SUMIFS('2023'!Y:Y,'2023'!D:D,CRUCE!A270,'2023'!AS:AS,CRUCE!B270)</f>
        <v>4131423250.1399999</v>
      </c>
      <c r="G270" s="136">
        <f t="shared" si="126"/>
        <v>0.29063067449997076</v>
      </c>
      <c r="H270" s="11">
        <f>+SUMIFS('2024'!J:J,'2024'!D:D,CRUCE!A270,'2024'!AT:AT,CRUCE!B270)</f>
        <v>0</v>
      </c>
      <c r="I270" s="7" t="str">
        <f t="shared" si="131"/>
        <v>92Superávit Fondo de Seguridad Ciudadana 2663696802,33</v>
      </c>
      <c r="J270" s="7" t="str">
        <f t="shared" si="132"/>
        <v>92Superávit Fondo de Seguridad Ciudadana 3201088686,15</v>
      </c>
      <c r="K270" s="7" t="str">
        <f t="shared" si="133"/>
        <v>92Superávit Fondo de Seguridad Ciudadana 4131423250,14</v>
      </c>
      <c r="L270" s="7" t="str">
        <f t="shared" si="134"/>
        <v>92Superávit Fondo de Seguridad Ciudadana 0</v>
      </c>
      <c r="M270" t="s">
        <v>1906</v>
      </c>
      <c r="N270" s="136">
        <f t="shared" si="130"/>
        <v>0.24618865799541154</v>
      </c>
      <c r="O270" s="136"/>
      <c r="P270" s="20">
        <f t="shared" si="127"/>
        <v>0</v>
      </c>
      <c r="S270" s="20">
        <f t="shared" si="128"/>
        <v>0</v>
      </c>
      <c r="V270" s="20">
        <f t="shared" si="129"/>
        <v>0</v>
      </c>
    </row>
    <row r="271" spans="1:22" hidden="1" x14ac:dyDescent="0.3">
      <c r="A271" s="5">
        <v>93</v>
      </c>
      <c r="B271" s="8" t="s">
        <v>534</v>
      </c>
      <c r="C271" s="11">
        <f>+SUMIFS('2021'!Z:Z,'2021'!D:D,CRUCE!A271,'2021'!AT:AT,CRUCE!B271)</f>
        <v>34433.300000000003</v>
      </c>
      <c r="D271" s="11">
        <f>+SUMIFS('2022'!Y:Y,'2022'!D:D,CRUCE!A271,'2022'!AS:AS,CRUCE!B271)</f>
        <v>34433.300000000003</v>
      </c>
      <c r="E271" s="136">
        <f t="shared" si="125"/>
        <v>0</v>
      </c>
      <c r="F271" s="11">
        <f>+SUMIFS('2023'!Y:Y,'2023'!D:D,CRUCE!A271,'2023'!AS:AS,CRUCE!B271)</f>
        <v>0</v>
      </c>
      <c r="G271" s="136">
        <f t="shared" si="126"/>
        <v>-1</v>
      </c>
      <c r="H271" s="11">
        <f>+SUMIFS('2024'!J:J,'2024'!D:D,CRUCE!A271,'2024'!AT:AT,CRUCE!B271)</f>
        <v>0</v>
      </c>
      <c r="I271" s="7" t="str">
        <f t="shared" si="131"/>
        <v>93Superávit IVA Telefonia Movil 34433,3</v>
      </c>
      <c r="J271" s="7" t="str">
        <f t="shared" si="132"/>
        <v>93Superávit IVA Telefonia Movil 34433,3</v>
      </c>
      <c r="K271" s="7" t="str">
        <f t="shared" si="133"/>
        <v>93Superávit IVA Telefonia Movil 0</v>
      </c>
      <c r="L271" s="7" t="str">
        <f t="shared" si="134"/>
        <v>93Superávit IVA Telefonia Movil 0</v>
      </c>
      <c r="M271" t="s">
        <v>1906</v>
      </c>
      <c r="N271" s="136">
        <f t="shared" si="130"/>
        <v>-0.5</v>
      </c>
      <c r="O271" s="136"/>
      <c r="P271" s="20">
        <f t="shared" si="127"/>
        <v>0</v>
      </c>
      <c r="S271" s="20">
        <f t="shared" si="128"/>
        <v>0</v>
      </c>
      <c r="V271" s="20">
        <f t="shared" si="129"/>
        <v>0</v>
      </c>
    </row>
    <row r="272" spans="1:22" hidden="1" x14ac:dyDescent="0.3">
      <c r="A272" s="5">
        <v>94</v>
      </c>
      <c r="B272" s="8" t="s">
        <v>526</v>
      </c>
      <c r="C272" s="11">
        <f>+SUMIFS('2021'!Z:Z,'2021'!D:D,CRUCE!A272,'2021'!AT:AT,CRUCE!B272)</f>
        <v>340359369.85000002</v>
      </c>
      <c r="D272" s="11">
        <f>+SUMIFS('2022'!Y:Y,'2022'!D:D,CRUCE!A272,'2022'!AS:AS,CRUCE!B272)</f>
        <v>0</v>
      </c>
      <c r="E272" s="136">
        <f t="shared" si="125"/>
        <v>-1</v>
      </c>
      <c r="F272" s="11">
        <f>+SUMIFS('2023'!Y:Y,'2023'!D:D,CRUCE!A272,'2023'!AS:AS,CRUCE!B272)</f>
        <v>0</v>
      </c>
      <c r="G272" s="136" t="e">
        <f t="shared" si="126"/>
        <v>#DIV/0!</v>
      </c>
      <c r="H272" s="11">
        <f>+SUMIFS('2024'!J:J,'2024'!D:D,CRUCE!A272,'2024'!AT:AT,CRUCE!B272)</f>
        <v>0</v>
      </c>
      <c r="I272" s="7" t="str">
        <f t="shared" si="131"/>
        <v>94Superávit Impuesto al Registro Promotora de Vivienda340359369,85</v>
      </c>
      <c r="J272" s="7" t="str">
        <f t="shared" si="132"/>
        <v>94Superávit Impuesto al Registro Promotora de Vivienda0</v>
      </c>
      <c r="K272" s="7" t="str">
        <f t="shared" si="133"/>
        <v>94Superávit Impuesto al Registro Promotora de Vivienda0</v>
      </c>
      <c r="L272" s="7" t="str">
        <f t="shared" si="134"/>
        <v>94Superávit Impuesto al Registro Promotora de Vivienda0</v>
      </c>
      <c r="M272" t="s">
        <v>1906</v>
      </c>
      <c r="N272" s="136" t="e">
        <f t="shared" si="130"/>
        <v>#DIV/0!</v>
      </c>
      <c r="O272" s="136"/>
      <c r="P272" s="20" t="e">
        <f t="shared" si="127"/>
        <v>#DIV/0!</v>
      </c>
      <c r="S272" s="20" t="e">
        <f t="shared" si="128"/>
        <v>#DIV/0!</v>
      </c>
      <c r="V272" s="20" t="e">
        <f t="shared" si="129"/>
        <v>#DIV/0!</v>
      </c>
    </row>
    <row r="273" spans="1:22" hidden="1" x14ac:dyDescent="0.3">
      <c r="A273" s="5">
        <v>94</v>
      </c>
      <c r="B273" s="8" t="s">
        <v>1313</v>
      </c>
      <c r="C273" s="11">
        <f>+SUMIFS('2021'!Z:Z,'2021'!D:D,CRUCE!A273,'2021'!AT:AT,CRUCE!B273)</f>
        <v>0</v>
      </c>
      <c r="D273" s="11">
        <f>+SUMIFS('2022'!Y:Y,'2022'!D:D,CRUCE!A273,'2022'!AS:AS,CRUCE!B273)</f>
        <v>704063762.00999999</v>
      </c>
      <c r="E273" s="136" t="e">
        <f t="shared" si="125"/>
        <v>#DIV/0!</v>
      </c>
      <c r="F273" s="11">
        <f>+SUMIFS('2023'!Y:Y,'2023'!D:D,CRUCE!A273,'2023'!AS:AS,CRUCE!B273)</f>
        <v>246031030.90000001</v>
      </c>
      <c r="G273" s="136">
        <f t="shared" si="126"/>
        <v>-0.65055575336299509</v>
      </c>
      <c r="H273" s="11">
        <f>+SUMIFS('2024'!J:J,'2024'!D:D,CRUCE!A273,'2024'!AT:AT,CRUCE!B273)</f>
        <v>0</v>
      </c>
      <c r="I273" s="7" t="str">
        <f t="shared" si="131"/>
        <v>94Superávit Impuesto al Registro Turismo 4%0</v>
      </c>
      <c r="J273" s="7" t="str">
        <f t="shared" si="132"/>
        <v>94Superávit Impuesto al Registro Turismo 4%704063762,01</v>
      </c>
      <c r="K273" s="7" t="str">
        <f t="shared" si="133"/>
        <v>94Superávit Impuesto al Registro Turismo 4%246031030,9</v>
      </c>
      <c r="L273" s="7" t="str">
        <f t="shared" si="134"/>
        <v>94Superávit Impuesto al Registro Turismo 4%0</v>
      </c>
      <c r="M273" t="s">
        <v>1906</v>
      </c>
      <c r="N273" s="136" t="e">
        <f t="shared" si="130"/>
        <v>#DIV/0!</v>
      </c>
      <c r="O273" s="136"/>
      <c r="P273" s="20" t="e">
        <f t="shared" si="127"/>
        <v>#DIV/0!</v>
      </c>
      <c r="S273" s="20" t="e">
        <f t="shared" si="128"/>
        <v>#DIV/0!</v>
      </c>
      <c r="V273" s="20" t="e">
        <f t="shared" si="129"/>
        <v>#DIV/0!</v>
      </c>
    </row>
    <row r="274" spans="1:22" hidden="1" x14ac:dyDescent="0.3">
      <c r="A274" s="5">
        <v>95</v>
      </c>
      <c r="B274" s="8" t="s">
        <v>1166</v>
      </c>
      <c r="C274" s="11">
        <f>+SUMIFS('2021'!Z:Z,'2021'!D:D,CRUCE!A274,'2021'!AT:AT,CRUCE!B274)</f>
        <v>74789276</v>
      </c>
      <c r="D274" s="11">
        <f>+SUMIFS('2022'!Y:Y,'2022'!D:D,CRUCE!A274,'2022'!AS:AS,CRUCE!B274)</f>
        <v>3554512644</v>
      </c>
      <c r="E274" s="136">
        <f t="shared" si="125"/>
        <v>46.527036416290485</v>
      </c>
      <c r="F274" s="11">
        <f>+SUMIFS('2023'!Y:Y,'2023'!D:D,CRUCE!A274,'2023'!AS:AS,CRUCE!B274)</f>
        <v>0</v>
      </c>
      <c r="G274" s="136">
        <f t="shared" si="126"/>
        <v>-1</v>
      </c>
      <c r="H274" s="11">
        <f>+SUMIFS('2024'!J:J,'2024'!D:D,CRUCE!A274,'2024'!AT:AT,CRUCE!B274)</f>
        <v>0</v>
      </c>
      <c r="I274" s="7" t="str">
        <f t="shared" si="131"/>
        <v>95Superavít Convenios Interadministrativos 74789276</v>
      </c>
      <c r="J274" s="7" t="str">
        <f t="shared" si="132"/>
        <v>95Superavít Convenios Interadministrativos 3554512644</v>
      </c>
      <c r="K274" s="7" t="str">
        <f t="shared" si="133"/>
        <v>95Superavít Convenios Interadministrativos 0</v>
      </c>
      <c r="L274" s="7" t="str">
        <f t="shared" si="134"/>
        <v>95Superavít Convenios Interadministrativos 0</v>
      </c>
      <c r="M274" t="s">
        <v>1906</v>
      </c>
      <c r="N274" s="136">
        <f t="shared" si="130"/>
        <v>22.763518208145243</v>
      </c>
      <c r="O274" s="136"/>
      <c r="P274" s="20">
        <f t="shared" si="127"/>
        <v>0</v>
      </c>
      <c r="S274" s="20">
        <f t="shared" si="128"/>
        <v>0</v>
      </c>
      <c r="V274" s="20">
        <f t="shared" si="129"/>
        <v>0</v>
      </c>
    </row>
    <row r="275" spans="1:22" hidden="1" x14ac:dyDescent="0.3">
      <c r="A275" s="5">
        <v>96</v>
      </c>
      <c r="B275" s="8" t="s">
        <v>1300</v>
      </c>
      <c r="C275" s="11">
        <f>+SUMIFS('2021'!Z:Z,'2021'!D:D,CRUCE!A275,'2021'!AT:AT,CRUCE!B275)</f>
        <v>374345.28</v>
      </c>
      <c r="D275" s="11">
        <f>+SUMIFS('2022'!Y:Y,'2022'!D:D,CRUCE!A275,'2022'!AS:AS,CRUCE!B275)</f>
        <v>11147.21</v>
      </c>
      <c r="E275" s="136">
        <f t="shared" si="125"/>
        <v>-0.97022211686494342</v>
      </c>
      <c r="F275" s="11">
        <f>+SUMIFS('2023'!Y:Y,'2023'!D:D,CRUCE!A275,'2023'!AS:AS,CRUCE!B275)</f>
        <v>9350.33</v>
      </c>
      <c r="G275" s="136">
        <f t="shared" si="126"/>
        <v>-0.1611954919661511</v>
      </c>
      <c r="H275" s="11">
        <f>+SUMIFS('2024'!J:J,'2024'!D:D,CRUCE!A275,'2024'!AT:AT,CRUCE!B275)</f>
        <v>0</v>
      </c>
      <c r="I275" s="7" t="str">
        <f t="shared" si="131"/>
        <v>96Depósitos  Superávit Rentas Cedidas374345,28</v>
      </c>
      <c r="J275" s="7" t="str">
        <f t="shared" si="132"/>
        <v>96Depósitos  Superávit Rentas Cedidas11147,21</v>
      </c>
      <c r="K275" s="7" t="str">
        <f t="shared" si="133"/>
        <v>96Depósitos  Superávit Rentas Cedidas9350,33</v>
      </c>
      <c r="L275" s="7" t="str">
        <f t="shared" si="134"/>
        <v>96Depósitos  Superávit Rentas Cedidas0</v>
      </c>
      <c r="M275" t="s">
        <v>1906</v>
      </c>
      <c r="N275" s="136">
        <f t="shared" si="130"/>
        <v>-0.56570880441554727</v>
      </c>
      <c r="O275" s="136"/>
      <c r="P275" s="20">
        <f>+H275*1.02</f>
        <v>0</v>
      </c>
      <c r="S275" s="20">
        <f>+P275*1.02</f>
        <v>0</v>
      </c>
      <c r="V275" s="20">
        <f>+S275*1.02</f>
        <v>0</v>
      </c>
    </row>
    <row r="276" spans="1:22" hidden="1" x14ac:dyDescent="0.3">
      <c r="A276" s="5">
        <v>96</v>
      </c>
      <c r="B276" s="8" t="s">
        <v>884</v>
      </c>
      <c r="C276" s="11">
        <f>+SUMIFS('2021'!Z:Z,'2021'!D:D,CRUCE!A276,'2021'!AT:AT,CRUCE!B276)</f>
        <v>2740682600.8600001</v>
      </c>
      <c r="D276" s="11">
        <f>+SUMIFS('2022'!Y:Y,'2022'!D:D,CRUCE!A276,'2022'!AS:AS,CRUCE!B276)</f>
        <v>1104800028.0799999</v>
      </c>
      <c r="E276" s="136">
        <f t="shared" si="125"/>
        <v>-0.59688873577213053</v>
      </c>
      <c r="F276" s="11">
        <f>+SUMIFS('2023'!Y:Y,'2023'!D:D,CRUCE!A276,'2023'!AS:AS,CRUCE!B276)</f>
        <v>0</v>
      </c>
      <c r="G276" s="136">
        <f t="shared" si="126"/>
        <v>-1</v>
      </c>
      <c r="H276" s="11">
        <f>+SUMIFS('2024'!J:J,'2024'!D:D,CRUCE!A276,'2024'!AT:AT,CRUCE!B276)</f>
        <v>0</v>
      </c>
      <c r="I276" s="7" t="str">
        <f t="shared" si="131"/>
        <v>96Superávit Rentas Cedidas Subcuenta Otros Gastos en Salud2740682600,86</v>
      </c>
      <c r="J276" s="7" t="str">
        <f t="shared" si="132"/>
        <v>96Superávit Rentas Cedidas Subcuenta Otros Gastos en Salud1104800028,08</v>
      </c>
      <c r="K276" s="7" t="str">
        <f t="shared" si="133"/>
        <v>96Superávit Rentas Cedidas Subcuenta Otros Gastos en Salud0</v>
      </c>
      <c r="L276" s="7" t="str">
        <f t="shared" si="134"/>
        <v>96Superávit Rentas Cedidas Subcuenta Otros Gastos en Salud0</v>
      </c>
      <c r="M276" t="s">
        <v>1906</v>
      </c>
      <c r="N276" s="136">
        <f t="shared" si="130"/>
        <v>-0.79844436788606532</v>
      </c>
      <c r="O276" s="136"/>
      <c r="P276" s="20">
        <f t="shared" si="127"/>
        <v>0</v>
      </c>
      <c r="S276" s="20">
        <f t="shared" si="128"/>
        <v>0</v>
      </c>
      <c r="V276" s="20">
        <f t="shared" si="129"/>
        <v>0</v>
      </c>
    </row>
    <row r="277" spans="1:22" hidden="1" x14ac:dyDescent="0.3">
      <c r="A277" s="5">
        <v>97</v>
      </c>
      <c r="B277" s="8" t="s">
        <v>896</v>
      </c>
      <c r="C277" s="11">
        <f>+SUMIFS('2021'!Z:Z,'2021'!D:D,CRUCE!A277,'2021'!AT:AT,CRUCE!B277)</f>
        <v>3434211.2</v>
      </c>
      <c r="D277" s="11">
        <f>+SUMIFS('2022'!Y:Y,'2022'!D:D,CRUCE!A277,'2022'!AS:AS,CRUCE!B277)</f>
        <v>1889.57</v>
      </c>
      <c r="E277" s="136">
        <f t="shared" si="125"/>
        <v>-0.99944978049107758</v>
      </c>
      <c r="F277" s="11">
        <f>+SUMIFS('2023'!Y:Y,'2023'!D:D,CRUCE!A277,'2023'!AS:AS,CRUCE!B277)</f>
        <v>0</v>
      </c>
      <c r="G277" s="136">
        <f t="shared" si="126"/>
        <v>-1</v>
      </c>
      <c r="H277" s="11">
        <f>+SUMIFS('2024'!J:J,'2024'!D:D,CRUCE!A277,'2024'!AT:AT,CRUCE!B277)</f>
        <v>0</v>
      </c>
      <c r="I277" s="7" t="str">
        <f t="shared" si="131"/>
        <v>97Superávit SGP Prestacion del Servivio3434211,2</v>
      </c>
      <c r="J277" s="7" t="str">
        <f t="shared" si="132"/>
        <v>97Superávit SGP Prestacion del Servivio1889,57</v>
      </c>
      <c r="K277" s="7" t="str">
        <f t="shared" si="133"/>
        <v>97Superávit SGP Prestacion del Servivio0</v>
      </c>
      <c r="L277" s="7" t="str">
        <f t="shared" si="134"/>
        <v>97Superávit SGP Prestacion del Servivio0</v>
      </c>
      <c r="M277" t="s">
        <v>1906</v>
      </c>
      <c r="N277" s="136">
        <f t="shared" si="130"/>
        <v>-0.99972489024553879</v>
      </c>
      <c r="O277" s="136"/>
      <c r="P277" s="20">
        <f t="shared" si="127"/>
        <v>0</v>
      </c>
      <c r="S277" s="20">
        <f t="shared" si="128"/>
        <v>0</v>
      </c>
      <c r="V277" s="20">
        <f t="shared" si="129"/>
        <v>0</v>
      </c>
    </row>
    <row r="278" spans="1:22" hidden="1" x14ac:dyDescent="0.3">
      <c r="A278" s="5">
        <v>98</v>
      </c>
      <c r="B278" s="8" t="s">
        <v>873</v>
      </c>
      <c r="C278" s="11">
        <f>+SUMIFS('2021'!Z:Z,'2021'!D:D,CRUCE!A278,'2021'!AT:AT,CRUCE!B278)</f>
        <v>1704867658.76</v>
      </c>
      <c r="D278" s="11">
        <f>+SUMIFS('2022'!Y:Y,'2022'!D:D,CRUCE!A278,'2022'!AS:AS,CRUCE!B278)</f>
        <v>2027315384.9400001</v>
      </c>
      <c r="E278" s="136">
        <f t="shared" si="125"/>
        <v>0.18913358143852979</v>
      </c>
      <c r="F278" s="11">
        <f>+SUMIFS('2023'!Y:Y,'2023'!D:D,CRUCE!A278,'2023'!AS:AS,CRUCE!B278)</f>
        <v>1060639061.29</v>
      </c>
      <c r="G278" s="136">
        <f t="shared" si="126"/>
        <v>-0.47682582139463692</v>
      </c>
      <c r="H278" s="11">
        <f>+SUMIFS('2024'!J:J,'2024'!D:D,CRUCE!A278,'2024'!AT:AT,CRUCE!B278)</f>
        <v>0</v>
      </c>
      <c r="I278" s="7" t="str">
        <f t="shared" si="131"/>
        <v>98Superávit SGP Salud Pública1704867658,76</v>
      </c>
      <c r="J278" s="7" t="str">
        <f t="shared" si="132"/>
        <v>98Superávit SGP Salud Pública2027315384,94</v>
      </c>
      <c r="K278" s="7" t="str">
        <f t="shared" si="133"/>
        <v>98Superávit SGP Salud Pública1060639061,29</v>
      </c>
      <c r="L278" s="7" t="str">
        <f t="shared" si="134"/>
        <v>98Superávit SGP Salud Pública0</v>
      </c>
      <c r="M278" t="s">
        <v>1906</v>
      </c>
      <c r="N278" s="136">
        <f t="shared" si="130"/>
        <v>-0.14384611997805358</v>
      </c>
      <c r="O278" s="136"/>
      <c r="P278" s="20">
        <f t="shared" si="127"/>
        <v>0</v>
      </c>
      <c r="S278" s="20">
        <f t="shared" si="128"/>
        <v>0</v>
      </c>
      <c r="V278" s="20">
        <f t="shared" si="129"/>
        <v>0</v>
      </c>
    </row>
    <row r="279" spans="1:22" hidden="1" x14ac:dyDescent="0.3">
      <c r="A279" s="5">
        <v>99</v>
      </c>
      <c r="B279" s="8" t="s">
        <v>890</v>
      </c>
      <c r="C279" s="11">
        <f>+SUMIFS('2021'!Z:Z,'2021'!D:D,CRUCE!A279,'2021'!AT:AT,CRUCE!B279)</f>
        <v>571581421.21000004</v>
      </c>
      <c r="D279" s="11">
        <f>+SUMIFS('2022'!Y:Y,'2022'!D:D,CRUCE!A279,'2022'!AS:AS,CRUCE!B279)</f>
        <v>822090149.62</v>
      </c>
      <c r="E279" s="136">
        <f t="shared" si="125"/>
        <v>0.43827304232473052</v>
      </c>
      <c r="F279" s="11">
        <f>+SUMIFS('2023'!Y:Y,'2023'!D:D,CRUCE!A279,'2023'!AS:AS,CRUCE!B279)</f>
        <v>696666298.64999998</v>
      </c>
      <c r="G279" s="136">
        <f t="shared" si="126"/>
        <v>-0.15256702811483083</v>
      </c>
      <c r="H279" s="11">
        <f>+SUMIFS('2024'!J:J,'2024'!D:D,CRUCE!A279,'2024'!AT:AT,CRUCE!B279)</f>
        <v>0</v>
      </c>
      <c r="I279" s="7" t="str">
        <f t="shared" si="131"/>
        <v>99Superávit Fondo de Estupefacientes571581421,21</v>
      </c>
      <c r="J279" s="7" t="str">
        <f t="shared" si="132"/>
        <v>99Superávit Fondo de Estupefacientes822090149,62</v>
      </c>
      <c r="K279" s="7" t="str">
        <f t="shared" si="133"/>
        <v>99Superávit Fondo de Estupefacientes696666298,65</v>
      </c>
      <c r="L279" s="7" t="str">
        <f t="shared" si="134"/>
        <v>99Superávit Fondo de Estupefacientes0</v>
      </c>
      <c r="M279" t="s">
        <v>1906</v>
      </c>
      <c r="N279" s="136">
        <f t="shared" si="130"/>
        <v>0.14285300710494986</v>
      </c>
      <c r="O279" s="136"/>
      <c r="P279" s="20">
        <f t="shared" si="127"/>
        <v>0</v>
      </c>
      <c r="S279" s="20">
        <f t="shared" si="128"/>
        <v>0</v>
      </c>
      <c r="V279" s="20">
        <f t="shared" si="129"/>
        <v>0</v>
      </c>
    </row>
    <row r="280" spans="1:22" hidden="1" x14ac:dyDescent="0.3">
      <c r="A280" s="5">
        <v>102</v>
      </c>
      <c r="B280" s="8" t="s">
        <v>1291</v>
      </c>
      <c r="C280" s="11">
        <f>+SUMIFS('2021'!Z:Z,'2021'!D:D,CRUCE!A280,'2021'!AT:AT,CRUCE!B280)</f>
        <v>984.66</v>
      </c>
      <c r="D280" s="11">
        <f>+SUMIFS('2022'!Y:Y,'2022'!D:D,CRUCE!A280,'2022'!AS:AS,CRUCE!B280)</f>
        <v>1095.6300000000001</v>
      </c>
      <c r="E280" s="136">
        <f t="shared" si="125"/>
        <v>0.11269879958564392</v>
      </c>
      <c r="F280" s="11">
        <f>+SUMIFS('2023'!Y:Y,'2023'!D:D,CRUCE!A280,'2023'!AS:AS,CRUCE!B280)</f>
        <v>1363.66</v>
      </c>
      <c r="G280" s="136">
        <f t="shared" si="126"/>
        <v>0.24463550651223492</v>
      </c>
      <c r="H280" s="11">
        <f>+SUMIFS('2024'!J:J,'2024'!D:D,CRUCE!A280,'2024'!AT:AT,CRUCE!B280)</f>
        <v>0</v>
      </c>
      <c r="I280" s="7" t="str">
        <f t="shared" si="131"/>
        <v>102Depósitos Cofinanciación Nacional de Otros Gastos en salud984,66</v>
      </c>
      <c r="J280" s="7" t="str">
        <f t="shared" si="132"/>
        <v>102Depósitos Cofinanciación Nacional de Otros Gastos en salud1095,63</v>
      </c>
      <c r="K280" s="7" t="str">
        <f t="shared" si="133"/>
        <v>102Depósitos Cofinanciación Nacional de Otros Gastos en salud1363,66</v>
      </c>
      <c r="L280" s="7" t="str">
        <f t="shared" si="134"/>
        <v>102Depósitos Cofinanciación Nacional de Otros Gastos en salud0</v>
      </c>
      <c r="M280" t="s">
        <v>1906</v>
      </c>
      <c r="N280" s="136">
        <f t="shared" si="130"/>
        <v>0.17866715304893943</v>
      </c>
      <c r="O280" s="136"/>
      <c r="P280" s="20">
        <f>+H280*1.02</f>
        <v>0</v>
      </c>
      <c r="S280" s="20">
        <f>+P280*1.02</f>
        <v>0</v>
      </c>
      <c r="V280" s="20">
        <f>+S280*1.02</f>
        <v>0</v>
      </c>
    </row>
    <row r="281" spans="1:22" x14ac:dyDescent="0.3">
      <c r="A281" s="5">
        <v>110</v>
      </c>
      <c r="B281" s="8" t="s">
        <v>734</v>
      </c>
      <c r="C281" s="11">
        <f>+SUMIFS('2021'!Z:Z,'2021'!D:D,CRUCE!A281,'2021'!AT:AT,CRUCE!B281)</f>
        <v>2070689932</v>
      </c>
      <c r="D281" s="11">
        <f>+SUMIFS('2022'!Y:Y,'2022'!D:D,CRUCE!A281,'2022'!AS:AS,CRUCE!B281)</f>
        <v>2049641368</v>
      </c>
      <c r="E281" s="136">
        <f t="shared" si="125"/>
        <v>-1.016500040625107E-2</v>
      </c>
      <c r="F281" s="11">
        <f>+SUMIFS('2023'!Y:Y,'2023'!D:D,CRUCE!A281,'2023'!AS:AS,CRUCE!B281)</f>
        <v>2780525000</v>
      </c>
      <c r="G281" s="136">
        <f t="shared" si="126"/>
        <v>0.35659098387206245</v>
      </c>
      <c r="H281" s="11">
        <f>+SUMIFS('2024'!J:J,'2024'!D:D,CRUCE!A281,'2024'!AT:AT,CRUCE!B281)</f>
        <v>2755000000</v>
      </c>
      <c r="I281" s="7" t="str">
        <f t="shared" si="131"/>
        <v>110Ministerio de Salud - Programa Inimputables2070689932</v>
      </c>
      <c r="J281" s="7" t="str">
        <f t="shared" si="132"/>
        <v>110Ministerio de Salud - Programa Inimputables2049641368</v>
      </c>
      <c r="K281" s="7" t="str">
        <f t="shared" si="133"/>
        <v>110Ministerio de Salud - Programa Inimputables2780525000</v>
      </c>
      <c r="L281" s="7" t="str">
        <f t="shared" si="134"/>
        <v>110Ministerio de Salud - Programa Inimputables2755000000</v>
      </c>
      <c r="M281" t="s">
        <v>1906</v>
      </c>
      <c r="N281" s="136">
        <v>0.05</v>
      </c>
      <c r="O281" s="136"/>
      <c r="P281" s="20">
        <f t="shared" si="127"/>
        <v>2892750000</v>
      </c>
      <c r="Q281" s="136">
        <f t="shared" ref="Q281:Q283" si="135">+N281</f>
        <v>0.05</v>
      </c>
      <c r="R281" s="136">
        <f t="shared" ref="R281:R283" si="136">+Q281</f>
        <v>0.05</v>
      </c>
      <c r="S281" s="20">
        <f t="shared" si="128"/>
        <v>3037387500</v>
      </c>
      <c r="U281" s="136">
        <f t="shared" ref="U281:U283" si="137">+R281</f>
        <v>0.05</v>
      </c>
      <c r="V281" s="20">
        <f t="shared" si="129"/>
        <v>3189256875</v>
      </c>
    </row>
    <row r="282" spans="1:22" x14ac:dyDescent="0.3">
      <c r="A282" s="5">
        <v>111</v>
      </c>
      <c r="B282" s="8" t="s">
        <v>737</v>
      </c>
      <c r="C282" s="11">
        <f>+SUMIFS('2021'!Z:Z,'2021'!D:D,CRUCE!A282,'2021'!AT:AT,CRUCE!B282)</f>
        <v>222927149</v>
      </c>
      <c r="D282" s="11">
        <f>+SUMIFS('2022'!Y:Y,'2022'!D:D,CRUCE!A282,'2022'!AS:AS,CRUCE!B282)</f>
        <v>232096860</v>
      </c>
      <c r="E282" s="136">
        <f t="shared" si="125"/>
        <v>4.1133217919545544E-2</v>
      </c>
      <c r="F282" s="11">
        <f>+SUMIFS('2023'!Y:Y,'2023'!D:D,CRUCE!A282,'2023'!AS:AS,CRUCE!B282)</f>
        <v>249119486</v>
      </c>
      <c r="G282" s="136">
        <f t="shared" si="126"/>
        <v>7.3342767325676017E-2</v>
      </c>
      <c r="H282" s="11">
        <f>+SUMIFS('2024'!J:J,'2024'!D:D,CRUCE!A282,'2024'!AT:AT,CRUCE!B282)</f>
        <v>333000000</v>
      </c>
      <c r="I282" s="7" t="str">
        <f t="shared" si="131"/>
        <v>111Min Salud, Program Prevencion y Control de Enfermedades por Vectores222927149</v>
      </c>
      <c r="J282" s="7" t="str">
        <f t="shared" si="132"/>
        <v>111Min Salud, Program Prevencion y Control de Enfermedades por Vectores232096860</v>
      </c>
      <c r="K282" s="7" t="str">
        <f t="shared" si="133"/>
        <v>111Min Salud, Program Prevencion y Control de Enfermedades por Vectores249119486</v>
      </c>
      <c r="L282" s="7" t="str">
        <f t="shared" si="134"/>
        <v>111Min Salud, Program Prevencion y Control de Enfermedades por Vectores333000000</v>
      </c>
      <c r="M282" t="s">
        <v>1906</v>
      </c>
      <c r="N282" s="136">
        <v>0.05</v>
      </c>
      <c r="O282" s="136"/>
      <c r="P282" s="20">
        <f t="shared" si="127"/>
        <v>349650000</v>
      </c>
      <c r="Q282" s="136">
        <f t="shared" si="135"/>
        <v>0.05</v>
      </c>
      <c r="R282" s="136">
        <f t="shared" si="136"/>
        <v>0.05</v>
      </c>
      <c r="S282" s="20">
        <f t="shared" si="128"/>
        <v>367132500</v>
      </c>
      <c r="U282" s="136">
        <f t="shared" si="137"/>
        <v>0.05</v>
      </c>
      <c r="V282" s="20">
        <f t="shared" si="129"/>
        <v>385489125</v>
      </c>
    </row>
    <row r="283" spans="1:22" x14ac:dyDescent="0.3">
      <c r="A283" s="5">
        <v>113</v>
      </c>
      <c r="B283" s="8" t="s">
        <v>740</v>
      </c>
      <c r="C283" s="11">
        <f>+SUMIFS('2021'!Z:Z,'2021'!D:D,CRUCE!A283,'2021'!AT:AT,CRUCE!B283)</f>
        <v>152370440</v>
      </c>
      <c r="D283" s="11">
        <f>+SUMIFS('2022'!Y:Y,'2022'!D:D,CRUCE!A283,'2022'!AS:AS,CRUCE!B283)</f>
        <v>152370440</v>
      </c>
      <c r="E283" s="136">
        <f t="shared" si="125"/>
        <v>0</v>
      </c>
      <c r="F283" s="11">
        <f>+SUMIFS('2023'!Y:Y,'2023'!D:D,CRUCE!A283,'2023'!AS:AS,CRUCE!B283)</f>
        <v>245273702</v>
      </c>
      <c r="G283" s="136">
        <f t="shared" si="126"/>
        <v>0.60971971991417762</v>
      </c>
      <c r="H283" s="11">
        <f>+SUMIFS('2024'!J:J,'2024'!D:D,CRUCE!A283,'2024'!AT:AT,CRUCE!B283)</f>
        <v>221000000</v>
      </c>
      <c r="I283" s="7" t="str">
        <f t="shared" si="131"/>
        <v>113Min. Salud - Campaña y Control Antituberculosis Quindio152370440</v>
      </c>
      <c r="J283" s="7" t="str">
        <f t="shared" si="132"/>
        <v>113Min. Salud - Campaña y Control Antituberculosis Quindio152370440</v>
      </c>
      <c r="K283" s="7" t="str">
        <f t="shared" si="133"/>
        <v>113Min. Salud - Campaña y Control Antituberculosis Quindio245273702</v>
      </c>
      <c r="L283" s="7" t="str">
        <f t="shared" si="134"/>
        <v>113Min. Salud - Campaña y Control Antituberculosis Quindio221000000</v>
      </c>
      <c r="M283" t="s">
        <v>1906</v>
      </c>
      <c r="N283" s="136">
        <v>0.05</v>
      </c>
      <c r="O283" s="136"/>
      <c r="P283" s="20">
        <f t="shared" si="127"/>
        <v>232050000</v>
      </c>
      <c r="Q283" s="136">
        <f t="shared" si="135"/>
        <v>0.05</v>
      </c>
      <c r="R283" s="136">
        <f t="shared" si="136"/>
        <v>0.05</v>
      </c>
      <c r="S283" s="20">
        <f t="shared" si="128"/>
        <v>243652500</v>
      </c>
      <c r="U283" s="136">
        <f t="shared" si="137"/>
        <v>0.05</v>
      </c>
      <c r="V283" s="20">
        <f t="shared" si="129"/>
        <v>255835125</v>
      </c>
    </row>
    <row r="284" spans="1:22" hidden="1" x14ac:dyDescent="0.3">
      <c r="A284" s="5">
        <v>114</v>
      </c>
      <c r="B284" s="8" t="s">
        <v>743</v>
      </c>
      <c r="C284" s="11">
        <f>+SUMIFS('2021'!Z:Z,'2021'!D:D,CRUCE!A284,'2021'!AT:AT,CRUCE!B284)</f>
        <v>27053799</v>
      </c>
      <c r="D284" s="11">
        <f>+SUMIFS('2022'!Y:Y,'2022'!D:D,CRUCE!A284,'2022'!AS:AS,CRUCE!B284)</f>
        <v>25160033</v>
      </c>
      <c r="E284" s="136">
        <f t="shared" si="125"/>
        <v>-7.000000258743698E-2</v>
      </c>
      <c r="F284" s="11">
        <f>+SUMIFS('2023'!Y:Y,'2023'!D:D,CRUCE!A284,'2023'!AS:AS,CRUCE!B284)</f>
        <v>25160033</v>
      </c>
      <c r="G284" s="136">
        <f t="shared" si="126"/>
        <v>0</v>
      </c>
      <c r="H284" s="11">
        <f>+SUMIFS('2024'!J:J,'2024'!D:D,CRUCE!A284,'2024'!AT:AT,CRUCE!B284)</f>
        <v>0</v>
      </c>
      <c r="I284" s="7" t="str">
        <f t="shared" si="131"/>
        <v>114Min. Salud - Campaña Control Lepra Quindio27053799</v>
      </c>
      <c r="J284" s="7" t="str">
        <f t="shared" si="132"/>
        <v>114Min. Salud - Campaña Control Lepra Quindio25160033</v>
      </c>
      <c r="K284" s="7" t="str">
        <f t="shared" si="133"/>
        <v>114Min. Salud - Campaña Control Lepra Quindio25160033</v>
      </c>
      <c r="L284" s="7" t="str">
        <f t="shared" si="134"/>
        <v>114Min. Salud - Campaña Control Lepra Quindio0</v>
      </c>
      <c r="M284" t="s">
        <v>1906</v>
      </c>
      <c r="N284" s="136">
        <f t="shared" si="130"/>
        <v>-3.500000129371849E-2</v>
      </c>
      <c r="O284" s="136"/>
      <c r="P284" s="20">
        <f t="shared" si="127"/>
        <v>0</v>
      </c>
      <c r="S284" s="20">
        <f t="shared" si="128"/>
        <v>0</v>
      </c>
      <c r="V284" s="20">
        <f t="shared" si="129"/>
        <v>0</v>
      </c>
    </row>
    <row r="285" spans="1:22" x14ac:dyDescent="0.3">
      <c r="A285" s="5">
        <v>114</v>
      </c>
      <c r="B285" s="8" t="s">
        <v>740</v>
      </c>
      <c r="C285" s="11">
        <f>+SUMIFS('2021'!Z:Z,'2021'!D:D,CRUCE!A285,'2021'!AT:AT,CRUCE!B285)</f>
        <v>0</v>
      </c>
      <c r="D285" s="11">
        <f>+SUMIFS('2022'!Y:Y,'2022'!D:D,CRUCE!A285,'2022'!AS:AS,CRUCE!B285)</f>
        <v>0</v>
      </c>
      <c r="E285" s="136" t="e">
        <f t="shared" si="125"/>
        <v>#DIV/0!</v>
      </c>
      <c r="F285" s="11">
        <f>+SUMIFS('2023'!Y:Y,'2023'!D:D,CRUCE!A285,'2023'!AS:AS,CRUCE!B285)</f>
        <v>0</v>
      </c>
      <c r="G285" s="136" t="e">
        <f t="shared" si="126"/>
        <v>#DIV/0!</v>
      </c>
      <c r="H285" s="11">
        <f>+SUMIFS('2024'!J:J,'2024'!D:D,CRUCE!A285,'2024'!AT:AT,CRUCE!B285)</f>
        <v>36500000</v>
      </c>
      <c r="I285" s="7" t="str">
        <f t="shared" si="131"/>
        <v>114Min. Salud - Campaña y Control Antituberculosis Quindio0</v>
      </c>
      <c r="J285" s="7" t="str">
        <f t="shared" si="132"/>
        <v>114Min. Salud - Campaña y Control Antituberculosis Quindio0</v>
      </c>
      <c r="K285" s="7" t="str">
        <f t="shared" si="133"/>
        <v>114Min. Salud - Campaña y Control Antituberculosis Quindio0</v>
      </c>
      <c r="L285" s="7" t="str">
        <f t="shared" si="134"/>
        <v>114Min. Salud - Campaña y Control Antituberculosis Quindio36500000</v>
      </c>
      <c r="M285" t="s">
        <v>1906</v>
      </c>
      <c r="N285" s="136">
        <v>0.05</v>
      </c>
      <c r="O285" s="136"/>
      <c r="P285" s="20">
        <f t="shared" si="127"/>
        <v>38325000</v>
      </c>
      <c r="Q285" s="136">
        <f>+N285</f>
        <v>0.05</v>
      </c>
      <c r="R285" s="136">
        <f>+Q285</f>
        <v>0.05</v>
      </c>
      <c r="S285" s="20">
        <f t="shared" si="128"/>
        <v>40241250</v>
      </c>
      <c r="U285" s="136">
        <f>+R285</f>
        <v>0.05</v>
      </c>
      <c r="V285" s="20">
        <f t="shared" si="129"/>
        <v>42253312.5</v>
      </c>
    </row>
    <row r="286" spans="1:22" hidden="1" x14ac:dyDescent="0.3">
      <c r="A286" s="5">
        <v>122</v>
      </c>
      <c r="B286" s="8" t="s">
        <v>459</v>
      </c>
      <c r="C286" s="11">
        <f>+SUMIFS('2021'!Z:Z,'2021'!D:D,CRUCE!A286,'2021'!AT:AT,CRUCE!B286)</f>
        <v>1592</v>
      </c>
      <c r="D286" s="11">
        <f>+SUMIFS('2022'!Y:Y,'2022'!D:D,CRUCE!A286,'2022'!AS:AS,CRUCE!B286)</f>
        <v>0</v>
      </c>
      <c r="E286" s="136">
        <f t="shared" si="125"/>
        <v>-1</v>
      </c>
      <c r="F286" s="11">
        <f>+SUMIFS('2023'!Y:Y,'2023'!D:D,CRUCE!A286,'2023'!AS:AS,CRUCE!B286)</f>
        <v>0</v>
      </c>
      <c r="G286" s="136" t="e">
        <f t="shared" si="126"/>
        <v>#DIV/0!</v>
      </c>
      <c r="H286" s="11">
        <f>+SUMIFS('2024'!J:J,'2024'!D:D,CRUCE!A286,'2024'!AT:AT,CRUCE!B286)</f>
        <v>0</v>
      </c>
      <c r="I286" s="7" t="str">
        <f t="shared" si="131"/>
        <v>122Reintegros1592</v>
      </c>
      <c r="J286" s="7" t="str">
        <f t="shared" si="132"/>
        <v>122Reintegros0</v>
      </c>
      <c r="K286" s="7" t="str">
        <f t="shared" si="133"/>
        <v>122Reintegros0</v>
      </c>
      <c r="L286" s="7" t="str">
        <f t="shared" si="134"/>
        <v>122Reintegros0</v>
      </c>
      <c r="M286" t="s">
        <v>1906</v>
      </c>
      <c r="N286" s="136" t="e">
        <f t="shared" si="130"/>
        <v>#DIV/0!</v>
      </c>
      <c r="O286" s="136"/>
      <c r="P286" s="20" t="e">
        <f t="shared" si="127"/>
        <v>#DIV/0!</v>
      </c>
      <c r="S286" s="20" t="e">
        <f t="shared" si="128"/>
        <v>#DIV/0!</v>
      </c>
      <c r="V286" s="20" t="e">
        <f t="shared" si="129"/>
        <v>#DIV/0!</v>
      </c>
    </row>
    <row r="287" spans="1:22" hidden="1" x14ac:dyDescent="0.3">
      <c r="A287" s="5">
        <v>122</v>
      </c>
      <c r="B287" s="8" t="s">
        <v>1188</v>
      </c>
      <c r="C287" s="11">
        <f>+SUMIFS('2021'!Z:Z,'2021'!D:D,CRUCE!A287,'2021'!AT:AT,CRUCE!B287)</f>
        <v>8660202457.2199993</v>
      </c>
      <c r="D287" s="11">
        <f>+SUMIFS('2022'!Y:Y,'2022'!D:D,CRUCE!A287,'2022'!AS:AS,CRUCE!B287)</f>
        <v>7537378380.5</v>
      </c>
      <c r="E287" s="136">
        <f t="shared" si="125"/>
        <v>-0.12965332880686897</v>
      </c>
      <c r="F287" s="11">
        <f>+SUMIFS('2023'!Y:Y,'2023'!D:D,CRUCE!A287,'2023'!AS:AS,CRUCE!B287)</f>
        <v>6707052472.4099998</v>
      </c>
      <c r="G287" s="136">
        <f t="shared" si="126"/>
        <v>-0.11016110193408117</v>
      </c>
      <c r="H287" s="11">
        <f>+SUMIFS('2024'!J:J,'2024'!D:D,CRUCE!A287,'2024'!AT:AT,CRUCE!B287)</f>
        <v>0</v>
      </c>
      <c r="I287" s="7" t="str">
        <f t="shared" si="131"/>
        <v>122Superávit Desahorro FONPET8660202457,22</v>
      </c>
      <c r="J287" s="7" t="str">
        <f t="shared" si="132"/>
        <v>122Superávit Desahorro FONPET7537378380,5</v>
      </c>
      <c r="K287" s="7" t="str">
        <f t="shared" si="133"/>
        <v>122Superávit Desahorro FONPET6707052472,41</v>
      </c>
      <c r="L287" s="7" t="str">
        <f t="shared" si="134"/>
        <v>122Superávit Desahorro FONPET0</v>
      </c>
      <c r="M287" t="s">
        <v>1906</v>
      </c>
      <c r="N287" s="136">
        <f t="shared" si="130"/>
        <v>-0.11990721537047508</v>
      </c>
      <c r="O287" s="136"/>
      <c r="P287" s="20">
        <f t="shared" si="127"/>
        <v>0</v>
      </c>
      <c r="S287" s="20">
        <f t="shared" si="128"/>
        <v>0</v>
      </c>
      <c r="V287" s="20">
        <f t="shared" si="129"/>
        <v>0</v>
      </c>
    </row>
    <row r="288" spans="1:22" hidden="1" x14ac:dyDescent="0.3">
      <c r="A288" s="5">
        <v>123</v>
      </c>
      <c r="B288" s="8" t="s">
        <v>520</v>
      </c>
      <c r="C288" s="11">
        <f>+SUMIFS('2021'!Z:Z,'2021'!D:D,CRUCE!A288,'2021'!AT:AT,CRUCE!B288)</f>
        <v>86524214.989999995</v>
      </c>
      <c r="D288" s="11">
        <f>+SUMIFS('2022'!Y:Y,'2022'!D:D,CRUCE!A288,'2022'!AS:AS,CRUCE!B288)</f>
        <v>666478200</v>
      </c>
      <c r="E288" s="136">
        <f t="shared" si="125"/>
        <v>6.7027939528492455</v>
      </c>
      <c r="F288" s="11">
        <f>+SUMIFS('2023'!Y:Y,'2023'!D:D,CRUCE!A288,'2023'!AS:AS,CRUCE!B288)</f>
        <v>0</v>
      </c>
      <c r="G288" s="136">
        <f t="shared" si="126"/>
        <v>-1</v>
      </c>
      <c r="H288" s="11">
        <f>+SUMIFS('2024'!J:J,'2024'!D:D,CRUCE!A288,'2024'!AT:AT,CRUCE!B288)</f>
        <v>0</v>
      </c>
      <c r="I288" s="7" t="str">
        <f t="shared" si="131"/>
        <v>123Superávit Estampilla Pro Hospital86524214,99</v>
      </c>
      <c r="J288" s="7" t="str">
        <f t="shared" si="132"/>
        <v>123Superávit Estampilla Pro Hospital666478200</v>
      </c>
      <c r="K288" s="7" t="str">
        <f t="shared" si="133"/>
        <v>123Superávit Estampilla Pro Hospital0</v>
      </c>
      <c r="L288" s="7" t="str">
        <f t="shared" si="134"/>
        <v>123Superávit Estampilla Pro Hospital0</v>
      </c>
      <c r="M288" t="s">
        <v>1906</v>
      </c>
      <c r="N288" s="136">
        <f t="shared" si="130"/>
        <v>2.8513969764246228</v>
      </c>
      <c r="O288" s="136"/>
      <c r="P288" s="20">
        <f t="shared" si="127"/>
        <v>0</v>
      </c>
      <c r="S288" s="20">
        <f t="shared" si="128"/>
        <v>0</v>
      </c>
      <c r="V288" s="20">
        <f t="shared" si="129"/>
        <v>0</v>
      </c>
    </row>
    <row r="289" spans="1:22" hidden="1" x14ac:dyDescent="0.3">
      <c r="A289" s="5">
        <v>127</v>
      </c>
      <c r="B289" s="8" t="s">
        <v>1434</v>
      </c>
      <c r="C289" s="11">
        <f>+SUMIFS('2021'!Z:Z,'2021'!D:D,CRUCE!A289,'2021'!AT:AT,CRUCE!B289)</f>
        <v>0</v>
      </c>
      <c r="D289" s="11">
        <f>+SUMIFS('2022'!Y:Y,'2022'!D:D,CRUCE!A289,'2022'!AS:AS,CRUCE!B289)</f>
        <v>0</v>
      </c>
      <c r="E289" s="136" t="e">
        <f t="shared" si="125"/>
        <v>#DIV/0!</v>
      </c>
      <c r="F289" s="11">
        <f>+SUMIFS('2023'!Y:Y,'2023'!D:D,CRUCE!A289,'2023'!AS:AS,CRUCE!B289)</f>
        <v>31354345.460000001</v>
      </c>
      <c r="G289" s="136" t="e">
        <f t="shared" si="126"/>
        <v>#DIV/0!</v>
      </c>
      <c r="H289" s="11">
        <f>+SUMIFS('2024'!J:J,'2024'!D:D,CRUCE!A289,'2024'!AT:AT,CRUCE!B289)</f>
        <v>0</v>
      </c>
      <c r="I289" s="7" t="str">
        <f t="shared" si="131"/>
        <v>127Superávit Iva Licores Nacionales0</v>
      </c>
      <c r="J289" s="7" t="str">
        <f t="shared" si="132"/>
        <v>127Superávit Iva Licores Nacionales0</v>
      </c>
      <c r="K289" s="7" t="str">
        <f t="shared" si="133"/>
        <v>127Superávit Iva Licores Nacionales31354345,46</v>
      </c>
      <c r="L289" s="7" t="str">
        <f t="shared" si="134"/>
        <v>127Superávit Iva Licores Nacionales0</v>
      </c>
      <c r="M289" t="s">
        <v>1906</v>
      </c>
      <c r="N289" s="136" t="e">
        <f t="shared" si="130"/>
        <v>#DIV/0!</v>
      </c>
      <c r="O289" s="136"/>
      <c r="P289" s="20" t="e">
        <f t="shared" si="127"/>
        <v>#DIV/0!</v>
      </c>
      <c r="S289" s="20" t="e">
        <f t="shared" si="128"/>
        <v>#DIV/0!</v>
      </c>
      <c r="V289" s="20" t="e">
        <f t="shared" si="129"/>
        <v>#DIV/0!</v>
      </c>
    </row>
    <row r="290" spans="1:22" hidden="1" x14ac:dyDescent="0.3">
      <c r="A290" s="5">
        <v>129</v>
      </c>
      <c r="B290" s="8" t="s">
        <v>1190</v>
      </c>
      <c r="C290" s="11">
        <f>+SUMIFS('2021'!Z:Z,'2021'!D:D,CRUCE!A290,'2021'!AT:AT,CRUCE!B290)</f>
        <v>160704125</v>
      </c>
      <c r="D290" s="11">
        <f>+SUMIFS('2022'!Y:Y,'2022'!D:D,CRUCE!A290,'2022'!AS:AS,CRUCE!B290)</f>
        <v>241128725.83000001</v>
      </c>
      <c r="E290" s="136">
        <f t="shared" si="125"/>
        <v>0.50045137814601848</v>
      </c>
      <c r="F290" s="11">
        <f>+SUMIFS('2023'!Y:Y,'2023'!D:D,CRUCE!A290,'2023'!AS:AS,CRUCE!B290)</f>
        <v>334489381.63999999</v>
      </c>
      <c r="G290" s="136">
        <f t="shared" si="126"/>
        <v>0.38718180709759514</v>
      </c>
      <c r="H290" s="11">
        <f>+SUMIFS('2024'!J:J,'2024'!D:D,CRUCE!A290,'2024'!AT:AT,CRUCE!B290)</f>
        <v>0</v>
      </c>
      <c r="I290" s="7" t="str">
        <f t="shared" si="131"/>
        <v>129Superávit Impuesto al Registro Proyecta160704125</v>
      </c>
      <c r="J290" s="7" t="str">
        <f t="shared" si="132"/>
        <v>129Superávit Impuesto al Registro Proyecta241128725,83</v>
      </c>
      <c r="K290" s="7" t="str">
        <f t="shared" si="133"/>
        <v>129Superávit Impuesto al Registro Proyecta334489381,64</v>
      </c>
      <c r="L290" s="7" t="str">
        <f t="shared" si="134"/>
        <v>129Superávit Impuesto al Registro Proyecta0</v>
      </c>
      <c r="M290" t="s">
        <v>1906</v>
      </c>
      <c r="N290" s="136">
        <f t="shared" si="130"/>
        <v>0.44381659262180684</v>
      </c>
      <c r="O290" s="136"/>
      <c r="P290" s="20">
        <f t="shared" si="127"/>
        <v>0</v>
      </c>
      <c r="S290" s="20">
        <f t="shared" si="128"/>
        <v>0</v>
      </c>
      <c r="V290" s="20">
        <f t="shared" si="129"/>
        <v>0</v>
      </c>
    </row>
    <row r="291" spans="1:22" hidden="1" x14ac:dyDescent="0.3">
      <c r="A291" s="5">
        <v>130</v>
      </c>
      <c r="B291" s="8" t="s">
        <v>523</v>
      </c>
      <c r="C291" s="11">
        <f>+SUMIFS('2021'!Z:Z,'2021'!D:D,CRUCE!A291,'2021'!AT:AT,CRUCE!B291)</f>
        <v>590362245.54999995</v>
      </c>
      <c r="D291" s="11">
        <f>+SUMIFS('2022'!Y:Y,'2022'!D:D,CRUCE!A291,'2022'!AS:AS,CRUCE!B291)</f>
        <v>0</v>
      </c>
      <c r="E291" s="136">
        <f t="shared" si="125"/>
        <v>-1</v>
      </c>
      <c r="F291" s="11">
        <f>+SUMIFS('2023'!Y:Y,'2023'!D:D,CRUCE!A291,'2023'!AS:AS,CRUCE!B291)</f>
        <v>0</v>
      </c>
      <c r="G291" s="136" t="e">
        <f t="shared" si="126"/>
        <v>#DIV/0!</v>
      </c>
      <c r="H291" s="11">
        <f>+SUMIFS('2024'!J:J,'2024'!D:D,CRUCE!A291,'2024'!AT:AT,CRUCE!B291)</f>
        <v>0</v>
      </c>
      <c r="I291" s="7" t="str">
        <f t="shared" si="131"/>
        <v>130Superávit Impuesto al Registro FONPET590362245,55</v>
      </c>
      <c r="J291" s="7" t="str">
        <f t="shared" si="132"/>
        <v>130Superávit Impuesto al Registro FONPET0</v>
      </c>
      <c r="K291" s="7" t="str">
        <f t="shared" si="133"/>
        <v>130Superávit Impuesto al Registro FONPET0</v>
      </c>
      <c r="L291" s="7" t="str">
        <f t="shared" si="134"/>
        <v>130Superávit Impuesto al Registro FONPET0</v>
      </c>
      <c r="M291" t="s">
        <v>1906</v>
      </c>
      <c r="N291" s="136" t="e">
        <f t="shared" si="130"/>
        <v>#DIV/0!</v>
      </c>
      <c r="O291" s="136"/>
      <c r="P291" s="20" t="e">
        <f t="shared" si="127"/>
        <v>#DIV/0!</v>
      </c>
      <c r="S291" s="20" t="e">
        <f t="shared" si="128"/>
        <v>#DIV/0!</v>
      </c>
      <c r="V291" s="20" t="e">
        <f t="shared" si="129"/>
        <v>#DIV/0!</v>
      </c>
    </row>
    <row r="292" spans="1:22" x14ac:dyDescent="0.3">
      <c r="A292" s="5">
        <v>133</v>
      </c>
      <c r="B292" s="8" t="s">
        <v>1347</v>
      </c>
      <c r="C292" s="11">
        <f>+SUMIFS('2021'!Z:Z,'2021'!D:D,CRUCE!A292,'2021'!AT:AT,CRUCE!B292)</f>
        <v>0</v>
      </c>
      <c r="D292" s="11">
        <f>+SUMIFS('2022'!Y:Y,'2022'!D:D,CRUCE!A292,'2022'!AS:AS,CRUCE!B292)</f>
        <v>0</v>
      </c>
      <c r="E292" s="136" t="e">
        <f t="shared" si="125"/>
        <v>#DIV/0!</v>
      </c>
      <c r="F292" s="11">
        <f>+SUMIFS('2023'!Y:Y,'2023'!D:D,CRUCE!A292,'2023'!AS:AS,CRUCE!B292)</f>
        <v>5685504000</v>
      </c>
      <c r="G292" s="136" t="e">
        <f t="shared" si="126"/>
        <v>#DIV/0!</v>
      </c>
      <c r="H292" s="11">
        <f>+SUMIFS('2024'!J:J,'2024'!D:D,CRUCE!A292,'2024'!AT:AT,CRUCE!B292)</f>
        <v>8000000000</v>
      </c>
      <c r="I292" s="7" t="str">
        <f t="shared" si="131"/>
        <v>133Fondo Nacional de Pensiones de las Entidades Territoriales - FONPET0</v>
      </c>
      <c r="J292" s="7" t="str">
        <f t="shared" si="132"/>
        <v>133Fondo Nacional de Pensiones de las Entidades Territoriales - FONPET0</v>
      </c>
      <c r="K292" s="7" t="str">
        <f t="shared" si="133"/>
        <v>133Fondo Nacional de Pensiones de las Entidades Territoriales - FONPET5685504000</v>
      </c>
      <c r="L292" s="7" t="str">
        <f t="shared" si="134"/>
        <v>133Fondo Nacional de Pensiones de las Entidades Territoriales - FONPET8000000000</v>
      </c>
      <c r="M292" t="s">
        <v>1906</v>
      </c>
      <c r="N292" s="136">
        <v>0.05</v>
      </c>
      <c r="O292" s="136"/>
      <c r="P292" s="20">
        <f t="shared" si="127"/>
        <v>8400000000</v>
      </c>
      <c r="Q292" s="136">
        <f>+N292</f>
        <v>0.05</v>
      </c>
      <c r="R292" s="136">
        <f>+Q292</f>
        <v>0.05</v>
      </c>
      <c r="S292" s="20">
        <f t="shared" si="128"/>
        <v>8820000000</v>
      </c>
      <c r="U292" s="136">
        <f>+R292</f>
        <v>0.05</v>
      </c>
      <c r="V292" s="20">
        <f t="shared" si="129"/>
        <v>9261000000</v>
      </c>
    </row>
    <row r="293" spans="1:22" hidden="1" x14ac:dyDescent="0.3">
      <c r="A293" s="5">
        <v>134</v>
      </c>
      <c r="B293" s="8" t="s">
        <v>264</v>
      </c>
      <c r="C293" s="11">
        <f>+SUMIFS('2021'!Z:Z,'2021'!D:D,CRUCE!A293,'2021'!AT:AT,CRUCE!B293)</f>
        <v>149932.88</v>
      </c>
      <c r="D293" s="11">
        <f>+SUMIFS('2022'!Y:Y,'2022'!D:D,CRUCE!A293,'2022'!AS:AS,CRUCE!B293)</f>
        <v>0</v>
      </c>
      <c r="E293" s="136">
        <f t="shared" si="125"/>
        <v>-1</v>
      </c>
      <c r="F293" s="11">
        <f>+SUMIFS('2023'!Y:Y,'2023'!D:D,CRUCE!A293,'2023'!AS:AS,CRUCE!B293)</f>
        <v>0</v>
      </c>
      <c r="G293" s="136" t="e">
        <f t="shared" si="126"/>
        <v>#DIV/0!</v>
      </c>
      <c r="H293" s="11">
        <f>+SUMIFS('2024'!J:J,'2024'!D:D,CRUCE!A293,'2024'!AT:AT,CRUCE!B293)</f>
        <v>0</v>
      </c>
      <c r="I293" s="7" t="str">
        <f t="shared" si="131"/>
        <v>134Agencia Nacional de Minería149932,88</v>
      </c>
      <c r="J293" s="7" t="str">
        <f t="shared" si="132"/>
        <v>134Agencia Nacional de Minería0</v>
      </c>
      <c r="K293" s="7" t="str">
        <f t="shared" si="133"/>
        <v>134Agencia Nacional de Minería0</v>
      </c>
      <c r="L293" s="7" t="str">
        <f t="shared" si="134"/>
        <v>134Agencia Nacional de Minería0</v>
      </c>
      <c r="M293" t="s">
        <v>1906</v>
      </c>
      <c r="N293" s="136" t="e">
        <f t="shared" si="130"/>
        <v>#DIV/0!</v>
      </c>
      <c r="O293" s="136"/>
      <c r="P293" s="20" t="e">
        <f t="shared" si="127"/>
        <v>#DIV/0!</v>
      </c>
      <c r="S293" s="20" t="e">
        <f t="shared" si="128"/>
        <v>#DIV/0!</v>
      </c>
      <c r="V293" s="20" t="e">
        <f t="shared" si="129"/>
        <v>#DIV/0!</v>
      </c>
    </row>
    <row r="294" spans="1:22" hidden="1" x14ac:dyDescent="0.3">
      <c r="A294" s="5">
        <v>134</v>
      </c>
      <c r="B294" s="8" t="s">
        <v>1152</v>
      </c>
      <c r="C294" s="11">
        <f>+SUMIFS('2021'!Z:Z,'2021'!D:D,CRUCE!A294,'2021'!AT:AT,CRUCE!B294)</f>
        <v>84.09</v>
      </c>
      <c r="D294" s="11">
        <f>+SUMIFS('2022'!Y:Y,'2022'!D:D,CRUCE!A294,'2022'!AS:AS,CRUCE!B294)</f>
        <v>226.32</v>
      </c>
      <c r="E294" s="136">
        <f t="shared" si="125"/>
        <v>1.6914020692115588</v>
      </c>
      <c r="F294" s="11">
        <f>+SUMIFS('2023'!Y:Y,'2023'!D:D,CRUCE!A294,'2023'!AS:AS,CRUCE!B294)</f>
        <v>141.41</v>
      </c>
      <c r="G294" s="136">
        <f t="shared" si="126"/>
        <v>-0.37517674089784375</v>
      </c>
      <c r="H294" s="11">
        <f>+SUMIFS('2024'!J:J,'2024'!D:D,CRUCE!A294,'2024'!AT:AT,CRUCE!B294)</f>
        <v>0</v>
      </c>
      <c r="I294" s="7" t="str">
        <f t="shared" si="131"/>
        <v>134Depósitos Material de Río84,09</v>
      </c>
      <c r="J294" s="7" t="str">
        <f t="shared" si="132"/>
        <v>134Depósitos Material de Río226,32</v>
      </c>
      <c r="K294" s="7" t="str">
        <f t="shared" si="133"/>
        <v>134Depósitos Material de Río141,41</v>
      </c>
      <c r="L294" s="7" t="str">
        <f t="shared" si="134"/>
        <v>134Depósitos Material de Río0</v>
      </c>
      <c r="M294" t="s">
        <v>1906</v>
      </c>
      <c r="N294" s="136">
        <f t="shared" si="130"/>
        <v>0.65811266415685754</v>
      </c>
      <c r="O294" s="136"/>
      <c r="P294" s="20">
        <f t="shared" ref="P294:P295" si="138">+H294*1.02</f>
        <v>0</v>
      </c>
      <c r="S294" s="20">
        <f t="shared" ref="S294:S295" si="139">+P294*1.02</f>
        <v>0</v>
      </c>
      <c r="V294" s="20">
        <f t="shared" ref="V294:V295" si="140">+S294*1.02</f>
        <v>0</v>
      </c>
    </row>
    <row r="295" spans="1:22" hidden="1" x14ac:dyDescent="0.3">
      <c r="A295" s="5">
        <v>135</v>
      </c>
      <c r="B295" s="8" t="s">
        <v>1139</v>
      </c>
      <c r="C295" s="11">
        <f>+SUMIFS('2021'!Z:Z,'2021'!D:D,CRUCE!A295,'2021'!AT:AT,CRUCE!B295)</f>
        <v>0</v>
      </c>
      <c r="D295" s="11">
        <f>+SUMIFS('2022'!Y:Y,'2022'!D:D,CRUCE!A295,'2022'!AS:AS,CRUCE!B295)</f>
        <v>41693619.909999996</v>
      </c>
      <c r="E295" s="136" t="e">
        <f t="shared" si="125"/>
        <v>#DIV/0!</v>
      </c>
      <c r="F295" s="11">
        <f>+SUMIFS('2023'!Y:Y,'2023'!D:D,CRUCE!A295,'2023'!AS:AS,CRUCE!B295)</f>
        <v>0</v>
      </c>
      <c r="G295" s="136">
        <f t="shared" si="126"/>
        <v>-1</v>
      </c>
      <c r="H295" s="11">
        <f>+SUMIFS('2024'!J:J,'2024'!D:D,CRUCE!A295,'2024'!AT:AT,CRUCE!B295)</f>
        <v>0</v>
      </c>
      <c r="I295" s="7" t="str">
        <f t="shared" si="131"/>
        <v>135Depósitos Desahorro FONPET Pensionales0</v>
      </c>
      <c r="J295" s="7" t="str">
        <f t="shared" si="132"/>
        <v>135Depósitos Desahorro FONPET Pensionales41693619,91</v>
      </c>
      <c r="K295" s="7" t="str">
        <f t="shared" si="133"/>
        <v>135Depósitos Desahorro FONPET Pensionales0</v>
      </c>
      <c r="L295" s="7" t="str">
        <f t="shared" si="134"/>
        <v>135Depósitos Desahorro FONPET Pensionales0</v>
      </c>
      <c r="M295" t="s">
        <v>1906</v>
      </c>
      <c r="N295" s="136" t="e">
        <f t="shared" si="130"/>
        <v>#DIV/0!</v>
      </c>
      <c r="O295" s="136"/>
      <c r="P295" s="20">
        <f t="shared" si="138"/>
        <v>0</v>
      </c>
      <c r="S295" s="20">
        <f t="shared" si="139"/>
        <v>0</v>
      </c>
      <c r="V295" s="20">
        <f t="shared" si="140"/>
        <v>0</v>
      </c>
    </row>
    <row r="296" spans="1:22" x14ac:dyDescent="0.3">
      <c r="A296" s="5">
        <v>135</v>
      </c>
      <c r="B296" s="8" t="s">
        <v>544</v>
      </c>
      <c r="C296" s="11">
        <f>+SUMIFS('2021'!Z:Z,'2021'!D:D,CRUCE!A296,'2021'!AT:AT,CRUCE!B296)</f>
        <v>0</v>
      </c>
      <c r="D296" s="11">
        <f>+SUMIFS('2022'!Y:Y,'2022'!D:D,CRUCE!A296,'2022'!AS:AS,CRUCE!B296)</f>
        <v>8257203322</v>
      </c>
      <c r="E296" s="136" t="e">
        <f t="shared" si="125"/>
        <v>#DIV/0!</v>
      </c>
      <c r="F296" s="11">
        <f>+SUMIFS('2023'!Y:Y,'2023'!D:D,CRUCE!A296,'2023'!AS:AS,CRUCE!B296)</f>
        <v>9574137161</v>
      </c>
      <c r="G296" s="136">
        <f t="shared" si="126"/>
        <v>0.15948908942223089</v>
      </c>
      <c r="H296" s="11">
        <f>+SUMIFS('2024'!J:J,'2024'!D:D,CRUCE!A296,'2024'!AT:AT,CRUCE!B296)</f>
        <v>9000000000</v>
      </c>
      <c r="I296" s="7" t="str">
        <f t="shared" si="131"/>
        <v>135Para el pago del pasivo pensional corriente0</v>
      </c>
      <c r="J296" s="7" t="str">
        <f t="shared" si="132"/>
        <v>135Para el pago del pasivo pensional corriente8257203322</v>
      </c>
      <c r="K296" s="7" t="str">
        <f t="shared" si="133"/>
        <v>135Para el pago del pasivo pensional corriente9574137161</v>
      </c>
      <c r="L296" s="7" t="str">
        <f t="shared" si="134"/>
        <v>135Para el pago del pasivo pensional corriente9000000000</v>
      </c>
      <c r="M296" t="s">
        <v>1906</v>
      </c>
      <c r="N296" s="136">
        <v>0.05</v>
      </c>
      <c r="O296" s="136"/>
      <c r="P296" s="20">
        <f t="shared" si="127"/>
        <v>9450000000</v>
      </c>
      <c r="Q296" s="136">
        <f>+N296</f>
        <v>0.05</v>
      </c>
      <c r="R296" s="136">
        <f>+Q296</f>
        <v>0.05</v>
      </c>
      <c r="S296" s="20">
        <f t="shared" si="128"/>
        <v>9922500000</v>
      </c>
      <c r="U296" s="136">
        <f>+R296</f>
        <v>0.05</v>
      </c>
      <c r="V296" s="20">
        <f t="shared" si="129"/>
        <v>10418625000</v>
      </c>
    </row>
    <row r="297" spans="1:22" hidden="1" x14ac:dyDescent="0.3">
      <c r="A297" s="5">
        <v>135</v>
      </c>
      <c r="B297" s="8" t="s">
        <v>459</v>
      </c>
      <c r="C297" s="11">
        <f>+SUMIFS('2021'!Z:Z,'2021'!D:D,CRUCE!A297,'2021'!AT:AT,CRUCE!B297)</f>
        <v>0</v>
      </c>
      <c r="D297" s="11">
        <f>+SUMIFS('2022'!Y:Y,'2022'!D:D,CRUCE!A297,'2022'!AS:AS,CRUCE!B297)</f>
        <v>0</v>
      </c>
      <c r="E297" s="136" t="e">
        <f t="shared" si="125"/>
        <v>#DIV/0!</v>
      </c>
      <c r="F297" s="11">
        <f>+SUMIFS('2023'!Y:Y,'2023'!D:D,CRUCE!A297,'2023'!AS:AS,CRUCE!B297)</f>
        <v>0</v>
      </c>
      <c r="G297" s="136" t="e">
        <f t="shared" si="126"/>
        <v>#DIV/0!</v>
      </c>
      <c r="H297" s="11">
        <f>+SUMIFS('2024'!J:J,'2024'!D:D,CRUCE!A297,'2024'!AT:AT,CRUCE!B297)</f>
        <v>0</v>
      </c>
      <c r="I297" s="7" t="str">
        <f t="shared" si="131"/>
        <v>135Reintegros0</v>
      </c>
      <c r="J297" s="7" t="str">
        <f t="shared" si="132"/>
        <v>135Reintegros0</v>
      </c>
      <c r="K297" s="7" t="str">
        <f t="shared" si="133"/>
        <v>135Reintegros0</v>
      </c>
      <c r="L297" s="7" t="str">
        <f t="shared" si="134"/>
        <v>135Reintegros0</v>
      </c>
      <c r="M297" t="s">
        <v>1906</v>
      </c>
      <c r="N297" s="136" t="e">
        <f t="shared" si="130"/>
        <v>#DIV/0!</v>
      </c>
      <c r="O297" s="136"/>
      <c r="P297" s="20" t="e">
        <f t="shared" si="127"/>
        <v>#DIV/0!</v>
      </c>
      <c r="S297" s="20" t="e">
        <f t="shared" si="128"/>
        <v>#DIV/0!</v>
      </c>
      <c r="V297" s="20" t="e">
        <f t="shared" si="129"/>
        <v>#DIV/0!</v>
      </c>
    </row>
    <row r="298" spans="1:22" x14ac:dyDescent="0.3">
      <c r="A298" s="5">
        <v>136</v>
      </c>
      <c r="B298" s="8" t="s">
        <v>1139</v>
      </c>
      <c r="C298" s="11">
        <f>+SUMIFS('2021'!Z:Z,'2021'!D:D,CRUCE!A298,'2021'!AT:AT,CRUCE!B298)</f>
        <v>26459132.280000001</v>
      </c>
      <c r="D298" s="11">
        <f>+SUMIFS('2022'!Y:Y,'2022'!D:D,CRUCE!A298,'2022'!AS:AS,CRUCE!B298)</f>
        <v>0</v>
      </c>
      <c r="E298" s="136">
        <f t="shared" si="125"/>
        <v>-1</v>
      </c>
      <c r="F298" s="11">
        <f>+SUMIFS('2023'!Y:Y,'2023'!D:D,CRUCE!A298,'2023'!AS:AS,CRUCE!B298)</f>
        <v>382287662.39999998</v>
      </c>
      <c r="G298" s="136" t="e">
        <f t="shared" si="126"/>
        <v>#DIV/0!</v>
      </c>
      <c r="H298" s="11">
        <f>+SUMIFS('2024'!J:J,'2024'!D:D,CRUCE!A298,'2024'!AT:AT,CRUCE!B298)</f>
        <v>10000000</v>
      </c>
      <c r="I298" s="7" t="str">
        <f t="shared" si="131"/>
        <v>136Depósitos Desahorro FONPET Pensionales26459132,28</v>
      </c>
      <c r="J298" s="7" t="str">
        <f t="shared" si="132"/>
        <v>136Depósitos Desahorro FONPET Pensionales0</v>
      </c>
      <c r="K298" s="7" t="str">
        <f t="shared" si="133"/>
        <v>136Depósitos Desahorro FONPET Pensionales382287662,4</v>
      </c>
      <c r="L298" s="7" t="str">
        <f t="shared" si="134"/>
        <v>136Depósitos Desahorro FONPET Pensionales10000000</v>
      </c>
      <c r="M298" t="s">
        <v>1906</v>
      </c>
      <c r="N298" s="136">
        <v>0.05</v>
      </c>
      <c r="O298" s="136"/>
      <c r="P298" s="20">
        <f>+H298*1.02</f>
        <v>10200000</v>
      </c>
      <c r="Q298" s="136">
        <f>+N298</f>
        <v>0.05</v>
      </c>
      <c r="R298" s="136">
        <f>+Q298</f>
        <v>0.05</v>
      </c>
      <c r="S298" s="20">
        <f>+P298*1.02</f>
        <v>10404000</v>
      </c>
      <c r="U298" s="136">
        <f>+R298</f>
        <v>0.05</v>
      </c>
      <c r="V298" s="20">
        <f>+S298*1.02</f>
        <v>10612080</v>
      </c>
    </row>
    <row r="299" spans="1:22" hidden="1" x14ac:dyDescent="0.3">
      <c r="A299" s="5">
        <v>136</v>
      </c>
      <c r="B299" s="8" t="s">
        <v>544</v>
      </c>
      <c r="C299" s="11">
        <f>+SUMIFS('2021'!Z:Z,'2021'!D:D,CRUCE!A299,'2021'!AT:AT,CRUCE!B299)</f>
        <v>7936707593</v>
      </c>
      <c r="D299" s="11">
        <f>+SUMIFS('2022'!Y:Y,'2022'!D:D,CRUCE!A299,'2022'!AS:AS,CRUCE!B299)</f>
        <v>0</v>
      </c>
      <c r="E299" s="136">
        <f t="shared" si="125"/>
        <v>-1</v>
      </c>
      <c r="F299" s="11">
        <f>+SUMIFS('2023'!Y:Y,'2023'!D:D,CRUCE!A299,'2023'!AS:AS,CRUCE!B299)</f>
        <v>0</v>
      </c>
      <c r="G299" s="136" t="e">
        <f t="shared" si="126"/>
        <v>#DIV/0!</v>
      </c>
      <c r="H299" s="11">
        <f>+SUMIFS('2024'!J:J,'2024'!D:D,CRUCE!A299,'2024'!AT:AT,CRUCE!B299)</f>
        <v>0</v>
      </c>
      <c r="I299" s="7" t="str">
        <f t="shared" si="131"/>
        <v>136Para el pago del pasivo pensional corriente7936707593</v>
      </c>
      <c r="J299" s="7" t="str">
        <f t="shared" si="132"/>
        <v>136Para el pago del pasivo pensional corriente0</v>
      </c>
      <c r="K299" s="7" t="str">
        <f t="shared" si="133"/>
        <v>136Para el pago del pasivo pensional corriente0</v>
      </c>
      <c r="L299" s="7" t="str">
        <f t="shared" si="134"/>
        <v>136Para el pago del pasivo pensional corriente0</v>
      </c>
      <c r="M299" t="s">
        <v>1906</v>
      </c>
      <c r="N299" s="136" t="e">
        <f t="shared" si="130"/>
        <v>#DIV/0!</v>
      </c>
      <c r="O299" s="136"/>
      <c r="P299" s="20" t="e">
        <f t="shared" si="127"/>
        <v>#DIV/0!</v>
      </c>
      <c r="S299" s="20" t="e">
        <f t="shared" si="128"/>
        <v>#DIV/0!</v>
      </c>
      <c r="V299" s="20" t="e">
        <f t="shared" si="129"/>
        <v>#DIV/0!</v>
      </c>
    </row>
    <row r="300" spans="1:22" hidden="1" x14ac:dyDescent="0.3">
      <c r="A300" s="5">
        <v>137</v>
      </c>
      <c r="B300" s="8" t="s">
        <v>627</v>
      </c>
      <c r="C300" s="11">
        <f>+SUMIFS('2021'!Z:Z,'2021'!D:D,CRUCE!A300,'2021'!AT:AT,CRUCE!B300)</f>
        <v>1506571158.05</v>
      </c>
      <c r="D300" s="11">
        <f>+SUMIFS('2022'!Y:Y,'2022'!D:D,CRUCE!A300,'2022'!AS:AS,CRUCE!B300)</f>
        <v>1454512150.53</v>
      </c>
      <c r="E300" s="136">
        <f t="shared" si="125"/>
        <v>-3.4554629060721903E-2</v>
      </c>
      <c r="F300" s="11">
        <f>+SUMIFS('2023'!Y:Y,'2023'!D:D,CRUCE!A300,'2023'!AS:AS,CRUCE!B300)</f>
        <v>731851062.25</v>
      </c>
      <c r="G300" s="136">
        <f t="shared" si="126"/>
        <v>-0.49684087411485311</v>
      </c>
      <c r="H300" s="11">
        <f>+SUMIFS('2024'!J:J,'2024'!D:D,CRUCE!A300,'2024'!AT:AT,CRUCE!B300)</f>
        <v>0</v>
      </c>
      <c r="I300" s="7" t="str">
        <f t="shared" si="131"/>
        <v>137Superávit PAE Educación1506571158,05</v>
      </c>
      <c r="J300" s="7" t="str">
        <f t="shared" si="132"/>
        <v>137Superávit PAE Educación1454512150,53</v>
      </c>
      <c r="K300" s="7" t="str">
        <f t="shared" si="133"/>
        <v>137Superávit PAE Educación731851062,25</v>
      </c>
      <c r="L300" s="7" t="str">
        <f t="shared" si="134"/>
        <v>137Superávit PAE Educación0</v>
      </c>
      <c r="M300" t="s">
        <v>1906</v>
      </c>
      <c r="N300" s="136">
        <f t="shared" si="130"/>
        <v>-0.26569775158778752</v>
      </c>
      <c r="O300" s="136"/>
      <c r="P300" s="20">
        <f t="shared" si="127"/>
        <v>0</v>
      </c>
      <c r="S300" s="20">
        <f t="shared" si="128"/>
        <v>0</v>
      </c>
      <c r="V300" s="20">
        <f t="shared" si="129"/>
        <v>0</v>
      </c>
    </row>
    <row r="301" spans="1:22" hidden="1" x14ac:dyDescent="0.3">
      <c r="A301" s="5">
        <v>138</v>
      </c>
      <c r="B301" s="8" t="s">
        <v>288</v>
      </c>
      <c r="C301" s="11">
        <f>+SUMIFS('2021'!Z:Z,'2021'!D:D,CRUCE!A301,'2021'!AT:AT,CRUCE!B301)</f>
        <v>4998651</v>
      </c>
      <c r="D301" s="11">
        <f>+SUMIFS('2022'!Y:Y,'2022'!D:D,CRUCE!A301,'2022'!AS:AS,CRUCE!B301)</f>
        <v>0</v>
      </c>
      <c r="E301" s="136">
        <f t="shared" si="125"/>
        <v>-1</v>
      </c>
      <c r="F301" s="11">
        <f>+SUMIFS('2023'!Y:Y,'2023'!D:D,CRUCE!A301,'2023'!AS:AS,CRUCE!B301)</f>
        <v>0</v>
      </c>
      <c r="G301" s="136" t="e">
        <f t="shared" si="126"/>
        <v>#DIV/0!</v>
      </c>
      <c r="H301" s="11">
        <f>+SUMIFS('2024'!J:J,'2024'!D:D,CRUCE!A301,'2024'!AT:AT,CRUCE!B301)</f>
        <v>0</v>
      </c>
      <c r="I301" s="7" t="str">
        <f t="shared" si="131"/>
        <v>138Colpensiones - Fondo de Vejez4998651</v>
      </c>
      <c r="J301" s="7" t="str">
        <f t="shared" si="132"/>
        <v>138Colpensiones - Fondo de Vejez0</v>
      </c>
      <c r="K301" s="7" t="str">
        <f t="shared" si="133"/>
        <v>138Colpensiones - Fondo de Vejez0</v>
      </c>
      <c r="L301" s="7" t="str">
        <f t="shared" si="134"/>
        <v>138Colpensiones - Fondo de Vejez0</v>
      </c>
      <c r="M301" t="s">
        <v>1906</v>
      </c>
      <c r="N301" s="136" t="e">
        <f t="shared" si="130"/>
        <v>#DIV/0!</v>
      </c>
      <c r="O301" s="136"/>
      <c r="P301" s="20" t="e">
        <f t="shared" si="127"/>
        <v>#DIV/0!</v>
      </c>
      <c r="S301" s="20" t="e">
        <f t="shared" si="128"/>
        <v>#DIV/0!</v>
      </c>
      <c r="V301" s="20" t="e">
        <f t="shared" si="129"/>
        <v>#DIV/0!</v>
      </c>
    </row>
    <row r="302" spans="1:22" hidden="1" x14ac:dyDescent="0.3">
      <c r="A302" s="5">
        <v>145</v>
      </c>
      <c r="B302" s="8" t="s">
        <v>1156</v>
      </c>
      <c r="C302" s="11">
        <f>+SUMIFS('2021'!Z:Z,'2021'!D:D,CRUCE!A302,'2021'!AT:AT,CRUCE!B302)</f>
        <v>1661201.34</v>
      </c>
      <c r="D302" s="11">
        <f>+SUMIFS('2022'!Y:Y,'2022'!D:D,CRUCE!A302,'2022'!AS:AS,CRUCE!B302)</f>
        <v>581276.37</v>
      </c>
      <c r="E302" s="136">
        <f t="shared" si="125"/>
        <v>-0.65008674385008636</v>
      </c>
      <c r="F302" s="11">
        <f>+SUMIFS('2023'!Y:Y,'2023'!D:D,CRUCE!A302,'2023'!AS:AS,CRUCE!B302)</f>
        <v>5853132.2699999996</v>
      </c>
      <c r="G302" s="136">
        <f t="shared" si="126"/>
        <v>9.0694481525199446</v>
      </c>
      <c r="H302" s="11">
        <f>+SUMIFS('2024'!J:J,'2024'!D:D,CRUCE!A302,'2024'!AT:AT,CRUCE!B302)</f>
        <v>0</v>
      </c>
      <c r="I302" s="7" t="str">
        <f t="shared" si="131"/>
        <v>145Depósitos Impuesto al Consumo 3% Deporte1661201,34</v>
      </c>
      <c r="J302" s="7" t="str">
        <f t="shared" si="132"/>
        <v>145Depósitos Impuesto al Consumo 3% Deporte581276,37</v>
      </c>
      <c r="K302" s="7" t="str">
        <f t="shared" si="133"/>
        <v>145Depósitos Impuesto al Consumo 3% Deporte5853132,27</v>
      </c>
      <c r="L302" s="7" t="str">
        <f t="shared" si="134"/>
        <v>145Depósitos Impuesto al Consumo 3% Deporte0</v>
      </c>
      <c r="M302" t="s">
        <v>1906</v>
      </c>
      <c r="N302" s="136">
        <f t="shared" si="130"/>
        <v>4.2096807043349287</v>
      </c>
      <c r="O302" s="136"/>
      <c r="P302" s="20">
        <f>+H302*1.02</f>
        <v>0</v>
      </c>
      <c r="S302" s="20">
        <f>+P302*1.02</f>
        <v>0</v>
      </c>
      <c r="V302" s="20">
        <f>+S302*1.02</f>
        <v>0</v>
      </c>
    </row>
    <row r="303" spans="1:22" x14ac:dyDescent="0.3">
      <c r="A303" s="5">
        <v>145</v>
      </c>
      <c r="B303" s="8" t="s">
        <v>1541</v>
      </c>
      <c r="C303" s="11">
        <f>+SUMIFS('2021'!Z:Z,'2021'!D:D,CRUCE!A303,'2021'!AT:AT,CRUCE!B303)</f>
        <v>0</v>
      </c>
      <c r="D303" s="11">
        <f>+SUMIFS('2022'!Y:Y,'2022'!D:D,CRUCE!A303,'2022'!AS:AS,CRUCE!B303)</f>
        <v>0</v>
      </c>
      <c r="E303" s="136" t="e">
        <f t="shared" si="125"/>
        <v>#DIV/0!</v>
      </c>
      <c r="F303" s="11">
        <f>+SUMIFS('2023'!Y:Y,'2023'!D:D,CRUCE!A303,'2023'!AS:AS,CRUCE!B303)</f>
        <v>0</v>
      </c>
      <c r="G303" s="136" t="e">
        <f t="shared" si="126"/>
        <v>#DIV/0!</v>
      </c>
      <c r="H303" s="11">
        <f>+SUMIFS('2024'!J:J,'2024'!D:D,CRUCE!A303,'2024'!AT:AT,CRUCE!B303)</f>
        <v>88781314.700000003</v>
      </c>
      <c r="I303" s="7" t="str">
        <f t="shared" si="131"/>
        <v>145Impuesto al consumo de vinos, aperitivos y similares - Componente Ad Valorem de Producción Extranjer0</v>
      </c>
      <c r="J303" s="7" t="str">
        <f t="shared" si="132"/>
        <v>145Impuesto al consumo de vinos, aperitivos y similares - Componente Ad Valorem de Producción Extranjer0</v>
      </c>
      <c r="K303" s="7" t="str">
        <f t="shared" si="133"/>
        <v>145Impuesto al consumo de vinos, aperitivos y similares - Componente Ad Valorem de Producción Extranjer0</v>
      </c>
      <c r="L303" s="7" t="str">
        <f t="shared" si="134"/>
        <v>145Impuesto al consumo de vinos, aperitivos y similares - Componente Ad Valorem de Producción Extranjer88781314,7</v>
      </c>
      <c r="M303" t="s">
        <v>1906</v>
      </c>
      <c r="N303" s="136">
        <v>0.05</v>
      </c>
      <c r="O303" s="136"/>
      <c r="P303" s="20">
        <f t="shared" si="127"/>
        <v>93220380.435000002</v>
      </c>
      <c r="Q303" s="136">
        <f t="shared" ref="Q303:Q306" si="141">+N303</f>
        <v>0.05</v>
      </c>
      <c r="R303" s="136">
        <f t="shared" ref="R303:R306" si="142">+Q303</f>
        <v>0.05</v>
      </c>
      <c r="S303" s="20">
        <f t="shared" si="128"/>
        <v>97881399.456750005</v>
      </c>
      <c r="U303" s="136">
        <f t="shared" ref="U303:U306" si="143">+R303</f>
        <v>0.05</v>
      </c>
      <c r="V303" s="20">
        <f t="shared" si="129"/>
        <v>102775469.42958751</v>
      </c>
    </row>
    <row r="304" spans="1:22" x14ac:dyDescent="0.3">
      <c r="A304" s="5">
        <v>145</v>
      </c>
      <c r="B304" s="8" t="s">
        <v>1538</v>
      </c>
      <c r="C304" s="11">
        <f>+SUMIFS('2021'!Z:Z,'2021'!D:D,CRUCE!A304,'2021'!AT:AT,CRUCE!B304)</f>
        <v>0</v>
      </c>
      <c r="D304" s="11">
        <f>+SUMIFS('2022'!Y:Y,'2022'!D:D,CRUCE!A304,'2022'!AS:AS,CRUCE!B304)</f>
        <v>0</v>
      </c>
      <c r="E304" s="136" t="e">
        <f t="shared" si="125"/>
        <v>#DIV/0!</v>
      </c>
      <c r="F304" s="11">
        <f>+SUMIFS('2023'!Y:Y,'2023'!D:D,CRUCE!A304,'2023'!AS:AS,CRUCE!B304)</f>
        <v>0</v>
      </c>
      <c r="G304" s="136" t="e">
        <f t="shared" si="126"/>
        <v>#DIV/0!</v>
      </c>
      <c r="H304" s="11">
        <f>+SUMIFS('2024'!J:J,'2024'!D:D,CRUCE!A304,'2024'!AT:AT,CRUCE!B304)</f>
        <v>28925600.300000001</v>
      </c>
      <c r="I304" s="7" t="str">
        <f t="shared" si="131"/>
        <v>145Impuesto al consumo de vinos, aperitivos y similares - Componente Ad Valorem de Producción Nacional0</v>
      </c>
      <c r="J304" s="7" t="str">
        <f t="shared" si="132"/>
        <v>145Impuesto al consumo de vinos, aperitivos y similares - Componente Ad Valorem de Producción Nacional0</v>
      </c>
      <c r="K304" s="7" t="str">
        <f t="shared" si="133"/>
        <v>145Impuesto al consumo de vinos, aperitivos y similares - Componente Ad Valorem de Producción Nacional0</v>
      </c>
      <c r="L304" s="7" t="str">
        <f t="shared" si="134"/>
        <v>145Impuesto al consumo de vinos, aperitivos y similares - Componente Ad Valorem de Producción Nacional28925600,3</v>
      </c>
      <c r="M304" t="s">
        <v>1906</v>
      </c>
      <c r="N304" s="136">
        <v>0.05</v>
      </c>
      <c r="O304" s="136"/>
      <c r="P304" s="20">
        <f t="shared" si="127"/>
        <v>30371880.315000001</v>
      </c>
      <c r="Q304" s="136">
        <f t="shared" si="141"/>
        <v>0.05</v>
      </c>
      <c r="R304" s="136">
        <f t="shared" si="142"/>
        <v>0.05</v>
      </c>
      <c r="S304" s="20">
        <f t="shared" si="128"/>
        <v>31890474.330750003</v>
      </c>
      <c r="U304" s="136">
        <f t="shared" si="143"/>
        <v>0.05</v>
      </c>
      <c r="V304" s="20">
        <f t="shared" si="129"/>
        <v>33484998.047287505</v>
      </c>
    </row>
    <row r="305" spans="1:22" x14ac:dyDescent="0.3">
      <c r="A305" s="5">
        <v>145</v>
      </c>
      <c r="B305" s="8" t="s">
        <v>98</v>
      </c>
      <c r="C305" s="11">
        <f>+SUMIFS('2021'!Z:Z,'2021'!D:D,CRUCE!A305,'2021'!AT:AT,CRUCE!B305)</f>
        <v>0</v>
      </c>
      <c r="D305" s="11">
        <f>+SUMIFS('2022'!Y:Y,'2022'!D:D,CRUCE!A305,'2022'!AS:AS,CRUCE!B305)</f>
        <v>152242940</v>
      </c>
      <c r="E305" s="136" t="e">
        <f t="shared" si="125"/>
        <v>#DIV/0!</v>
      </c>
      <c r="F305" s="11">
        <f>+SUMIFS('2023'!Y:Y,'2023'!D:D,CRUCE!A305,'2023'!AS:AS,CRUCE!B305)</f>
        <v>118741457.5</v>
      </c>
      <c r="G305" s="136">
        <f t="shared" si="126"/>
        <v>-0.22005278208631546</v>
      </c>
      <c r="H305" s="11">
        <f>+SUMIFS('2024'!J:J,'2024'!D:D,CRUCE!A305,'2024'!AT:AT,CRUCE!B305)</f>
        <v>87009883.900000006</v>
      </c>
      <c r="I305" s="7" t="str">
        <f t="shared" si="131"/>
        <v>145Impuesto al consumo de vinos, aperitivos y similares - Extranjeros0</v>
      </c>
      <c r="J305" s="7" t="str">
        <f t="shared" si="132"/>
        <v>145Impuesto al consumo de vinos, aperitivos y similares - Extranjeros152242940</v>
      </c>
      <c r="K305" s="7" t="str">
        <f t="shared" si="133"/>
        <v>145Impuesto al consumo de vinos, aperitivos y similares - Extranjeros118741457,5</v>
      </c>
      <c r="L305" s="7" t="str">
        <f t="shared" si="134"/>
        <v>145Impuesto al consumo de vinos, aperitivos y similares - Extranjeros87009883,9</v>
      </c>
      <c r="M305" t="s">
        <v>1906</v>
      </c>
      <c r="N305" s="136">
        <v>0.05</v>
      </c>
      <c r="O305" s="136"/>
      <c r="P305" s="20">
        <f t="shared" si="127"/>
        <v>91360378.094999999</v>
      </c>
      <c r="Q305" s="136">
        <f t="shared" si="141"/>
        <v>0.05</v>
      </c>
      <c r="R305" s="136">
        <f t="shared" si="142"/>
        <v>0.05</v>
      </c>
      <c r="S305" s="20">
        <f t="shared" si="128"/>
        <v>95928396.999750003</v>
      </c>
      <c r="U305" s="136">
        <f t="shared" si="143"/>
        <v>0.05</v>
      </c>
      <c r="V305" s="20">
        <f t="shared" si="129"/>
        <v>100724816.84973751</v>
      </c>
    </row>
    <row r="306" spans="1:22" x14ac:dyDescent="0.3">
      <c r="A306" s="5">
        <v>145</v>
      </c>
      <c r="B306" s="8" t="s">
        <v>96</v>
      </c>
      <c r="C306" s="11">
        <f>+SUMIFS('2021'!Z:Z,'2021'!D:D,CRUCE!A306,'2021'!AT:AT,CRUCE!B306)</f>
        <v>353329093.94</v>
      </c>
      <c r="D306" s="11">
        <f>+SUMIFS('2022'!Y:Y,'2022'!D:D,CRUCE!A306,'2022'!AS:AS,CRUCE!B306)</f>
        <v>50029228.530000001</v>
      </c>
      <c r="E306" s="136">
        <f t="shared" si="125"/>
        <v>-0.85840614489987155</v>
      </c>
      <c r="F306" s="11">
        <f>+SUMIFS('2023'!Y:Y,'2023'!D:D,CRUCE!A306,'2023'!AS:AS,CRUCE!B306)</f>
        <v>41453493.240000002</v>
      </c>
      <c r="G306" s="136">
        <f t="shared" si="126"/>
        <v>-0.17141450192176289</v>
      </c>
      <c r="H306" s="11">
        <f>+SUMIFS('2024'!J:J,'2024'!D:D,CRUCE!A306,'2024'!AT:AT,CRUCE!B306)</f>
        <v>28366201.100000001</v>
      </c>
      <c r="I306" s="7" t="str">
        <f t="shared" si="131"/>
        <v>145Impuesto al consumo de vinos, aperitivos y similares - Nacionales353329093,94</v>
      </c>
      <c r="J306" s="7" t="str">
        <f t="shared" si="132"/>
        <v>145Impuesto al consumo de vinos, aperitivos y similares - Nacionales50029228,53</v>
      </c>
      <c r="K306" s="7" t="str">
        <f t="shared" si="133"/>
        <v>145Impuesto al consumo de vinos, aperitivos y similares - Nacionales41453493,24</v>
      </c>
      <c r="L306" s="7" t="str">
        <f t="shared" si="134"/>
        <v>145Impuesto al consumo de vinos, aperitivos y similares - Nacionales28366201,1</v>
      </c>
      <c r="M306" t="s">
        <v>1906</v>
      </c>
      <c r="N306" s="136">
        <v>0.05</v>
      </c>
      <c r="O306" s="136"/>
      <c r="P306" s="20">
        <f t="shared" si="127"/>
        <v>29784511.155000001</v>
      </c>
      <c r="Q306" s="136">
        <f t="shared" si="141"/>
        <v>0.05</v>
      </c>
      <c r="R306" s="136">
        <f t="shared" si="142"/>
        <v>0.05</v>
      </c>
      <c r="S306" s="20">
        <f t="shared" si="128"/>
        <v>31273736.712750003</v>
      </c>
      <c r="U306" s="136">
        <f t="shared" si="143"/>
        <v>0.05</v>
      </c>
      <c r="V306" s="20">
        <f t="shared" si="129"/>
        <v>32837423.548387501</v>
      </c>
    </row>
    <row r="307" spans="1:22" hidden="1" x14ac:dyDescent="0.3">
      <c r="A307" s="5">
        <v>149</v>
      </c>
      <c r="B307" s="8" t="s">
        <v>1003</v>
      </c>
      <c r="C307" s="11">
        <f>+SUMIFS('2021'!Z:Z,'2021'!D:D,CRUCE!A307,'2021'!AT:AT,CRUCE!B307)</f>
        <v>1418796596</v>
      </c>
      <c r="D307" s="11">
        <f>+SUMIFS('2022'!Y:Y,'2022'!D:D,CRUCE!A307,'2022'!AS:AS,CRUCE!B307)</f>
        <v>0</v>
      </c>
      <c r="E307" s="136">
        <f t="shared" si="125"/>
        <v>-1</v>
      </c>
      <c r="F307" s="11">
        <f>+SUMIFS('2023'!Y:Y,'2023'!D:D,CRUCE!A307,'2023'!AS:AS,CRUCE!B307)</f>
        <v>0</v>
      </c>
      <c r="G307" s="136" t="e">
        <f t="shared" si="126"/>
        <v>#DIV/0!</v>
      </c>
      <c r="H307" s="11">
        <f>+SUMIFS('2024'!J:J,'2024'!D:D,CRUCE!A307,'2024'!AT:AT,CRUCE!B307)</f>
        <v>0</v>
      </c>
      <c r="I307" s="7" t="str">
        <f t="shared" si="131"/>
        <v>149Superávit Construcción y Adecuación de Cancha Sintética 1418796596</v>
      </c>
      <c r="J307" s="7" t="str">
        <f t="shared" si="132"/>
        <v>149Superávit Construcción y Adecuación de Cancha Sintética 0</v>
      </c>
      <c r="K307" s="7" t="str">
        <f t="shared" si="133"/>
        <v>149Superávit Construcción y Adecuación de Cancha Sintética 0</v>
      </c>
      <c r="L307" s="7" t="str">
        <f t="shared" si="134"/>
        <v>149Superávit Construcción y Adecuación de Cancha Sintética 0</v>
      </c>
      <c r="M307" t="s">
        <v>1906</v>
      </c>
      <c r="N307" s="136" t="e">
        <f t="shared" si="130"/>
        <v>#DIV/0!</v>
      </c>
      <c r="O307" s="136"/>
      <c r="P307" s="20" t="e">
        <f t="shared" si="127"/>
        <v>#DIV/0!</v>
      </c>
      <c r="S307" s="20" t="e">
        <f t="shared" si="128"/>
        <v>#DIV/0!</v>
      </c>
      <c r="V307" s="20" t="e">
        <f t="shared" si="129"/>
        <v>#DIV/0!</v>
      </c>
    </row>
    <row r="308" spans="1:22" hidden="1" x14ac:dyDescent="0.3">
      <c r="A308" s="5">
        <v>152</v>
      </c>
      <c r="B308" s="8" t="s">
        <v>1293</v>
      </c>
      <c r="C308" s="11">
        <f>+SUMIFS('2021'!Z:Z,'2021'!D:D,CRUCE!A308,'2021'!AT:AT,CRUCE!B308)</f>
        <v>0</v>
      </c>
      <c r="D308" s="11">
        <f>+SUMIFS('2022'!Y:Y,'2022'!D:D,CRUCE!A308,'2022'!AS:AS,CRUCE!B308)</f>
        <v>364.09</v>
      </c>
      <c r="E308" s="136" t="e">
        <f t="shared" si="125"/>
        <v>#DIV/0!</v>
      </c>
      <c r="F308" s="11">
        <f>+SUMIFS('2023'!Y:Y,'2023'!D:D,CRUCE!A308,'2023'!AS:AS,CRUCE!B308)</f>
        <v>59.04</v>
      </c>
      <c r="G308" s="136">
        <f t="shared" si="126"/>
        <v>-0.83784229174105296</v>
      </c>
      <c r="H308" s="11">
        <f>+SUMIFS('2024'!J:J,'2024'!D:D,CRUCE!A308,'2024'!AT:AT,CRUCE!B308)</f>
        <v>0</v>
      </c>
      <c r="I308" s="7" t="str">
        <f t="shared" si="131"/>
        <v>152Depósitos Excedentes Aportes Patronales0</v>
      </c>
      <c r="J308" s="7" t="str">
        <f t="shared" si="132"/>
        <v>152Depósitos Excedentes Aportes Patronales364,09</v>
      </c>
      <c r="K308" s="7" t="str">
        <f t="shared" si="133"/>
        <v>152Depósitos Excedentes Aportes Patronales59,04</v>
      </c>
      <c r="L308" s="7" t="str">
        <f t="shared" si="134"/>
        <v>152Depósitos Excedentes Aportes Patronales0</v>
      </c>
      <c r="M308" t="s">
        <v>1906</v>
      </c>
      <c r="N308" s="136" t="e">
        <f t="shared" si="130"/>
        <v>#DIV/0!</v>
      </c>
      <c r="O308" s="136"/>
      <c r="P308" s="20">
        <f>+H308*1.02</f>
        <v>0</v>
      </c>
      <c r="S308" s="20">
        <f>+P308*1.02</f>
        <v>0</v>
      </c>
      <c r="V308" s="20">
        <f>+S308*1.02</f>
        <v>0</v>
      </c>
    </row>
    <row r="309" spans="1:22" hidden="1" x14ac:dyDescent="0.3">
      <c r="A309" s="5">
        <v>152</v>
      </c>
      <c r="B309" s="8" t="s">
        <v>905</v>
      </c>
      <c r="C309" s="11">
        <f>+SUMIFS('2021'!Z:Z,'2021'!D:D,CRUCE!A309,'2021'!AT:AT,CRUCE!B309)</f>
        <v>12226.6</v>
      </c>
      <c r="D309" s="11">
        <f>+SUMIFS('2022'!Y:Y,'2022'!D:D,CRUCE!A309,'2022'!AS:AS,CRUCE!B309)</f>
        <v>12226.6</v>
      </c>
      <c r="E309" s="136">
        <f t="shared" si="125"/>
        <v>0</v>
      </c>
      <c r="F309" s="11">
        <f>+SUMIFS('2023'!Y:Y,'2023'!D:D,CRUCE!A309,'2023'!AS:AS,CRUCE!B309)</f>
        <v>0</v>
      </c>
      <c r="G309" s="136">
        <f t="shared" si="126"/>
        <v>-1</v>
      </c>
      <c r="H309" s="11">
        <f>+SUMIFS('2024'!J:J,'2024'!D:D,CRUCE!A309,'2024'!AT:AT,CRUCE!B309)</f>
        <v>0</v>
      </c>
      <c r="I309" s="7" t="str">
        <f t="shared" si="131"/>
        <v>152Superávit Excedentes Aportes Patronales ESE del Departamento12226,6</v>
      </c>
      <c r="J309" s="7" t="str">
        <f t="shared" si="132"/>
        <v>152Superávit Excedentes Aportes Patronales ESE del Departamento12226,6</v>
      </c>
      <c r="K309" s="7" t="str">
        <f t="shared" si="133"/>
        <v>152Superávit Excedentes Aportes Patronales ESE del Departamento0</v>
      </c>
      <c r="L309" s="7" t="str">
        <f t="shared" si="134"/>
        <v>152Superávit Excedentes Aportes Patronales ESE del Departamento0</v>
      </c>
      <c r="M309" t="s">
        <v>1906</v>
      </c>
      <c r="N309" s="136">
        <f t="shared" si="130"/>
        <v>-0.5</v>
      </c>
      <c r="O309" s="136"/>
      <c r="P309" s="20">
        <f t="shared" si="127"/>
        <v>0</v>
      </c>
      <c r="S309" s="20">
        <f t="shared" si="128"/>
        <v>0</v>
      </c>
      <c r="V309" s="20">
        <f t="shared" si="129"/>
        <v>0</v>
      </c>
    </row>
    <row r="310" spans="1:22" hidden="1" x14ac:dyDescent="0.3">
      <c r="A310" s="5">
        <v>154</v>
      </c>
      <c r="B310" s="8" t="s">
        <v>710</v>
      </c>
      <c r="C310" s="11">
        <f>+SUMIFS('2021'!Z:Z,'2021'!D:D,CRUCE!A310,'2021'!AT:AT,CRUCE!B310)</f>
        <v>16515214542</v>
      </c>
      <c r="D310" s="11">
        <f>+SUMIFS('2022'!Y:Y,'2022'!D:D,CRUCE!A310,'2022'!AS:AS,CRUCE!B310)</f>
        <v>4816291965</v>
      </c>
      <c r="E310" s="136">
        <f t="shared" si="125"/>
        <v>-0.70837242515066079</v>
      </c>
      <c r="F310" s="11">
        <f>+SUMIFS('2023'!Y:Y,'2023'!D:D,CRUCE!A310,'2023'!AS:AS,CRUCE!B310)</f>
        <v>6115665009</v>
      </c>
      <c r="G310" s="136">
        <f t="shared" si="126"/>
        <v>0.26978701736575472</v>
      </c>
      <c r="H310" s="11">
        <f>+SUMIFS('2024'!J:J,'2024'!D:D,CRUCE!A310,'2024'!AT:AT,CRUCE!B310)</f>
        <v>0</v>
      </c>
      <c r="I310" s="7" t="str">
        <f t="shared" si="131"/>
        <v>154Componente ad valorem del impuesto al consumo de cigarrillos y tabaco elaborado - Extranjeros16515214542</v>
      </c>
      <c r="J310" s="7" t="str">
        <f t="shared" si="132"/>
        <v>154Componente ad valorem del impuesto al consumo de cigarrillos y tabaco elaborado - Extranjeros4816291965</v>
      </c>
      <c r="K310" s="7" t="str">
        <f t="shared" si="133"/>
        <v>154Componente ad valorem del impuesto al consumo de cigarrillos y tabaco elaborado - Extranjeros6115665009</v>
      </c>
      <c r="L310" s="7" t="str">
        <f t="shared" si="134"/>
        <v>154Componente ad valorem del impuesto al consumo de cigarrillos y tabaco elaborado - Extranjeros0</v>
      </c>
      <c r="M310" t="s">
        <v>1906</v>
      </c>
      <c r="N310" s="136">
        <f t="shared" si="130"/>
        <v>-0.21929270389245303</v>
      </c>
      <c r="O310" s="136"/>
      <c r="P310" s="20">
        <f t="shared" si="127"/>
        <v>0</v>
      </c>
      <c r="S310" s="20">
        <f t="shared" si="128"/>
        <v>0</v>
      </c>
      <c r="V310" s="20">
        <f t="shared" si="129"/>
        <v>0</v>
      </c>
    </row>
    <row r="311" spans="1:22" hidden="1" x14ac:dyDescent="0.3">
      <c r="A311" s="5">
        <v>154</v>
      </c>
      <c r="B311" s="8" t="s">
        <v>110</v>
      </c>
      <c r="C311" s="11">
        <f>+SUMIFS('2021'!Z:Z,'2021'!D:D,CRUCE!A311,'2021'!AT:AT,CRUCE!B311)</f>
        <v>5218324702</v>
      </c>
      <c r="D311" s="11">
        <f>+SUMIFS('2022'!Y:Y,'2022'!D:D,CRUCE!A311,'2022'!AS:AS,CRUCE!B311)</f>
        <v>15980359997</v>
      </c>
      <c r="E311" s="136">
        <f t="shared" si="125"/>
        <v>2.0623544738171029</v>
      </c>
      <c r="F311" s="11">
        <f>+SUMIFS('2023'!Y:Y,'2023'!D:D,CRUCE!A311,'2023'!AS:AS,CRUCE!B311)</f>
        <v>15249595114</v>
      </c>
      <c r="G311" s="136">
        <f t="shared" si="126"/>
        <v>-4.5728937466814688E-2</v>
      </c>
      <c r="H311" s="11">
        <f>+SUMIFS('2024'!J:J,'2024'!D:D,CRUCE!A311,'2024'!AT:AT,CRUCE!B311)</f>
        <v>0</v>
      </c>
      <c r="I311" s="7" t="str">
        <f t="shared" ref="I311:I329" si="144">+$A311&amp;$B311&amp;C311</f>
        <v>154Componente específico del impuesto al consumo de cigarrillos y tabaco - Extranjeros5218324702</v>
      </c>
      <c r="J311" s="7" t="str">
        <f t="shared" ref="J311:J329" si="145">+$A311&amp;$B311&amp;D311</f>
        <v>154Componente específico del impuesto al consumo de cigarrillos y tabaco - Extranjeros15980359997</v>
      </c>
      <c r="K311" s="7" t="str">
        <f t="shared" ref="K311:K329" si="146">+$A311&amp;$B311&amp;F311</f>
        <v>154Componente específico del impuesto al consumo de cigarrillos y tabaco - Extranjeros15249595114</v>
      </c>
      <c r="L311" s="7" t="str">
        <f t="shared" ref="L311:L329" si="147">+$A311&amp;$B311&amp;H311</f>
        <v>154Componente específico del impuesto al consumo de cigarrillos y tabaco - Extranjeros0</v>
      </c>
      <c r="M311" t="s">
        <v>1906</v>
      </c>
      <c r="N311" s="136">
        <f t="shared" si="130"/>
        <v>1.008312768175144</v>
      </c>
      <c r="O311" s="136"/>
      <c r="P311" s="20">
        <f t="shared" si="127"/>
        <v>0</v>
      </c>
      <c r="S311" s="20">
        <f t="shared" si="128"/>
        <v>0</v>
      </c>
      <c r="V311" s="20">
        <f t="shared" si="129"/>
        <v>0</v>
      </c>
    </row>
    <row r="312" spans="1:22" hidden="1" x14ac:dyDescent="0.3">
      <c r="A312" s="5">
        <v>154</v>
      </c>
      <c r="B312" s="8" t="s">
        <v>1295</v>
      </c>
      <c r="C312" s="11">
        <f>+SUMIFS('2021'!Z:Z,'2021'!D:D,CRUCE!A312,'2021'!AT:AT,CRUCE!B312)</f>
        <v>59173265.93</v>
      </c>
      <c r="D312" s="11">
        <f>+SUMIFS('2022'!Y:Y,'2022'!D:D,CRUCE!A312,'2022'!AS:AS,CRUCE!B312)</f>
        <v>14202359.43</v>
      </c>
      <c r="E312" s="136">
        <f t="shared" si="125"/>
        <v>-0.75998689261463248</v>
      </c>
      <c r="F312" s="11">
        <f>+SUMIFS('2023'!Y:Y,'2023'!D:D,CRUCE!A312,'2023'!AS:AS,CRUCE!B312)</f>
        <v>131966442.28</v>
      </c>
      <c r="G312" s="136">
        <f t="shared" si="126"/>
        <v>8.2918675189450539</v>
      </c>
      <c r="H312" s="11">
        <f>+SUMIFS('2024'!J:J,'2024'!D:D,CRUCE!A312,'2024'!AT:AT,CRUCE!B312)</f>
        <v>0</v>
      </c>
      <c r="I312" s="7" t="str">
        <f t="shared" si="144"/>
        <v>154Depósitos Recursos ADRES59173265,93</v>
      </c>
      <c r="J312" s="7" t="str">
        <f t="shared" si="145"/>
        <v>154Depósitos Recursos ADRES14202359,43</v>
      </c>
      <c r="K312" s="7" t="str">
        <f t="shared" si="146"/>
        <v>154Depósitos Recursos ADRES131966442,28</v>
      </c>
      <c r="L312" s="7" t="str">
        <f t="shared" si="147"/>
        <v>154Depósitos Recursos ADRES0</v>
      </c>
      <c r="M312" t="s">
        <v>1906</v>
      </c>
      <c r="N312" s="136">
        <f t="shared" si="130"/>
        <v>3.7659403131652107</v>
      </c>
      <c r="O312" s="136"/>
      <c r="P312" s="20">
        <f>+H312*1.02</f>
        <v>0</v>
      </c>
      <c r="S312" s="20">
        <f>+P312*1.02</f>
        <v>0</v>
      </c>
      <c r="V312" s="20">
        <f>+S312*1.02</f>
        <v>0</v>
      </c>
    </row>
    <row r="313" spans="1:22" hidden="1" x14ac:dyDescent="0.3">
      <c r="A313" s="5">
        <v>154</v>
      </c>
      <c r="B313" s="8" t="s">
        <v>1096</v>
      </c>
      <c r="C313" s="11">
        <f>+SUMIFS('2021'!Z:Z,'2021'!D:D,CRUCE!A313,'2021'!AT:AT,CRUCE!B313)</f>
        <v>0</v>
      </c>
      <c r="D313" s="11">
        <f>+SUMIFS('2022'!Y:Y,'2022'!D:D,CRUCE!A313,'2022'!AS:AS,CRUCE!B313)</f>
        <v>58254889.289999999</v>
      </c>
      <c r="E313" s="136" t="e">
        <f t="shared" si="125"/>
        <v>#DIV/0!</v>
      </c>
      <c r="F313" s="11">
        <f>+SUMIFS('2023'!Y:Y,'2023'!D:D,CRUCE!A313,'2023'!AS:AS,CRUCE!B313)</f>
        <v>14896755</v>
      </c>
      <c r="G313" s="136">
        <f t="shared" si="126"/>
        <v>-0.74428318066416499</v>
      </c>
      <c r="H313" s="11">
        <f>+SUMIFS('2024'!J:J,'2024'!D:D,CRUCE!A313,'2024'!AT:AT,CRUCE!B313)</f>
        <v>0</v>
      </c>
      <c r="I313" s="7" t="str">
        <f t="shared" si="144"/>
        <v>154Derechos de monopolio por la introducción de licores destilados de producción extranjera0</v>
      </c>
      <c r="J313" s="7" t="str">
        <f t="shared" si="145"/>
        <v>154Derechos de monopolio por la introducción de licores destilados de producción extranjera58254889,29</v>
      </c>
      <c r="K313" s="7" t="str">
        <f t="shared" si="146"/>
        <v>154Derechos de monopolio por la introducción de licores destilados de producción extranjera14896755</v>
      </c>
      <c r="L313" s="7" t="str">
        <f t="shared" si="147"/>
        <v>154Derechos de monopolio por la introducción de licores destilados de producción extranjera0</v>
      </c>
      <c r="M313" t="s">
        <v>1906</v>
      </c>
      <c r="N313" s="136" t="e">
        <f t="shared" si="130"/>
        <v>#DIV/0!</v>
      </c>
      <c r="O313" s="136"/>
      <c r="P313" s="20" t="e">
        <f t="shared" si="127"/>
        <v>#DIV/0!</v>
      </c>
      <c r="S313" s="20" t="e">
        <f t="shared" si="128"/>
        <v>#DIV/0!</v>
      </c>
      <c r="V313" s="20" t="e">
        <f t="shared" si="129"/>
        <v>#DIV/0!</v>
      </c>
    </row>
    <row r="314" spans="1:22" hidden="1" x14ac:dyDescent="0.3">
      <c r="A314" s="5">
        <v>154</v>
      </c>
      <c r="B314" s="8" t="s">
        <v>1093</v>
      </c>
      <c r="C314" s="11">
        <f>+SUMIFS('2021'!Z:Z,'2021'!D:D,CRUCE!A314,'2021'!AT:AT,CRUCE!B314)</f>
        <v>0</v>
      </c>
      <c r="D314" s="11">
        <f>+SUMIFS('2022'!Y:Y,'2022'!D:D,CRUCE!A314,'2022'!AS:AS,CRUCE!B314)</f>
        <v>0</v>
      </c>
      <c r="E314" s="136" t="e">
        <f t="shared" si="125"/>
        <v>#DIV/0!</v>
      </c>
      <c r="F314" s="11">
        <f>+SUMIFS('2023'!Y:Y,'2023'!D:D,CRUCE!A314,'2023'!AS:AS,CRUCE!B314)</f>
        <v>0</v>
      </c>
      <c r="G314" s="136" t="e">
        <f t="shared" si="126"/>
        <v>#DIV/0!</v>
      </c>
      <c r="H314" s="11">
        <f>+SUMIFS('2024'!J:J,'2024'!D:D,CRUCE!A314,'2024'!AT:AT,CRUCE!B314)</f>
        <v>0</v>
      </c>
      <c r="I314" s="7" t="str">
        <f t="shared" si="144"/>
        <v>154Derechos de monopolio por la introducción de licores destilados de producción Nacional0</v>
      </c>
      <c r="J314" s="7" t="str">
        <f t="shared" si="145"/>
        <v>154Derechos de monopolio por la introducción de licores destilados de producción Nacional0</v>
      </c>
      <c r="K314" s="7" t="str">
        <f t="shared" si="146"/>
        <v>154Derechos de monopolio por la introducción de licores destilados de producción Nacional0</v>
      </c>
      <c r="L314" s="7" t="str">
        <f t="shared" si="147"/>
        <v>154Derechos de monopolio por la introducción de licores destilados de producción Nacional0</v>
      </c>
      <c r="M314" t="s">
        <v>1906</v>
      </c>
      <c r="N314" s="136" t="e">
        <f t="shared" si="130"/>
        <v>#DIV/0!</v>
      </c>
      <c r="O314" s="136"/>
      <c r="P314" s="20" t="e">
        <f t="shared" si="127"/>
        <v>#DIV/0!</v>
      </c>
      <c r="S314" s="20" t="e">
        <f t="shared" si="128"/>
        <v>#DIV/0!</v>
      </c>
      <c r="V314" s="20" t="e">
        <f t="shared" si="129"/>
        <v>#DIV/0!</v>
      </c>
    </row>
    <row r="315" spans="1:22" hidden="1" x14ac:dyDescent="0.3">
      <c r="A315" s="5">
        <v>154</v>
      </c>
      <c r="B315" s="8" t="s">
        <v>1091</v>
      </c>
      <c r="C315" s="11">
        <f>+SUMIFS('2021'!Z:Z,'2021'!D:D,CRUCE!A315,'2021'!AT:AT,CRUCE!B315)</f>
        <v>0</v>
      </c>
      <c r="D315" s="11">
        <f>+SUMIFS('2022'!Y:Y,'2022'!D:D,CRUCE!A315,'2022'!AS:AS,CRUCE!B315)</f>
        <v>169565932.78</v>
      </c>
      <c r="E315" s="136" t="e">
        <f t="shared" si="125"/>
        <v>#DIV/0!</v>
      </c>
      <c r="F315" s="11">
        <f>+SUMIFS('2023'!Y:Y,'2023'!D:D,CRUCE!A315,'2023'!AS:AS,CRUCE!B315)</f>
        <v>140216042.86000001</v>
      </c>
      <c r="G315" s="136">
        <f t="shared" si="126"/>
        <v>-0.17308836414729264</v>
      </c>
      <c r="H315" s="11">
        <f>+SUMIFS('2024'!J:J,'2024'!D:D,CRUCE!A315,'2024'!AT:AT,CRUCE!B315)</f>
        <v>0</v>
      </c>
      <c r="I315" s="7" t="str">
        <f t="shared" si="144"/>
        <v>154Derechos de monopolio por la introducción de licores destilados de producción nacional (Monopolio pa0</v>
      </c>
      <c r="J315" s="7" t="str">
        <f t="shared" si="145"/>
        <v>154Derechos de monopolio por la introducción de licores destilados de producción nacional (Monopolio pa169565932,78</v>
      </c>
      <c r="K315" s="7" t="str">
        <f t="shared" si="146"/>
        <v>154Derechos de monopolio por la introducción de licores destilados de producción nacional (Monopolio pa140216042,86</v>
      </c>
      <c r="L315" s="7" t="str">
        <f t="shared" si="147"/>
        <v>154Derechos de monopolio por la introducción de licores destilados de producción nacional (Monopolio pa0</v>
      </c>
      <c r="M315" t="s">
        <v>1906</v>
      </c>
      <c r="N315" s="136" t="e">
        <f t="shared" si="130"/>
        <v>#DIV/0!</v>
      </c>
      <c r="O315" s="136"/>
      <c r="P315" s="20" t="e">
        <f t="shared" si="127"/>
        <v>#DIV/0!</v>
      </c>
      <c r="S315" s="20" t="e">
        <f t="shared" si="128"/>
        <v>#DIV/0!</v>
      </c>
      <c r="V315" s="20" t="e">
        <f t="shared" si="129"/>
        <v>#DIV/0!</v>
      </c>
    </row>
    <row r="316" spans="1:22" x14ac:dyDescent="0.3">
      <c r="A316" s="5">
        <v>154</v>
      </c>
      <c r="B316" s="8" t="s">
        <v>764</v>
      </c>
      <c r="C316" s="11">
        <f>+SUMIFS('2021'!Z:Z,'2021'!D:D,CRUCE!A316,'2021'!AT:AT,CRUCE!B316)</f>
        <v>0</v>
      </c>
      <c r="D316" s="11">
        <f>+SUMIFS('2022'!Y:Y,'2022'!D:D,CRUCE!A316,'2022'!AS:AS,CRUCE!B316)</f>
        <v>450697745</v>
      </c>
      <c r="E316" s="136" t="e">
        <f t="shared" si="125"/>
        <v>#DIV/0!</v>
      </c>
      <c r="F316" s="11">
        <f>+SUMIFS('2023'!Y:Y,'2023'!D:D,CRUCE!A316,'2023'!AS:AS,CRUCE!B316)</f>
        <v>313911665</v>
      </c>
      <c r="G316" s="136">
        <f t="shared" si="126"/>
        <v>-0.30349847878648695</v>
      </c>
      <c r="H316" s="11">
        <f>+SUMIFS('2024'!J:J,'2024'!D:D,CRUCE!A316,'2024'!AT:AT,CRUCE!B316)</f>
        <v>307025095.06</v>
      </c>
      <c r="I316" s="7" t="str">
        <f t="shared" si="144"/>
        <v>154Explotacion Sorteo Extraordinario 68%0</v>
      </c>
      <c r="J316" s="7" t="str">
        <f t="shared" si="145"/>
        <v>154Explotacion Sorteo Extraordinario 68%450697745</v>
      </c>
      <c r="K316" s="7" t="str">
        <f t="shared" si="146"/>
        <v>154Explotacion Sorteo Extraordinario 68%313911665</v>
      </c>
      <c r="L316" s="7" t="str">
        <f t="shared" si="147"/>
        <v>154Explotacion Sorteo Extraordinario 68%307025095,06</v>
      </c>
      <c r="M316" t="s">
        <v>1906</v>
      </c>
      <c r="N316" s="136">
        <v>0.05</v>
      </c>
      <c r="O316" s="136"/>
      <c r="P316" s="20">
        <f t="shared" si="127"/>
        <v>322376349.81300002</v>
      </c>
      <c r="Q316" s="136">
        <f t="shared" ref="Q316:Q317" si="148">+N316</f>
        <v>0.05</v>
      </c>
      <c r="R316" s="136">
        <f t="shared" ref="R316:R317" si="149">+Q316</f>
        <v>0.05</v>
      </c>
      <c r="S316" s="20">
        <f t="shared" si="128"/>
        <v>338495167.30365002</v>
      </c>
      <c r="U316" s="136">
        <f t="shared" ref="U316:U317" si="150">+R316</f>
        <v>0.05</v>
      </c>
      <c r="V316" s="20">
        <f t="shared" si="129"/>
        <v>355419925.66883254</v>
      </c>
    </row>
    <row r="317" spans="1:22" x14ac:dyDescent="0.3">
      <c r="A317" s="5">
        <v>154</v>
      </c>
      <c r="B317" s="8" t="s">
        <v>1255</v>
      </c>
      <c r="C317" s="11">
        <f>+SUMIFS('2021'!Z:Z,'2021'!D:D,CRUCE!A317,'2021'!AT:AT,CRUCE!B317)</f>
        <v>0</v>
      </c>
      <c r="D317" s="11">
        <f>+SUMIFS('2022'!Y:Y,'2022'!D:D,CRUCE!A317,'2022'!AS:AS,CRUCE!B317)</f>
        <v>1467366452</v>
      </c>
      <c r="E317" s="136" t="e">
        <f t="shared" si="125"/>
        <v>#DIV/0!</v>
      </c>
      <c r="F317" s="11">
        <f>+SUMIFS('2023'!Y:Y,'2023'!D:D,CRUCE!A317,'2023'!AS:AS,CRUCE!B317)</f>
        <v>1620364288</v>
      </c>
      <c r="G317" s="136">
        <f t="shared" si="126"/>
        <v>0.10426695784919035</v>
      </c>
      <c r="H317" s="11">
        <f>+SUMIFS('2024'!J:J,'2024'!D:D,CRUCE!A317,'2024'!AT:AT,CRUCE!B317)</f>
        <v>1535996584.1099999</v>
      </c>
      <c r="I317" s="7" t="str">
        <f t="shared" si="144"/>
        <v>154Explotacion Sorteo Ordinario 68%0</v>
      </c>
      <c r="J317" s="7" t="str">
        <f t="shared" si="145"/>
        <v>154Explotacion Sorteo Ordinario 68%1467366452</v>
      </c>
      <c r="K317" s="7" t="str">
        <f t="shared" si="146"/>
        <v>154Explotacion Sorteo Ordinario 68%1620364288</v>
      </c>
      <c r="L317" s="7" t="str">
        <f t="shared" si="147"/>
        <v>154Explotacion Sorteo Ordinario 68%1535996584,11</v>
      </c>
      <c r="M317" t="s">
        <v>1906</v>
      </c>
      <c r="N317" s="136">
        <v>0.05</v>
      </c>
      <c r="O317" s="136"/>
      <c r="P317" s="20">
        <f t="shared" si="127"/>
        <v>1612796413.3154998</v>
      </c>
      <c r="Q317" s="136">
        <f t="shared" si="148"/>
        <v>0.05</v>
      </c>
      <c r="R317" s="136">
        <f t="shared" si="149"/>
        <v>0.05</v>
      </c>
      <c r="S317" s="20">
        <f t="shared" si="128"/>
        <v>1693436233.9812748</v>
      </c>
      <c r="U317" s="136">
        <f t="shared" si="150"/>
        <v>0.05</v>
      </c>
      <c r="V317" s="20">
        <f t="shared" si="129"/>
        <v>1778108045.6803386</v>
      </c>
    </row>
    <row r="318" spans="1:22" hidden="1" x14ac:dyDescent="0.3">
      <c r="A318" s="5">
        <v>154</v>
      </c>
      <c r="B318" s="8" t="s">
        <v>768</v>
      </c>
      <c r="C318" s="11">
        <f>+SUMIFS('2021'!Z:Z,'2021'!D:D,CRUCE!A318,'2021'!AT:AT,CRUCE!B318)</f>
        <v>1609062626</v>
      </c>
      <c r="D318" s="11">
        <f>+SUMIFS('2022'!Y:Y,'2022'!D:D,CRUCE!A318,'2022'!AS:AS,CRUCE!B318)</f>
        <v>0</v>
      </c>
      <c r="E318" s="136">
        <f t="shared" si="125"/>
        <v>-1</v>
      </c>
      <c r="F318" s="11">
        <f>+SUMIFS('2023'!Y:Y,'2023'!D:D,CRUCE!A318,'2023'!AS:AS,CRUCE!B318)</f>
        <v>0</v>
      </c>
      <c r="G318" s="136" t="e">
        <f t="shared" si="126"/>
        <v>#DIV/0!</v>
      </c>
      <c r="H318" s="11">
        <f>+SUMIFS('2024'!J:J,'2024'!D:D,CRUCE!A318,'2024'!AT:AT,CRUCE!B318)</f>
        <v>0</v>
      </c>
      <c r="I318" s="7" t="str">
        <f t="shared" si="144"/>
        <v>154Explotacion Sorteo Ordinario Loterias 25%1609062626</v>
      </c>
      <c r="J318" s="7" t="str">
        <f t="shared" si="145"/>
        <v>154Explotacion Sorteo Ordinario Loterias 25%0</v>
      </c>
      <c r="K318" s="7" t="str">
        <f t="shared" si="146"/>
        <v>154Explotacion Sorteo Ordinario Loterias 25%0</v>
      </c>
      <c r="L318" s="7" t="str">
        <f t="shared" si="147"/>
        <v>154Explotacion Sorteo Ordinario Loterias 25%0</v>
      </c>
      <c r="M318" t="s">
        <v>1906</v>
      </c>
      <c r="N318" s="136" t="e">
        <f t="shared" si="130"/>
        <v>#DIV/0!</v>
      </c>
      <c r="O318" s="136"/>
      <c r="P318" s="20" t="e">
        <f t="shared" si="127"/>
        <v>#DIV/0!</v>
      </c>
      <c r="S318" s="20" t="e">
        <f t="shared" si="128"/>
        <v>#DIV/0!</v>
      </c>
      <c r="V318" s="20" t="e">
        <f t="shared" si="129"/>
        <v>#DIV/0!</v>
      </c>
    </row>
    <row r="319" spans="1:22" hidden="1" x14ac:dyDescent="0.3">
      <c r="A319" s="5">
        <v>154</v>
      </c>
      <c r="B319" s="8" t="s">
        <v>650</v>
      </c>
      <c r="C319" s="11">
        <f>+SUMIFS('2021'!Z:Z,'2021'!D:D,CRUCE!A319,'2021'!AT:AT,CRUCE!B319)</f>
        <v>65351917.280000001</v>
      </c>
      <c r="D319" s="11">
        <f>+SUMIFS('2022'!Y:Y,'2022'!D:D,CRUCE!A319,'2022'!AS:AS,CRUCE!B319)</f>
        <v>84814710</v>
      </c>
      <c r="E319" s="136">
        <f t="shared" si="125"/>
        <v>0.29781517559173892</v>
      </c>
      <c r="F319" s="11">
        <f>+SUMIFS('2023'!Y:Y,'2023'!D:D,CRUCE!A319,'2023'!AS:AS,CRUCE!B319)</f>
        <v>73154685</v>
      </c>
      <c r="G319" s="136">
        <f t="shared" si="126"/>
        <v>-0.13747644718705046</v>
      </c>
      <c r="H319" s="11">
        <f>+SUMIFS('2024'!J:J,'2024'!D:D,CRUCE!A319,'2024'!AT:AT,CRUCE!B319)</f>
        <v>0</v>
      </c>
      <c r="I319" s="7" t="str">
        <f t="shared" si="144"/>
        <v>154Impuesto a Ganadores Sorteo Extraordinario  68%65351917,28</v>
      </c>
      <c r="J319" s="7" t="str">
        <f t="shared" si="145"/>
        <v>154Impuesto a Ganadores Sorteo Extraordinario  68%84814710</v>
      </c>
      <c r="K319" s="7" t="str">
        <f t="shared" si="146"/>
        <v>154Impuesto a Ganadores Sorteo Extraordinario  68%73154685</v>
      </c>
      <c r="L319" s="7" t="str">
        <f t="shared" si="147"/>
        <v>154Impuesto a Ganadores Sorteo Extraordinario  68%0</v>
      </c>
      <c r="M319" t="s">
        <v>1906</v>
      </c>
      <c r="N319" s="136">
        <f t="shared" si="130"/>
        <v>8.0169364202344232E-2</v>
      </c>
      <c r="O319" s="136"/>
      <c r="P319" s="20">
        <f t="shared" si="127"/>
        <v>0</v>
      </c>
      <c r="S319" s="20">
        <f t="shared" si="128"/>
        <v>0</v>
      </c>
      <c r="V319" s="20">
        <f t="shared" si="129"/>
        <v>0</v>
      </c>
    </row>
    <row r="320" spans="1:22" hidden="1" x14ac:dyDescent="0.3">
      <c r="A320" s="5">
        <v>154</v>
      </c>
      <c r="B320" s="8" t="s">
        <v>703</v>
      </c>
      <c r="C320" s="11">
        <f>+SUMIFS('2021'!Z:Z,'2021'!D:D,CRUCE!A320,'2021'!AT:AT,CRUCE!B320)</f>
        <v>25656404</v>
      </c>
      <c r="D320" s="11">
        <f>+SUMIFS('2022'!Y:Y,'2022'!D:D,CRUCE!A320,'2022'!AS:AS,CRUCE!B320)</f>
        <v>0</v>
      </c>
      <c r="E320" s="136">
        <f t="shared" si="125"/>
        <v>-1</v>
      </c>
      <c r="F320" s="11">
        <f>+SUMIFS('2023'!Y:Y,'2023'!D:D,CRUCE!A320,'2023'!AS:AS,CRUCE!B320)</f>
        <v>0</v>
      </c>
      <c r="G320" s="136" t="e">
        <f t="shared" si="126"/>
        <v>#DIV/0!</v>
      </c>
      <c r="H320" s="11">
        <f>+SUMIFS('2024'!J:J,'2024'!D:D,CRUCE!A320,'2024'!AT:AT,CRUCE!B320)</f>
        <v>0</v>
      </c>
      <c r="I320" s="7" t="str">
        <f t="shared" si="144"/>
        <v>154Impuesto al Consumo de Cerveza Producción Extranjera Régimen Subsidiado 50%25656404</v>
      </c>
      <c r="J320" s="7" t="str">
        <f t="shared" si="145"/>
        <v>154Impuesto al Consumo de Cerveza Producción Extranjera Régimen Subsidiado 50%0</v>
      </c>
      <c r="K320" s="7" t="str">
        <f t="shared" si="146"/>
        <v>154Impuesto al Consumo de Cerveza Producción Extranjera Régimen Subsidiado 50%0</v>
      </c>
      <c r="L320" s="7" t="str">
        <f t="shared" si="147"/>
        <v>154Impuesto al Consumo de Cerveza Producción Extranjera Régimen Subsidiado 50%0</v>
      </c>
      <c r="M320" t="s">
        <v>1906</v>
      </c>
      <c r="N320" s="136" t="e">
        <f t="shared" si="130"/>
        <v>#DIV/0!</v>
      </c>
      <c r="O320" s="136"/>
      <c r="P320" s="20" t="e">
        <f t="shared" si="127"/>
        <v>#DIV/0!</v>
      </c>
      <c r="S320" s="20" t="e">
        <f t="shared" si="128"/>
        <v>#DIV/0!</v>
      </c>
      <c r="V320" s="20" t="e">
        <f t="shared" si="129"/>
        <v>#DIV/0!</v>
      </c>
    </row>
    <row r="321" spans="1:22" hidden="1" x14ac:dyDescent="0.3">
      <c r="A321" s="5">
        <v>154</v>
      </c>
      <c r="B321" s="8" t="s">
        <v>104</v>
      </c>
      <c r="C321" s="11">
        <f>+SUMIFS('2021'!Z:Z,'2021'!D:D,CRUCE!A321,'2021'!AT:AT,CRUCE!B321)</f>
        <v>0</v>
      </c>
      <c r="D321" s="11">
        <f>+SUMIFS('2022'!Y:Y,'2022'!D:D,CRUCE!A321,'2022'!AS:AS,CRUCE!B321)</f>
        <v>18609243</v>
      </c>
      <c r="E321" s="136" t="e">
        <f t="shared" si="125"/>
        <v>#DIV/0!</v>
      </c>
      <c r="F321" s="11">
        <f>+SUMIFS('2023'!Y:Y,'2023'!D:D,CRUCE!A321,'2023'!AS:AS,CRUCE!B321)</f>
        <v>39254167.799999997</v>
      </c>
      <c r="G321" s="136">
        <f t="shared" si="126"/>
        <v>1.1093908978457638</v>
      </c>
      <c r="H321" s="11">
        <f>+SUMIFS('2024'!J:J,'2024'!D:D,CRUCE!A321,'2024'!AT:AT,CRUCE!B321)</f>
        <v>0</v>
      </c>
      <c r="I321" s="7" t="str">
        <f t="shared" si="144"/>
        <v>154Impuesto al consumo de cervezas, sifones, refajos y mezclas - Extranjeras0</v>
      </c>
      <c r="J321" s="7" t="str">
        <f t="shared" si="145"/>
        <v>154Impuesto al consumo de cervezas, sifones, refajos y mezclas - Extranjeras18609243</v>
      </c>
      <c r="K321" s="7" t="str">
        <f t="shared" si="146"/>
        <v>154Impuesto al consumo de cervezas, sifones, refajos y mezclas - Extranjeras39254167,8</v>
      </c>
      <c r="L321" s="7" t="str">
        <f t="shared" si="147"/>
        <v>154Impuesto al consumo de cervezas, sifones, refajos y mezclas - Extranjeras0</v>
      </c>
      <c r="M321" t="s">
        <v>1906</v>
      </c>
      <c r="N321" s="136" t="e">
        <f t="shared" si="130"/>
        <v>#DIV/0!</v>
      </c>
      <c r="O321" s="136"/>
      <c r="P321" s="20" t="e">
        <f t="shared" si="127"/>
        <v>#DIV/0!</v>
      </c>
      <c r="S321" s="20" t="e">
        <f t="shared" si="128"/>
        <v>#DIV/0!</v>
      </c>
      <c r="V321" s="20" t="e">
        <f t="shared" si="129"/>
        <v>#DIV/0!</v>
      </c>
    </row>
    <row r="322" spans="1:22" hidden="1" x14ac:dyDescent="0.3">
      <c r="A322" s="5">
        <v>154</v>
      </c>
      <c r="B322" s="8" t="s">
        <v>102</v>
      </c>
      <c r="C322" s="11">
        <f>+SUMIFS('2021'!Z:Z,'2021'!D:D,CRUCE!A322,'2021'!AT:AT,CRUCE!B322)</f>
        <v>0</v>
      </c>
      <c r="D322" s="11">
        <f>+SUMIFS('2022'!Y:Y,'2022'!D:D,CRUCE!A322,'2022'!AS:AS,CRUCE!B322)</f>
        <v>1866701500</v>
      </c>
      <c r="E322" s="136" t="e">
        <f t="shared" si="125"/>
        <v>#DIV/0!</v>
      </c>
      <c r="F322" s="11">
        <f>+SUMIFS('2023'!Y:Y,'2023'!D:D,CRUCE!A322,'2023'!AS:AS,CRUCE!B322)</f>
        <v>2098688500</v>
      </c>
      <c r="G322" s="136">
        <f t="shared" si="126"/>
        <v>0.12427643091303028</v>
      </c>
      <c r="H322" s="11">
        <f>+SUMIFS('2024'!J:J,'2024'!D:D,CRUCE!A322,'2024'!AT:AT,CRUCE!B322)</f>
        <v>0</v>
      </c>
      <c r="I322" s="7" t="str">
        <f t="shared" si="144"/>
        <v>154Impuesto al consumo de cervezas, sifones, refajos y mezclas - Nacionales0</v>
      </c>
      <c r="J322" s="7" t="str">
        <f t="shared" si="145"/>
        <v>154Impuesto al consumo de cervezas, sifones, refajos y mezclas - Nacionales1866701500</v>
      </c>
      <c r="K322" s="7" t="str">
        <f t="shared" si="146"/>
        <v>154Impuesto al consumo de cervezas, sifones, refajos y mezclas - Nacionales2098688500</v>
      </c>
      <c r="L322" s="7" t="str">
        <f t="shared" si="147"/>
        <v>154Impuesto al consumo de cervezas, sifones, refajos y mezclas - Nacionales0</v>
      </c>
      <c r="M322" t="s">
        <v>1906</v>
      </c>
      <c r="N322" s="136" t="e">
        <f t="shared" si="130"/>
        <v>#DIV/0!</v>
      </c>
      <c r="O322" s="136"/>
      <c r="P322" s="20" t="e">
        <f t="shared" si="127"/>
        <v>#DIV/0!</v>
      </c>
      <c r="S322" s="20" t="e">
        <f t="shared" si="128"/>
        <v>#DIV/0!</v>
      </c>
      <c r="V322" s="20" t="e">
        <f t="shared" si="129"/>
        <v>#DIV/0!</v>
      </c>
    </row>
    <row r="323" spans="1:22" hidden="1" x14ac:dyDescent="0.3">
      <c r="A323" s="5">
        <v>154</v>
      </c>
      <c r="B323" s="8" t="s">
        <v>692</v>
      </c>
      <c r="C323" s="11">
        <f>+SUMIFS('2021'!Z:Z,'2021'!D:D,CRUCE!A323,'2021'!AT:AT,CRUCE!B323)</f>
        <v>416429566.55000001</v>
      </c>
      <c r="D323" s="11">
        <f>+SUMIFS('2022'!Y:Y,'2022'!D:D,CRUCE!A323,'2022'!AS:AS,CRUCE!B323)</f>
        <v>0</v>
      </c>
      <c r="E323" s="136">
        <f t="shared" si="125"/>
        <v>-1</v>
      </c>
      <c r="F323" s="11">
        <f>+SUMIFS('2023'!Y:Y,'2023'!D:D,CRUCE!A323,'2023'!AS:AS,CRUCE!B323)</f>
        <v>0</v>
      </c>
      <c r="G323" s="136" t="e">
        <f t="shared" si="126"/>
        <v>#DIV/0!</v>
      </c>
      <c r="H323" s="11">
        <f>+SUMIFS('2024'!J:J,'2024'!D:D,CRUCE!A323,'2024'!AT:AT,CRUCE!B323)</f>
        <v>0</v>
      </c>
      <c r="I323" s="7" t="str">
        <f t="shared" si="144"/>
        <v>154Impuesto al Consumo de Licores, Vinos, Aperitivos y Similares Produccion Nacional  50%416429566,55</v>
      </c>
      <c r="J323" s="7" t="str">
        <f t="shared" si="145"/>
        <v>154Impuesto al Consumo de Licores, Vinos, Aperitivos y Similares Produccion Nacional  50%0</v>
      </c>
      <c r="K323" s="7" t="str">
        <f t="shared" si="146"/>
        <v>154Impuesto al Consumo de Licores, Vinos, Aperitivos y Similares Produccion Nacional  50%0</v>
      </c>
      <c r="L323" s="7" t="str">
        <f t="shared" si="147"/>
        <v>154Impuesto al Consumo de Licores, Vinos, Aperitivos y Similares Produccion Nacional  50%0</v>
      </c>
      <c r="M323" t="s">
        <v>1906</v>
      </c>
      <c r="N323" s="136" t="e">
        <f t="shared" si="130"/>
        <v>#DIV/0!</v>
      </c>
      <c r="O323" s="136"/>
      <c r="P323" s="20" t="e">
        <f t="shared" si="127"/>
        <v>#DIV/0!</v>
      </c>
      <c r="S323" s="20" t="e">
        <f t="shared" si="128"/>
        <v>#DIV/0!</v>
      </c>
      <c r="V323" s="20" t="e">
        <f t="shared" si="129"/>
        <v>#DIV/0!</v>
      </c>
    </row>
    <row r="324" spans="1:22" hidden="1" x14ac:dyDescent="0.3">
      <c r="A324" s="5">
        <v>154</v>
      </c>
      <c r="B324" s="8" t="s">
        <v>98</v>
      </c>
      <c r="C324" s="11">
        <f>+SUMIFS('2021'!Z:Z,'2021'!D:D,CRUCE!A324,'2021'!AT:AT,CRUCE!B324)</f>
        <v>0</v>
      </c>
      <c r="D324" s="11">
        <f>+SUMIFS('2022'!Y:Y,'2022'!D:D,CRUCE!A324,'2022'!AS:AS,CRUCE!B324)</f>
        <v>837987913</v>
      </c>
      <c r="E324" s="136" t="e">
        <f t="shared" ref="E324:E387" si="151">+(D324-C324)/C324</f>
        <v>#DIV/0!</v>
      </c>
      <c r="F324" s="11">
        <f>+SUMIFS('2023'!Y:Y,'2023'!D:D,CRUCE!A324,'2023'!AS:AS,CRUCE!B324)</f>
        <v>702263443.59000003</v>
      </c>
      <c r="G324" s="136">
        <f t="shared" ref="G324:G387" si="152">+(F324-D324)/D324</f>
        <v>-0.16196471011629016</v>
      </c>
      <c r="H324" s="11">
        <f>+SUMIFS('2024'!J:J,'2024'!D:D,CRUCE!A324,'2024'!AT:AT,CRUCE!B324)</f>
        <v>0</v>
      </c>
      <c r="I324" s="7" t="str">
        <f t="shared" si="144"/>
        <v>154Impuesto al consumo de vinos, aperitivos y similares - Extranjeros0</v>
      </c>
      <c r="J324" s="7" t="str">
        <f t="shared" si="145"/>
        <v>154Impuesto al consumo de vinos, aperitivos y similares - Extranjeros837987913</v>
      </c>
      <c r="K324" s="7" t="str">
        <f t="shared" si="146"/>
        <v>154Impuesto al consumo de vinos, aperitivos y similares - Extranjeros702263443,59</v>
      </c>
      <c r="L324" s="7" t="str">
        <f t="shared" si="147"/>
        <v>154Impuesto al consumo de vinos, aperitivos y similares - Extranjeros0</v>
      </c>
      <c r="M324" t="s">
        <v>1906</v>
      </c>
      <c r="N324" s="136" t="e">
        <f t="shared" si="130"/>
        <v>#DIV/0!</v>
      </c>
      <c r="O324" s="136"/>
      <c r="P324" s="20" t="e">
        <f t="shared" ref="P324:P387" si="153">+H324+(H324*N324)</f>
        <v>#DIV/0!</v>
      </c>
      <c r="S324" s="20" t="e">
        <f t="shared" ref="S324:S387" si="154">+P324+(P324*R324)</f>
        <v>#DIV/0!</v>
      </c>
      <c r="V324" s="20" t="e">
        <f t="shared" ref="V324:V387" si="155">+S324+(S324*U324)</f>
        <v>#DIV/0!</v>
      </c>
    </row>
    <row r="325" spans="1:22" hidden="1" x14ac:dyDescent="0.3">
      <c r="A325" s="5">
        <v>154</v>
      </c>
      <c r="B325" s="8" t="s">
        <v>96</v>
      </c>
      <c r="C325" s="11">
        <f>+SUMIFS('2021'!Z:Z,'2021'!D:D,CRUCE!A325,'2021'!AT:AT,CRUCE!B325)</f>
        <v>0</v>
      </c>
      <c r="D325" s="11">
        <f>+SUMIFS('2022'!Y:Y,'2022'!D:D,CRUCE!A325,'2022'!AS:AS,CRUCE!B325)</f>
        <v>308513576.94</v>
      </c>
      <c r="E325" s="136" t="e">
        <f t="shared" si="151"/>
        <v>#DIV/0!</v>
      </c>
      <c r="F325" s="11">
        <f>+SUMIFS('2023'!Y:Y,'2023'!D:D,CRUCE!A325,'2023'!AS:AS,CRUCE!B325)</f>
        <v>257345933.97999999</v>
      </c>
      <c r="G325" s="136">
        <f t="shared" si="152"/>
        <v>-0.16585215946574416</v>
      </c>
      <c r="H325" s="11">
        <f>+SUMIFS('2024'!J:J,'2024'!D:D,CRUCE!A325,'2024'!AT:AT,CRUCE!B325)</f>
        <v>0</v>
      </c>
      <c r="I325" s="7" t="str">
        <f t="shared" si="144"/>
        <v>154Impuesto al consumo de vinos, aperitivos y similares - Nacionales0</v>
      </c>
      <c r="J325" s="7" t="str">
        <f t="shared" si="145"/>
        <v>154Impuesto al consumo de vinos, aperitivos y similares - Nacionales308513576,94</v>
      </c>
      <c r="K325" s="7" t="str">
        <f t="shared" si="146"/>
        <v>154Impuesto al consumo de vinos, aperitivos y similares - Nacionales257345933,98</v>
      </c>
      <c r="L325" s="7" t="str">
        <f t="shared" si="147"/>
        <v>154Impuesto al consumo de vinos, aperitivos y similares - Nacionales0</v>
      </c>
      <c r="M325" t="s">
        <v>1906</v>
      </c>
      <c r="N325" s="136" t="e">
        <f t="shared" si="130"/>
        <v>#DIV/0!</v>
      </c>
      <c r="O325" s="136"/>
      <c r="P325" s="20" t="e">
        <f t="shared" si="153"/>
        <v>#DIV/0!</v>
      </c>
      <c r="S325" s="20" t="e">
        <f t="shared" si="154"/>
        <v>#DIV/0!</v>
      </c>
      <c r="V325" s="20" t="e">
        <f t="shared" si="155"/>
        <v>#DIV/0!</v>
      </c>
    </row>
    <row r="326" spans="1:22" hidden="1" x14ac:dyDescent="0.3">
      <c r="A326" s="5">
        <v>154</v>
      </c>
      <c r="B326" s="8" t="s">
        <v>687</v>
      </c>
      <c r="C326" s="11">
        <f>+SUMIFS('2021'!Z:Z,'2021'!D:D,CRUCE!A326,'2021'!AT:AT,CRUCE!B326)</f>
        <v>352277219</v>
      </c>
      <c r="D326" s="11">
        <f>+SUMIFS('2022'!Y:Y,'2022'!D:D,CRUCE!A326,'2022'!AS:AS,CRUCE!B326)</f>
        <v>0</v>
      </c>
      <c r="E326" s="136">
        <f t="shared" si="151"/>
        <v>-1</v>
      </c>
      <c r="F326" s="11">
        <f>+SUMIFS('2023'!Y:Y,'2023'!D:D,CRUCE!A326,'2023'!AS:AS,CRUCE!B326)</f>
        <v>0</v>
      </c>
      <c r="G326" s="136" t="e">
        <f t="shared" si="152"/>
        <v>#DIV/0!</v>
      </c>
      <c r="H326" s="11">
        <f>+SUMIFS('2024'!J:J,'2024'!D:D,CRUCE!A326,'2024'!AT:AT,CRUCE!B326)</f>
        <v>0</v>
      </c>
      <c r="I326" s="7" t="str">
        <f t="shared" si="144"/>
        <v>154Impuesto al Consumo Licores, Vinos, Aperitivos y Similares Producción Extranjera Régimen Subsidiado 352277219</v>
      </c>
      <c r="J326" s="7" t="str">
        <f t="shared" si="145"/>
        <v>154Impuesto al Consumo Licores, Vinos, Aperitivos y Similares Producción Extranjera Régimen Subsidiado 0</v>
      </c>
      <c r="K326" s="7" t="str">
        <f t="shared" si="146"/>
        <v>154Impuesto al Consumo Licores, Vinos, Aperitivos y Similares Producción Extranjera Régimen Subsidiado 0</v>
      </c>
      <c r="L326" s="7" t="str">
        <f t="shared" si="147"/>
        <v>154Impuesto al Consumo Licores, Vinos, Aperitivos y Similares Producción Extranjera Régimen Subsidiado 0</v>
      </c>
      <c r="M326" t="s">
        <v>1906</v>
      </c>
      <c r="N326" s="136" t="e">
        <f t="shared" si="130"/>
        <v>#DIV/0!</v>
      </c>
      <c r="O326" s="136"/>
      <c r="P326" s="20" t="e">
        <f t="shared" si="153"/>
        <v>#DIV/0!</v>
      </c>
      <c r="S326" s="20" t="e">
        <f t="shared" si="154"/>
        <v>#DIV/0!</v>
      </c>
      <c r="V326" s="20" t="e">
        <f t="shared" si="155"/>
        <v>#DIV/0!</v>
      </c>
    </row>
    <row r="327" spans="1:22" hidden="1" x14ac:dyDescent="0.3">
      <c r="A327" s="5">
        <v>154</v>
      </c>
      <c r="B327" s="8" t="s">
        <v>653</v>
      </c>
      <c r="C327" s="11">
        <f>+SUMIFS('2021'!Z:Z,'2021'!D:D,CRUCE!A327,'2021'!AT:AT,CRUCE!B327)</f>
        <v>437355138.72000003</v>
      </c>
      <c r="D327" s="11">
        <f>+SUMIFS('2022'!Y:Y,'2022'!D:D,CRUCE!A327,'2022'!AS:AS,CRUCE!B327)</f>
        <v>500194613</v>
      </c>
      <c r="E327" s="136">
        <f t="shared" si="151"/>
        <v>0.14368065838648017</v>
      </c>
      <c r="F327" s="11">
        <f>+SUMIFS('2023'!Y:Y,'2023'!D:D,CRUCE!A327,'2023'!AS:AS,CRUCE!B327)</f>
        <v>758950186</v>
      </c>
      <c r="G327" s="136">
        <f t="shared" si="152"/>
        <v>0.51730979557750656</v>
      </c>
      <c r="H327" s="11">
        <f>+SUMIFS('2024'!J:J,'2024'!D:D,CRUCE!A327,'2024'!AT:AT,CRUCE!B327)</f>
        <v>0</v>
      </c>
      <c r="I327" s="7" t="str">
        <f t="shared" si="144"/>
        <v>154Impuestos a Ganadores Sorteo Ordinario 68%437355138,72</v>
      </c>
      <c r="J327" s="7" t="str">
        <f t="shared" si="145"/>
        <v>154Impuestos a Ganadores Sorteo Ordinario 68%500194613</v>
      </c>
      <c r="K327" s="7" t="str">
        <f t="shared" si="146"/>
        <v>154Impuestos a Ganadores Sorteo Ordinario 68%758950186</v>
      </c>
      <c r="L327" s="7" t="str">
        <f t="shared" si="147"/>
        <v>154Impuestos a Ganadores Sorteo Ordinario 68%0</v>
      </c>
      <c r="M327" t="s">
        <v>1906</v>
      </c>
      <c r="N327" s="136">
        <f t="shared" si="130"/>
        <v>0.33049522698199335</v>
      </c>
      <c r="O327" s="136"/>
      <c r="P327" s="20">
        <f t="shared" si="153"/>
        <v>0</v>
      </c>
      <c r="S327" s="20">
        <f t="shared" si="154"/>
        <v>0</v>
      </c>
      <c r="V327" s="20">
        <f t="shared" si="155"/>
        <v>0</v>
      </c>
    </row>
    <row r="328" spans="1:22" x14ac:dyDescent="0.3">
      <c r="A328" s="5">
        <v>154</v>
      </c>
      <c r="B328" s="8" t="s">
        <v>81</v>
      </c>
      <c r="C328" s="11">
        <f>+SUMIFS('2021'!Z:Z,'2021'!D:D,CRUCE!A328,'2021'!AT:AT,CRUCE!B328)</f>
        <v>182364963</v>
      </c>
      <c r="D328" s="11">
        <f>+SUMIFS('2022'!Y:Y,'2022'!D:D,CRUCE!A328,'2022'!AS:AS,CRUCE!B328)</f>
        <v>914071964</v>
      </c>
      <c r="E328" s="136">
        <f t="shared" si="151"/>
        <v>4.0123222628022033</v>
      </c>
      <c r="F328" s="11">
        <f>+SUMIFS('2023'!Y:Y,'2023'!D:D,CRUCE!A328,'2023'!AS:AS,CRUCE!B328)</f>
        <v>0</v>
      </c>
      <c r="G328" s="136">
        <f t="shared" si="152"/>
        <v>-1</v>
      </c>
      <c r="H328" s="11">
        <f>+SUMIFS('2024'!J:J,'2024'!D:D,CRUCE!A328,'2024'!AT:AT,CRUCE!B328)</f>
        <v>1437343000</v>
      </c>
      <c r="I328" s="7" t="str">
        <f t="shared" si="144"/>
        <v>154IVA sobre licores, vinos, aperitivos y similares (régimen anterior)182364963</v>
      </c>
      <c r="J328" s="7" t="str">
        <f t="shared" si="145"/>
        <v>154IVA sobre licores, vinos, aperitivos y similares (régimen anterior)914071964</v>
      </c>
      <c r="K328" s="7" t="str">
        <f t="shared" si="146"/>
        <v>154IVA sobre licores, vinos, aperitivos y similares (régimen anterior)0</v>
      </c>
      <c r="L328" s="7" t="str">
        <f t="shared" si="147"/>
        <v>154IVA sobre licores, vinos, aperitivos y similares (régimen anterior)1437343000</v>
      </c>
      <c r="M328" t="s">
        <v>1906</v>
      </c>
      <c r="N328" s="136">
        <v>0.05</v>
      </c>
      <c r="O328" s="136"/>
      <c r="P328" s="20">
        <f t="shared" si="153"/>
        <v>1509210150</v>
      </c>
      <c r="Q328" s="136">
        <f>+N328</f>
        <v>0.05</v>
      </c>
      <c r="R328" s="136">
        <f>+Q328</f>
        <v>0.05</v>
      </c>
      <c r="S328" s="20">
        <f t="shared" si="154"/>
        <v>1584670657.5</v>
      </c>
      <c r="U328" s="136">
        <f>+R328</f>
        <v>0.05</v>
      </c>
      <c r="V328" s="20">
        <f t="shared" si="155"/>
        <v>1663904190.375</v>
      </c>
    </row>
    <row r="329" spans="1:22" hidden="1" x14ac:dyDescent="0.3">
      <c r="A329" s="5">
        <v>154</v>
      </c>
      <c r="B329" s="8" t="s">
        <v>793</v>
      </c>
      <c r="C329" s="11">
        <f>+SUMIFS('2021'!Z:Z,'2021'!D:D,CRUCE!A329,'2021'!AT:AT,CRUCE!B329)</f>
        <v>152792860</v>
      </c>
      <c r="D329" s="11">
        <f>+SUMIFS('2022'!Y:Y,'2022'!D:D,CRUCE!A329,'2022'!AS:AS,CRUCE!B329)</f>
        <v>227792839</v>
      </c>
      <c r="E329" s="136">
        <f t="shared" si="151"/>
        <v>0.49086049570640933</v>
      </c>
      <c r="F329" s="11">
        <f>+SUMIFS('2023'!Y:Y,'2023'!D:D,CRUCE!A329,'2023'!AS:AS,CRUCE!B329)</f>
        <v>711445908</v>
      </c>
      <c r="G329" s="136">
        <f t="shared" si="152"/>
        <v>2.1232145449488868</v>
      </c>
      <c r="H329" s="11">
        <f>+SUMIFS('2024'!J:J,'2024'!D:D,CRUCE!A329,'2024'!AT:AT,CRUCE!B329)</f>
        <v>0</v>
      </c>
      <c r="I329" s="7" t="str">
        <f t="shared" si="144"/>
        <v>154Juegos Novedosos - Super Astro 68%152792860</v>
      </c>
      <c r="J329" s="7" t="str">
        <f t="shared" si="145"/>
        <v>154Juegos Novedosos - Super Astro 68%227792839</v>
      </c>
      <c r="K329" s="7" t="str">
        <f t="shared" si="146"/>
        <v>154Juegos Novedosos - Super Astro 68%711445908</v>
      </c>
      <c r="L329" s="7" t="str">
        <f t="shared" si="147"/>
        <v>154Juegos Novedosos - Super Astro 68%0</v>
      </c>
      <c r="M329" t="s">
        <v>1906</v>
      </c>
      <c r="N329" s="136">
        <f t="shared" ref="N329:N390" si="156">+(E329+G329)/2</f>
        <v>1.3070375203276481</v>
      </c>
      <c r="O329" s="136"/>
      <c r="P329" s="20">
        <f t="shared" si="153"/>
        <v>0</v>
      </c>
      <c r="S329" s="20">
        <f t="shared" si="154"/>
        <v>0</v>
      </c>
      <c r="V329" s="20">
        <f t="shared" si="155"/>
        <v>0</v>
      </c>
    </row>
    <row r="330" spans="1:22" hidden="1" x14ac:dyDescent="0.3">
      <c r="A330" s="5">
        <v>154</v>
      </c>
      <c r="B330" s="8" t="s">
        <v>795</v>
      </c>
      <c r="C330" s="11">
        <f>+SUMIFS('2021'!Z:Z,'2021'!D:D,CRUCE!A330,'2021'!AT:AT,CRUCE!B330)</f>
        <v>160602985</v>
      </c>
      <c r="D330" s="11">
        <f>+SUMIFS('2022'!Y:Y,'2022'!D:D,CRUCE!A330,'2022'!AS:AS,CRUCE!B330)</f>
        <v>332054145</v>
      </c>
      <c r="E330" s="136">
        <f t="shared" si="151"/>
        <v>1.0675465340821655</v>
      </c>
      <c r="F330" s="11">
        <f>+SUMIFS('2023'!Y:Y,'2023'!D:D,CRUCE!A330,'2023'!AS:AS,CRUCE!B330)</f>
        <v>0</v>
      </c>
      <c r="G330" s="136">
        <f t="shared" si="152"/>
        <v>-1</v>
      </c>
      <c r="H330" s="11">
        <f>+SUMIFS('2024'!J:J,'2024'!D:D,CRUCE!A330,'2024'!AT:AT,CRUCE!B330)</f>
        <v>0</v>
      </c>
      <c r="I330" s="7" t="str">
        <f t="shared" ref="I330:I341" si="157">+$A330&amp;$B330&amp;C330</f>
        <v>154Juegos Novedosos -otros- 68%160602985</v>
      </c>
      <c r="J330" s="7" t="str">
        <f t="shared" ref="J330:J341" si="158">+$A330&amp;$B330&amp;D330</f>
        <v>154Juegos Novedosos -otros- 68%332054145</v>
      </c>
      <c r="K330" s="7" t="str">
        <f t="shared" ref="K330:K341" si="159">+$A330&amp;$B330&amp;F330</f>
        <v>154Juegos Novedosos -otros- 68%0</v>
      </c>
      <c r="L330" s="7" t="str">
        <f t="shared" ref="L330:L341" si="160">+$A330&amp;$B330&amp;H330</f>
        <v>154Juegos Novedosos -otros- 68%0</v>
      </c>
      <c r="M330" t="s">
        <v>1906</v>
      </c>
      <c r="N330" s="136">
        <f t="shared" si="156"/>
        <v>3.3773267041082744E-2</v>
      </c>
      <c r="O330" s="136"/>
      <c r="P330" s="20">
        <f t="shared" si="153"/>
        <v>0</v>
      </c>
      <c r="S330" s="20">
        <f t="shared" si="154"/>
        <v>0</v>
      </c>
      <c r="V330" s="20">
        <f t="shared" si="155"/>
        <v>0</v>
      </c>
    </row>
    <row r="331" spans="1:22" x14ac:dyDescent="0.3">
      <c r="A331" s="5">
        <v>154</v>
      </c>
      <c r="B331" s="8" t="s">
        <v>777</v>
      </c>
      <c r="C331" s="11">
        <f>+SUMIFS('2021'!Z:Z,'2021'!D:D,CRUCE!A331,'2021'!AT:AT,CRUCE!B331)</f>
        <v>3798310329</v>
      </c>
      <c r="D331" s="11">
        <f>+SUMIFS('2022'!Y:Y,'2022'!D:D,CRUCE!A331,'2022'!AS:AS,CRUCE!B331)</f>
        <v>4933092087</v>
      </c>
      <c r="E331" s="136">
        <f t="shared" si="151"/>
        <v>0.29875962196558059</v>
      </c>
      <c r="F331" s="11">
        <f>+SUMIFS('2023'!Y:Y,'2023'!D:D,CRUCE!A331,'2023'!AS:AS,CRUCE!B331)</f>
        <v>4946592414.4399996</v>
      </c>
      <c r="G331" s="136">
        <f t="shared" si="152"/>
        <v>2.7366866869516803E-3</v>
      </c>
      <c r="H331" s="11">
        <f>+SUMIFS('2024'!J:J,'2024'!D:D,CRUCE!A331,'2024'!AT:AT,CRUCE!B331)</f>
        <v>4457755640.5299997</v>
      </c>
      <c r="I331" s="7" t="str">
        <f t="shared" si="157"/>
        <v>154Juegos y  Apuestas Permanentes  Régimen Subsidiado 68%3798310329</v>
      </c>
      <c r="J331" s="7" t="str">
        <f t="shared" si="158"/>
        <v>154Juegos y  Apuestas Permanentes  Régimen Subsidiado 68%4933092087</v>
      </c>
      <c r="K331" s="7" t="str">
        <f t="shared" si="159"/>
        <v>154Juegos y  Apuestas Permanentes  Régimen Subsidiado 68%4946592414,44</v>
      </c>
      <c r="L331" s="7" t="str">
        <f t="shared" si="160"/>
        <v>154Juegos y  Apuestas Permanentes  Régimen Subsidiado 68%4457755640,53</v>
      </c>
      <c r="M331" t="s">
        <v>1906</v>
      </c>
      <c r="N331" s="136">
        <v>0.05</v>
      </c>
      <c r="O331" s="136"/>
      <c r="P331" s="20">
        <f t="shared" si="153"/>
        <v>4680643422.5564995</v>
      </c>
      <c r="Q331" s="136">
        <f>+N331</f>
        <v>0.05</v>
      </c>
      <c r="R331" s="136">
        <f>+Q331</f>
        <v>0.05</v>
      </c>
      <c r="S331" s="20">
        <f t="shared" si="154"/>
        <v>4914675593.6843243</v>
      </c>
      <c r="U331" s="136">
        <f>+R331</f>
        <v>0.05</v>
      </c>
      <c r="V331" s="20">
        <f t="shared" si="155"/>
        <v>5160409373.3685408</v>
      </c>
    </row>
    <row r="332" spans="1:22" hidden="1" x14ac:dyDescent="0.3">
      <c r="A332" s="5">
        <v>154</v>
      </c>
      <c r="B332" s="8" t="s">
        <v>668</v>
      </c>
      <c r="C332" s="11">
        <f>+SUMIFS('2021'!Z:Z,'2021'!D:D,CRUCE!A332,'2021'!AT:AT,CRUCE!B332)</f>
        <v>490817036.80000001</v>
      </c>
      <c r="D332" s="11">
        <f>+SUMIFS('2022'!Y:Y,'2022'!D:D,CRUCE!A332,'2022'!AS:AS,CRUCE!B332)</f>
        <v>569216914.48000002</v>
      </c>
      <c r="E332" s="136">
        <f t="shared" si="151"/>
        <v>0.15973340736325475</v>
      </c>
      <c r="F332" s="11">
        <f>+SUMIFS('2023'!Y:Y,'2023'!D:D,CRUCE!A332,'2023'!AS:AS,CRUCE!B332)</f>
        <v>644371611</v>
      </c>
      <c r="G332" s="136">
        <f t="shared" si="152"/>
        <v>0.13203173449028036</v>
      </c>
      <c r="H332" s="11">
        <f>+SUMIFS('2024'!J:J,'2024'!D:D,CRUCE!A332,'2024'!AT:AT,CRUCE!B332)</f>
        <v>0</v>
      </c>
      <c r="I332" s="7" t="str">
        <f t="shared" si="157"/>
        <v>154Loterias foraneas 68%490817036,8</v>
      </c>
      <c r="J332" s="7" t="str">
        <f t="shared" si="158"/>
        <v>154Loterias foraneas 68%569216914,48</v>
      </c>
      <c r="K332" s="7" t="str">
        <f t="shared" si="159"/>
        <v>154Loterias foraneas 68%644371611</v>
      </c>
      <c r="L332" s="7" t="str">
        <f t="shared" si="160"/>
        <v>154Loterias foraneas 68%0</v>
      </c>
      <c r="M332" t="s">
        <v>1906</v>
      </c>
      <c r="N332" s="136">
        <f t="shared" si="156"/>
        <v>0.14588257092676754</v>
      </c>
      <c r="O332" s="136"/>
      <c r="P332" s="20">
        <f t="shared" si="153"/>
        <v>0</v>
      </c>
      <c r="S332" s="20">
        <f t="shared" si="154"/>
        <v>0</v>
      </c>
      <c r="V332" s="20">
        <f t="shared" si="155"/>
        <v>0</v>
      </c>
    </row>
    <row r="333" spans="1:22" hidden="1" x14ac:dyDescent="0.3">
      <c r="A333" s="5">
        <v>154</v>
      </c>
      <c r="B333" s="8" t="s">
        <v>812</v>
      </c>
      <c r="C333" s="11">
        <f>+SUMIFS('2021'!Z:Z,'2021'!D:D,CRUCE!A333,'2021'!AT:AT,CRUCE!B333)</f>
        <v>6058285310.9499998</v>
      </c>
      <c r="D333" s="11">
        <f>+SUMIFS('2022'!Y:Y,'2022'!D:D,CRUCE!A333,'2022'!AS:AS,CRUCE!B333)</f>
        <v>0</v>
      </c>
      <c r="E333" s="136">
        <f t="shared" si="151"/>
        <v>-1</v>
      </c>
      <c r="F333" s="11">
        <f>+SUMIFS('2023'!Y:Y,'2023'!D:D,CRUCE!A333,'2023'!AS:AS,CRUCE!B333)</f>
        <v>0</v>
      </c>
      <c r="G333" s="136" t="e">
        <f t="shared" si="152"/>
        <v>#DIV/0!</v>
      </c>
      <c r="H333" s="11">
        <f>+SUMIFS('2024'!J:J,'2024'!D:D,CRUCE!A333,'2024'!AT:AT,CRUCE!B333)</f>
        <v>0</v>
      </c>
      <c r="I333" s="7" t="str">
        <f t="shared" si="157"/>
        <v>154Monopolio de Licores Produccion Nacional Regimen Subsidiado 50%6058285310,95</v>
      </c>
      <c r="J333" s="7" t="str">
        <f t="shared" si="158"/>
        <v>154Monopolio de Licores Produccion Nacional Regimen Subsidiado 50%0</v>
      </c>
      <c r="K333" s="7" t="str">
        <f t="shared" si="159"/>
        <v>154Monopolio de Licores Produccion Nacional Regimen Subsidiado 50%0</v>
      </c>
      <c r="L333" s="7" t="str">
        <f t="shared" si="160"/>
        <v>154Monopolio de Licores Produccion Nacional Regimen Subsidiado 50%0</v>
      </c>
      <c r="M333" t="s">
        <v>1906</v>
      </c>
      <c r="N333" s="136" t="e">
        <f t="shared" si="156"/>
        <v>#DIV/0!</v>
      </c>
      <c r="O333" s="136"/>
      <c r="P333" s="20" t="e">
        <f t="shared" si="153"/>
        <v>#DIV/0!</v>
      </c>
      <c r="S333" s="20" t="e">
        <f t="shared" si="154"/>
        <v>#DIV/0!</v>
      </c>
      <c r="V333" s="20" t="e">
        <f t="shared" si="155"/>
        <v>#DIV/0!</v>
      </c>
    </row>
    <row r="334" spans="1:22" hidden="1" x14ac:dyDescent="0.3">
      <c r="A334" s="5">
        <v>154</v>
      </c>
      <c r="B334" s="8" t="s">
        <v>698</v>
      </c>
      <c r="C334" s="11">
        <f>+SUMIFS('2021'!Z:Z,'2021'!D:D,CRUCE!A334,'2021'!AT:AT,CRUCE!B334)</f>
        <v>1708188500</v>
      </c>
      <c r="D334" s="11">
        <f>+SUMIFS('2022'!Y:Y,'2022'!D:D,CRUCE!A334,'2022'!AS:AS,CRUCE!B334)</f>
        <v>0</v>
      </c>
      <c r="E334" s="136">
        <f t="shared" si="151"/>
        <v>-1</v>
      </c>
      <c r="F334" s="11">
        <f>+SUMIFS('2023'!Y:Y,'2023'!D:D,CRUCE!A334,'2023'!AS:AS,CRUCE!B334)</f>
        <v>0</v>
      </c>
      <c r="G334" s="136" t="e">
        <f t="shared" si="152"/>
        <v>#DIV/0!</v>
      </c>
      <c r="H334" s="11">
        <f>+SUMIFS('2024'!J:J,'2024'!D:D,CRUCE!A334,'2024'!AT:AT,CRUCE!B334)</f>
        <v>0</v>
      </c>
      <c r="I334" s="7" t="str">
        <f t="shared" si="157"/>
        <v>154mpuesto al Consumo de Cerveza Producción Nacional Régimen Subsidiado 50%1708188500</v>
      </c>
      <c r="J334" s="7" t="str">
        <f t="shared" si="158"/>
        <v>154mpuesto al Consumo de Cerveza Producción Nacional Régimen Subsidiado 50%0</v>
      </c>
      <c r="K334" s="7" t="str">
        <f t="shared" si="159"/>
        <v>154mpuesto al Consumo de Cerveza Producción Nacional Régimen Subsidiado 50%0</v>
      </c>
      <c r="L334" s="7" t="str">
        <f t="shared" si="160"/>
        <v>154mpuesto al Consumo de Cerveza Producción Nacional Régimen Subsidiado 50%0</v>
      </c>
      <c r="M334" t="s">
        <v>1906</v>
      </c>
      <c r="N334" s="136" t="e">
        <f t="shared" si="156"/>
        <v>#DIV/0!</v>
      </c>
      <c r="O334" s="136"/>
      <c r="P334" s="20" t="e">
        <f t="shared" si="153"/>
        <v>#DIV/0!</v>
      </c>
      <c r="S334" s="20" t="e">
        <f t="shared" si="154"/>
        <v>#DIV/0!</v>
      </c>
      <c r="V334" s="20" t="e">
        <f t="shared" si="155"/>
        <v>#DIV/0!</v>
      </c>
    </row>
    <row r="335" spans="1:22" hidden="1" x14ac:dyDescent="0.3">
      <c r="A335" s="5">
        <v>154</v>
      </c>
      <c r="B335" s="8" t="s">
        <v>1108</v>
      </c>
      <c r="C335" s="11">
        <f>+SUMIFS('2021'!Z:Z,'2021'!D:D,CRUCE!A335,'2021'!AT:AT,CRUCE!B335)</f>
        <v>0</v>
      </c>
      <c r="D335" s="11">
        <f>+SUMIFS('2022'!Y:Y,'2022'!D:D,CRUCE!A335,'2022'!AS:AS,CRUCE!B335)</f>
        <v>0</v>
      </c>
      <c r="E335" s="136" t="e">
        <f t="shared" si="151"/>
        <v>#DIV/0!</v>
      </c>
      <c r="F335" s="11">
        <f>+SUMIFS('2023'!Y:Y,'2023'!D:D,CRUCE!A335,'2023'!AS:AS,CRUCE!B335)</f>
        <v>1473374524.4100001</v>
      </c>
      <c r="G335" s="136" t="e">
        <f t="shared" si="152"/>
        <v>#DIV/0!</v>
      </c>
      <c r="H335" s="11">
        <f>+SUMIFS('2024'!J:J,'2024'!D:D,CRUCE!A335,'2024'!AT:AT,CRUCE!B335)</f>
        <v>0</v>
      </c>
      <c r="I335" s="7" t="str">
        <f t="shared" si="157"/>
        <v>154Participación por el consumo de licores destilados introducidos de producción extranjera recaudado p0</v>
      </c>
      <c r="J335" s="7" t="str">
        <f t="shared" si="158"/>
        <v>154Participación por el consumo de licores destilados introducidos de producción extranjera recaudado p0</v>
      </c>
      <c r="K335" s="7" t="str">
        <f t="shared" si="159"/>
        <v>154Participación por el consumo de licores destilados introducidos de producción extranjera recaudado p1473374524,41</v>
      </c>
      <c r="L335" s="7" t="str">
        <f t="shared" si="160"/>
        <v>154Participación por el consumo de licores destilados introducidos de producción extranjera recaudado p0</v>
      </c>
      <c r="M335" t="s">
        <v>1906</v>
      </c>
      <c r="N335" s="136" t="e">
        <f t="shared" si="156"/>
        <v>#DIV/0!</v>
      </c>
      <c r="O335" s="136"/>
      <c r="P335" s="20" t="e">
        <f t="shared" si="153"/>
        <v>#DIV/0!</v>
      </c>
      <c r="S335" s="20" t="e">
        <f t="shared" si="154"/>
        <v>#DIV/0!</v>
      </c>
      <c r="V335" s="20" t="e">
        <f t="shared" si="155"/>
        <v>#DIV/0!</v>
      </c>
    </row>
    <row r="336" spans="1:22" hidden="1" x14ac:dyDescent="0.3">
      <c r="A336" s="5">
        <v>154</v>
      </c>
      <c r="B336" s="8" t="s">
        <v>363</v>
      </c>
      <c r="C336" s="11">
        <f>+SUMIFS('2021'!Z:Z,'2021'!D:D,CRUCE!A336,'2021'!AT:AT,CRUCE!B336)</f>
        <v>0</v>
      </c>
      <c r="D336" s="11">
        <f>+SUMIFS('2022'!Y:Y,'2022'!D:D,CRUCE!A336,'2022'!AS:AS,CRUCE!B336)</f>
        <v>4445565022.6199999</v>
      </c>
      <c r="E336" s="136" t="e">
        <f t="shared" si="151"/>
        <v>#DIV/0!</v>
      </c>
      <c r="F336" s="11">
        <f>+SUMIFS('2023'!Y:Y,'2023'!D:D,CRUCE!A336,'2023'!AS:AS,CRUCE!B336)</f>
        <v>4723711783.2799997</v>
      </c>
      <c r="G336" s="136">
        <f t="shared" si="152"/>
        <v>6.2567246063150297E-2</v>
      </c>
      <c r="H336" s="11">
        <f>+SUMIFS('2024'!J:J,'2024'!D:D,CRUCE!A336,'2024'!AT:AT,CRUCE!B336)</f>
        <v>0</v>
      </c>
      <c r="I336" s="7" t="str">
        <f t="shared" si="157"/>
        <v>154Participación por el consumo de licores destilados introducidos de producción nacional0</v>
      </c>
      <c r="J336" s="7" t="str">
        <f t="shared" si="158"/>
        <v>154Participación por el consumo de licores destilados introducidos de producción nacional4445565022,62</v>
      </c>
      <c r="K336" s="7" t="str">
        <f t="shared" si="159"/>
        <v>154Participación por el consumo de licores destilados introducidos de producción nacional4723711783,28</v>
      </c>
      <c r="L336" s="7" t="str">
        <f t="shared" si="160"/>
        <v>154Participación por el consumo de licores destilados introducidos de producción nacional0</v>
      </c>
      <c r="M336" t="s">
        <v>1906</v>
      </c>
      <c r="N336" s="136" t="e">
        <f t="shared" si="156"/>
        <v>#DIV/0!</v>
      </c>
      <c r="O336" s="136"/>
      <c r="P336" s="20" t="e">
        <f t="shared" si="153"/>
        <v>#DIV/0!</v>
      </c>
      <c r="S336" s="20" t="e">
        <f t="shared" si="154"/>
        <v>#DIV/0!</v>
      </c>
      <c r="V336" s="20" t="e">
        <f t="shared" si="155"/>
        <v>#DIV/0!</v>
      </c>
    </row>
    <row r="337" spans="1:22" hidden="1" x14ac:dyDescent="0.3">
      <c r="A337" s="5">
        <v>154</v>
      </c>
      <c r="B337" s="8" t="s">
        <v>1104</v>
      </c>
      <c r="C337" s="11">
        <f>+SUMIFS('2021'!Z:Z,'2021'!D:D,CRUCE!A337,'2021'!AT:AT,CRUCE!B337)</f>
        <v>0</v>
      </c>
      <c r="D337" s="11">
        <f>+SUMIFS('2022'!Y:Y,'2022'!D:D,CRUCE!A337,'2022'!AS:AS,CRUCE!B337)</f>
        <v>1402526572.0699999</v>
      </c>
      <c r="E337" s="136" t="e">
        <f t="shared" si="151"/>
        <v>#DIV/0!</v>
      </c>
      <c r="F337" s="11">
        <f>+SUMIFS('2023'!Y:Y,'2023'!D:D,CRUCE!A337,'2023'!AS:AS,CRUCE!B337)</f>
        <v>0</v>
      </c>
      <c r="G337" s="136">
        <f t="shared" si="152"/>
        <v>-1</v>
      </c>
      <c r="H337" s="11">
        <f>+SUMIFS('2024'!J:J,'2024'!D:D,CRUCE!A337,'2024'!AT:AT,CRUCE!B337)</f>
        <v>0</v>
      </c>
      <c r="I337" s="7" t="str">
        <f t="shared" si="157"/>
        <v>154Participación por el consumo de licores destilados introducidos de producción nacional recaudado p0</v>
      </c>
      <c r="J337" s="7" t="str">
        <f t="shared" si="158"/>
        <v>154Participación por el consumo de licores destilados introducidos de producción nacional recaudado p1402526572,07</v>
      </c>
      <c r="K337" s="7" t="str">
        <f t="shared" si="159"/>
        <v>154Participación por el consumo de licores destilados introducidos de producción nacional recaudado p0</v>
      </c>
      <c r="L337" s="7" t="str">
        <f t="shared" si="160"/>
        <v>154Participación por el consumo de licores destilados introducidos de producción nacional recaudado p0</v>
      </c>
      <c r="M337" t="s">
        <v>1906</v>
      </c>
      <c r="N337" s="136" t="e">
        <f t="shared" si="156"/>
        <v>#DIV/0!</v>
      </c>
      <c r="O337" s="136"/>
      <c r="P337" s="20" t="e">
        <f t="shared" si="153"/>
        <v>#DIV/0!</v>
      </c>
      <c r="S337" s="20" t="e">
        <f t="shared" si="154"/>
        <v>#DIV/0!</v>
      </c>
      <c r="V337" s="20" t="e">
        <f t="shared" si="155"/>
        <v>#DIV/0!</v>
      </c>
    </row>
    <row r="338" spans="1:22" hidden="1" x14ac:dyDescent="0.3">
      <c r="A338" s="5">
        <v>154</v>
      </c>
      <c r="B338" s="8" t="s">
        <v>1114</v>
      </c>
      <c r="C338" s="11">
        <f>+SUMIFS('2021'!Z:Z,'2021'!D:D,CRUCE!A338,'2021'!AT:AT,CRUCE!B338)</f>
        <v>0</v>
      </c>
      <c r="D338" s="11">
        <f>+SUMIFS('2022'!Y:Y,'2022'!D:D,CRUCE!A338,'2022'!AS:AS,CRUCE!B338)</f>
        <v>3608425</v>
      </c>
      <c r="E338" s="136" t="e">
        <f t="shared" si="151"/>
        <v>#DIV/0!</v>
      </c>
      <c r="F338" s="11">
        <f>+SUMIFS('2023'!Y:Y,'2023'!D:D,CRUCE!A338,'2023'!AS:AS,CRUCE!B338)</f>
        <v>2526236</v>
      </c>
      <c r="G338" s="136">
        <f t="shared" si="152"/>
        <v>-0.29990619175956268</v>
      </c>
      <c r="H338" s="11">
        <f>+SUMIFS('2024'!J:J,'2024'!D:D,CRUCE!A338,'2024'!AT:AT,CRUCE!B338)</f>
        <v>0</v>
      </c>
      <c r="I338" s="7" t="str">
        <f t="shared" si="157"/>
        <v>154Participación por la utilización de alcohol potable producido0</v>
      </c>
      <c r="J338" s="7" t="str">
        <f t="shared" si="158"/>
        <v>154Participación por la utilización de alcohol potable producido3608425</v>
      </c>
      <c r="K338" s="7" t="str">
        <f t="shared" si="159"/>
        <v>154Participación por la utilización de alcohol potable producido2526236</v>
      </c>
      <c r="L338" s="7" t="str">
        <f t="shared" si="160"/>
        <v>154Participación por la utilización de alcohol potable producido0</v>
      </c>
      <c r="M338" t="s">
        <v>1906</v>
      </c>
      <c r="N338" s="136" t="e">
        <f t="shared" si="156"/>
        <v>#DIV/0!</v>
      </c>
      <c r="O338" s="136"/>
      <c r="P338" s="20" t="e">
        <f t="shared" si="153"/>
        <v>#DIV/0!</v>
      </c>
      <c r="S338" s="20" t="e">
        <f t="shared" si="154"/>
        <v>#DIV/0!</v>
      </c>
      <c r="V338" s="20" t="e">
        <f t="shared" si="155"/>
        <v>#DIV/0!</v>
      </c>
    </row>
    <row r="339" spans="1:22" x14ac:dyDescent="0.3">
      <c r="A339" s="5">
        <v>154</v>
      </c>
      <c r="B339" s="8" t="s">
        <v>866</v>
      </c>
      <c r="C339" s="11">
        <f>+SUMIFS('2021'!Z:Z,'2021'!D:D,CRUCE!A339,'2021'!AT:AT,CRUCE!B339)</f>
        <v>1185609352</v>
      </c>
      <c r="D339" s="11">
        <f>+SUMIFS('2022'!Y:Y,'2022'!D:D,CRUCE!A339,'2022'!AS:AS,CRUCE!B339)</f>
        <v>469051182</v>
      </c>
      <c r="E339" s="136">
        <f t="shared" si="151"/>
        <v>-0.60437965404982741</v>
      </c>
      <c r="F339" s="11">
        <f>+SUMIFS('2023'!Y:Y,'2023'!D:D,CRUCE!A339,'2023'!AS:AS,CRUCE!B339)</f>
        <v>491938068</v>
      </c>
      <c r="G339" s="136">
        <f t="shared" si="152"/>
        <v>4.8794005597453116E-2</v>
      </c>
      <c r="H339" s="11">
        <f>+SUMIFS('2024'!J:J,'2024'!D:D,CRUCE!A339,'2024'!AT:AT,CRUCE!B339)</f>
        <v>421159920.24000001</v>
      </c>
      <c r="I339" s="7" t="str">
        <f t="shared" si="157"/>
        <v>154Premios de juegos de suerte y azar no reclamados - Juego de apuestas permanentes o chance1185609352</v>
      </c>
      <c r="J339" s="7" t="str">
        <f t="shared" si="158"/>
        <v>154Premios de juegos de suerte y azar no reclamados - Juego de apuestas permanentes o chance469051182</v>
      </c>
      <c r="K339" s="7" t="str">
        <f t="shared" si="159"/>
        <v>154Premios de juegos de suerte y azar no reclamados - Juego de apuestas permanentes o chance491938068</v>
      </c>
      <c r="L339" s="7" t="str">
        <f t="shared" si="160"/>
        <v>154Premios de juegos de suerte y azar no reclamados - Juego de apuestas permanentes o chance421159920,24</v>
      </c>
      <c r="M339" t="s">
        <v>1906</v>
      </c>
      <c r="N339" s="136">
        <v>0.05</v>
      </c>
      <c r="O339" s="136"/>
      <c r="P339" s="20">
        <f t="shared" si="153"/>
        <v>442217916.25200003</v>
      </c>
      <c r="Q339" s="136">
        <f t="shared" ref="Q339:Q341" si="161">+N339</f>
        <v>0.05</v>
      </c>
      <c r="R339" s="136">
        <f t="shared" ref="R339:R341" si="162">+Q339</f>
        <v>0.05</v>
      </c>
      <c r="S339" s="20">
        <f t="shared" si="154"/>
        <v>464328812.06460005</v>
      </c>
      <c r="U339" s="136">
        <f t="shared" ref="U339:U341" si="163">+R339</f>
        <v>0.05</v>
      </c>
      <c r="V339" s="20">
        <f t="shared" si="155"/>
        <v>487545252.66783005</v>
      </c>
    </row>
    <row r="340" spans="1:22" x14ac:dyDescent="0.3">
      <c r="A340" s="5">
        <v>154</v>
      </c>
      <c r="B340" s="8" t="s">
        <v>864</v>
      </c>
      <c r="C340" s="11">
        <f>+SUMIFS('2021'!Z:Z,'2021'!D:D,CRUCE!A340,'2021'!AT:AT,CRUCE!B340)</f>
        <v>0</v>
      </c>
      <c r="D340" s="11">
        <f>+SUMIFS('2022'!Y:Y,'2022'!D:D,CRUCE!A340,'2022'!AS:AS,CRUCE!B340)</f>
        <v>821820626</v>
      </c>
      <c r="E340" s="136" t="e">
        <f t="shared" si="151"/>
        <v>#DIV/0!</v>
      </c>
      <c r="F340" s="11">
        <f>+SUMIFS('2023'!Y:Y,'2023'!D:D,CRUCE!A340,'2023'!AS:AS,CRUCE!B340)</f>
        <v>1265108696.76</v>
      </c>
      <c r="G340" s="136">
        <f t="shared" si="152"/>
        <v>0.53939759691550992</v>
      </c>
      <c r="H340" s="11">
        <f>+SUMIFS('2024'!J:J,'2024'!D:D,CRUCE!A340,'2024'!AT:AT,CRUCE!B340)</f>
        <v>1083091500</v>
      </c>
      <c r="I340" s="7" t="str">
        <f t="shared" si="157"/>
        <v>154Premios de juegos de suerte y azar no reclamados - Juego de Loterias0</v>
      </c>
      <c r="J340" s="7" t="str">
        <f t="shared" si="158"/>
        <v>154Premios de juegos de suerte y azar no reclamados - Juego de Loterias821820626</v>
      </c>
      <c r="K340" s="7" t="str">
        <f t="shared" si="159"/>
        <v>154Premios de juegos de suerte y azar no reclamados - Juego de Loterias1265108696,76</v>
      </c>
      <c r="L340" s="7" t="str">
        <f t="shared" si="160"/>
        <v>154Premios de juegos de suerte y azar no reclamados - Juego de Loterias1083091500</v>
      </c>
      <c r="M340" t="s">
        <v>1906</v>
      </c>
      <c r="N340" s="136">
        <v>0.05</v>
      </c>
      <c r="O340" s="136"/>
      <c r="P340" s="20">
        <f t="shared" si="153"/>
        <v>1137246075</v>
      </c>
      <c r="Q340" s="136">
        <f t="shared" si="161"/>
        <v>0.05</v>
      </c>
      <c r="R340" s="136">
        <f t="shared" si="162"/>
        <v>0.05</v>
      </c>
      <c r="S340" s="20">
        <f t="shared" si="154"/>
        <v>1194108378.75</v>
      </c>
      <c r="U340" s="136">
        <f t="shared" si="163"/>
        <v>0.05</v>
      </c>
      <c r="V340" s="20">
        <f t="shared" si="155"/>
        <v>1253813797.6875</v>
      </c>
    </row>
    <row r="341" spans="1:22" x14ac:dyDescent="0.3">
      <c r="A341" s="5">
        <v>154</v>
      </c>
      <c r="B341" s="8" t="s">
        <v>868</v>
      </c>
      <c r="C341" s="11">
        <f>+SUMIFS('2021'!Z:Z,'2021'!D:D,CRUCE!A341,'2021'!AT:AT,CRUCE!B341)</f>
        <v>549047872</v>
      </c>
      <c r="D341" s="11">
        <f>+SUMIFS('2022'!Y:Y,'2022'!D:D,CRUCE!A341,'2022'!AS:AS,CRUCE!B341)</f>
        <v>300811087</v>
      </c>
      <c r="E341" s="136">
        <f t="shared" si="151"/>
        <v>-0.45212229690601552</v>
      </c>
      <c r="F341" s="11">
        <f>+SUMIFS('2023'!Y:Y,'2023'!D:D,CRUCE!A341,'2023'!AS:AS,CRUCE!B341)</f>
        <v>467968185</v>
      </c>
      <c r="G341" s="136">
        <f t="shared" si="152"/>
        <v>0.5556879557434663</v>
      </c>
      <c r="H341" s="11">
        <f>+SUMIFS('2024'!J:J,'2024'!D:D,CRUCE!A341,'2024'!AT:AT,CRUCE!B341)</f>
        <v>661931579.75999999</v>
      </c>
      <c r="I341" s="7" t="str">
        <f t="shared" si="157"/>
        <v>154Premios de juegos de suerte y azar no reclamados - Juegos novedosos - superastro549047872</v>
      </c>
      <c r="J341" s="7" t="str">
        <f t="shared" si="158"/>
        <v>154Premios de juegos de suerte y azar no reclamados - Juegos novedosos - superastro300811087</v>
      </c>
      <c r="K341" s="7" t="str">
        <f t="shared" si="159"/>
        <v>154Premios de juegos de suerte y azar no reclamados - Juegos novedosos - superastro467968185</v>
      </c>
      <c r="L341" s="7" t="str">
        <f t="shared" si="160"/>
        <v>154Premios de juegos de suerte y azar no reclamados - Juegos novedosos - superastro661931579,76</v>
      </c>
      <c r="M341" t="s">
        <v>1906</v>
      </c>
      <c r="N341" s="136">
        <v>0.05</v>
      </c>
      <c r="O341" s="136"/>
      <c r="P341" s="20">
        <f t="shared" si="153"/>
        <v>695028158.74800003</v>
      </c>
      <c r="Q341" s="136">
        <f t="shared" si="161"/>
        <v>0.05</v>
      </c>
      <c r="R341" s="136">
        <f t="shared" si="162"/>
        <v>0.05</v>
      </c>
      <c r="S341" s="20">
        <f t="shared" si="154"/>
        <v>729779566.68540001</v>
      </c>
      <c r="U341" s="136">
        <f t="shared" si="163"/>
        <v>0.05</v>
      </c>
      <c r="V341" s="20">
        <f t="shared" si="155"/>
        <v>766268545.01967001</v>
      </c>
    </row>
    <row r="342" spans="1:22" hidden="1" x14ac:dyDescent="0.3">
      <c r="A342" s="5">
        <v>154</v>
      </c>
      <c r="B342" s="8" t="s">
        <v>1886</v>
      </c>
      <c r="C342" s="11">
        <f>+SUMIFS('2021'!Z:Z,'2021'!D:D,CRUCE!A342,'2021'!AT:AT,CRUCE!B342)</f>
        <v>0</v>
      </c>
      <c r="D342" s="11">
        <f>+SUMIFS('2022'!Y:Y,'2022'!D:D,CRUCE!A342,'2022'!AS:AS,CRUCE!B342)</f>
        <v>0</v>
      </c>
      <c r="E342" s="136" t="e">
        <f t="shared" si="151"/>
        <v>#DIV/0!</v>
      </c>
      <c r="F342" s="11">
        <f>+SUMIFS('2023'!Y:Y,'2023'!D:D,CRUCE!A342,'2023'!AS:AS,CRUCE!B342)</f>
        <v>0</v>
      </c>
      <c r="G342" s="136" t="e">
        <f t="shared" si="152"/>
        <v>#DIV/0!</v>
      </c>
      <c r="H342" s="11">
        <f>+SUMIFS('2024'!J:J,'2024'!D:D,CRUCE!A342,'2024'!AT:AT,CRUCE!B342)</f>
        <v>0</v>
      </c>
      <c r="I342" s="7" t="str">
        <f t="shared" ref="I342" si="164">+$A342&amp;$B342&amp;C342</f>
        <v>154Premios de juegos novedosos0</v>
      </c>
      <c r="J342" s="7" t="str">
        <f t="shared" ref="J342" si="165">+$A342&amp;$B342&amp;D342</f>
        <v>154Premios de juegos novedosos0</v>
      </c>
      <c r="K342" s="7" t="str">
        <f t="shared" ref="K342" si="166">+$A342&amp;$B342&amp;F342</f>
        <v>154Premios de juegos novedosos0</v>
      </c>
      <c r="L342" s="7" t="str">
        <f t="shared" ref="L342" si="167">+$A342&amp;$B342&amp;H342</f>
        <v>154Premios de juegos novedosos0</v>
      </c>
      <c r="M342" t="s">
        <v>1906</v>
      </c>
      <c r="N342" s="136" t="e">
        <f t="shared" si="156"/>
        <v>#DIV/0!</v>
      </c>
      <c r="O342" s="136"/>
      <c r="P342" s="20" t="e">
        <f t="shared" si="153"/>
        <v>#DIV/0!</v>
      </c>
      <c r="S342" s="20" t="e">
        <f t="shared" si="154"/>
        <v>#DIV/0!</v>
      </c>
      <c r="V342" s="20" t="e">
        <f t="shared" si="155"/>
        <v>#DIV/0!</v>
      </c>
    </row>
    <row r="343" spans="1:22" hidden="1" x14ac:dyDescent="0.3">
      <c r="A343" s="5">
        <v>154</v>
      </c>
      <c r="B343" s="8" t="s">
        <v>1429</v>
      </c>
      <c r="C343" s="11">
        <f>+SUMIFS('2021'!Z:Z,'2021'!D:D,CRUCE!A343,'2021'!AT:AT,CRUCE!B343)</f>
        <v>0</v>
      </c>
      <c r="D343" s="11">
        <f>+SUMIFS('2022'!Y:Y,'2022'!D:D,CRUCE!A343,'2022'!AS:AS,CRUCE!B343)</f>
        <v>0</v>
      </c>
      <c r="E343" s="136" t="e">
        <f t="shared" si="151"/>
        <v>#DIV/0!</v>
      </c>
      <c r="F343" s="11">
        <f>+SUMIFS('2023'!Y:Y,'2023'!D:D,CRUCE!A343,'2023'!AS:AS,CRUCE!B343)</f>
        <v>0</v>
      </c>
      <c r="G343" s="136" t="e">
        <f t="shared" si="152"/>
        <v>#DIV/0!</v>
      </c>
      <c r="H343" s="11">
        <f>+SUMIFS('2024'!J:J,'2024'!D:D,CRUCE!A343,'2024'!AT:AT,CRUCE!B343)</f>
        <v>0</v>
      </c>
      <c r="I343" s="7" t="str">
        <f t="shared" ref="I343:I344" si="168">+$A343&amp;$B343&amp;C343</f>
        <v>154Premios de loterías0</v>
      </c>
      <c r="J343" s="7" t="str">
        <f t="shared" ref="J343:J344" si="169">+$A343&amp;$B343&amp;D343</f>
        <v>154Premios de loterías0</v>
      </c>
      <c r="K343" s="7" t="str">
        <f t="shared" ref="K343:K344" si="170">+$A343&amp;$B343&amp;F343</f>
        <v>154Premios de loterías0</v>
      </c>
      <c r="L343" s="7" t="str">
        <f t="shared" ref="L343:L344" si="171">+$A343&amp;$B343&amp;H343</f>
        <v>154Premios de loterías0</v>
      </c>
      <c r="M343" t="s">
        <v>1906</v>
      </c>
      <c r="N343" s="136" t="e">
        <f t="shared" si="156"/>
        <v>#DIV/0!</v>
      </c>
      <c r="O343" s="136"/>
      <c r="P343" s="20" t="e">
        <f t="shared" si="153"/>
        <v>#DIV/0!</v>
      </c>
      <c r="S343" s="20" t="e">
        <f t="shared" si="154"/>
        <v>#DIV/0!</v>
      </c>
      <c r="V343" s="20" t="e">
        <f t="shared" si="155"/>
        <v>#DIV/0!</v>
      </c>
    </row>
    <row r="344" spans="1:22" hidden="1" x14ac:dyDescent="0.3">
      <c r="A344" s="5">
        <v>154</v>
      </c>
      <c r="B344" s="8" t="s">
        <v>1427</v>
      </c>
      <c r="C344" s="11">
        <f>+SUMIFS('2021'!Z:Z,'2021'!D:D,CRUCE!A344,'2021'!AT:AT,CRUCE!B344)</f>
        <v>0</v>
      </c>
      <c r="D344" s="11">
        <f>+SUMIFS('2022'!Y:Y,'2022'!D:D,CRUCE!A344,'2022'!AS:AS,CRUCE!B344)</f>
        <v>0</v>
      </c>
      <c r="E344" s="136" t="e">
        <f t="shared" si="151"/>
        <v>#DIV/0!</v>
      </c>
      <c r="F344" s="11">
        <f>+SUMIFS('2023'!Y:Y,'2023'!D:D,CRUCE!A344,'2023'!AS:AS,CRUCE!B344)</f>
        <v>0</v>
      </c>
      <c r="G344" s="136" t="e">
        <f t="shared" si="152"/>
        <v>#DIV/0!</v>
      </c>
      <c r="H344" s="11">
        <f>+SUMIFS('2024'!J:J,'2024'!D:D,CRUCE!A344,'2024'!AT:AT,CRUCE!B344)</f>
        <v>0</v>
      </c>
      <c r="I344" s="7" t="str">
        <f t="shared" si="168"/>
        <v>154Rendimientos recursos de terceros0</v>
      </c>
      <c r="J344" s="7" t="str">
        <f t="shared" si="169"/>
        <v>154Rendimientos recursos de terceros0</v>
      </c>
      <c r="K344" s="7" t="str">
        <f t="shared" si="170"/>
        <v>154Rendimientos recursos de terceros0</v>
      </c>
      <c r="L344" s="7" t="str">
        <f t="shared" si="171"/>
        <v>154Rendimientos recursos de terceros0</v>
      </c>
      <c r="M344" t="s">
        <v>1906</v>
      </c>
      <c r="N344" s="136" t="e">
        <f t="shared" si="156"/>
        <v>#DIV/0!</v>
      </c>
      <c r="O344" s="136"/>
      <c r="P344" s="20" t="e">
        <f t="shared" si="153"/>
        <v>#DIV/0!</v>
      </c>
      <c r="S344" s="20" t="e">
        <f t="shared" si="154"/>
        <v>#DIV/0!</v>
      </c>
      <c r="V344" s="20" t="e">
        <f t="shared" si="155"/>
        <v>#DIV/0!</v>
      </c>
    </row>
    <row r="345" spans="1:22" x14ac:dyDescent="0.3">
      <c r="A345" s="5">
        <v>154</v>
      </c>
      <c r="B345" s="8" t="s">
        <v>785</v>
      </c>
      <c r="C345" s="11">
        <f>+SUMIFS('2021'!Z:Z,'2021'!D:D,CRUCE!A345,'2021'!AT:AT,CRUCE!B345)</f>
        <v>17670742</v>
      </c>
      <c r="D345" s="11">
        <f>+SUMIFS('2022'!Y:Y,'2022'!D:D,CRUCE!A345,'2022'!AS:AS,CRUCE!B345)</f>
        <v>18523921</v>
      </c>
      <c r="E345" s="136">
        <f t="shared" si="151"/>
        <v>4.8282013285010895E-2</v>
      </c>
      <c r="F345" s="11">
        <f>+SUMIFS('2023'!Y:Y,'2023'!D:D,CRUCE!A345,'2023'!AS:AS,CRUCE!B345)</f>
        <v>22507196</v>
      </c>
      <c r="G345" s="136">
        <f t="shared" si="152"/>
        <v>0.21503411723684202</v>
      </c>
      <c r="H345" s="11">
        <f>+SUMIFS('2024'!J:J,'2024'!D:D,CRUCE!A345,'2024'!AT:AT,CRUCE!B345)</f>
        <v>21868800.309999999</v>
      </c>
      <c r="I345" s="7" t="str">
        <f t="shared" ref="I345:I352" si="172">+$A345&amp;$B345&amp;C345</f>
        <v>154Rifas Departamentales 68%17670742</v>
      </c>
      <c r="J345" s="7" t="str">
        <f t="shared" ref="J345:J352" si="173">+$A345&amp;$B345&amp;D345</f>
        <v>154Rifas Departamentales 68%18523921</v>
      </c>
      <c r="K345" s="7" t="str">
        <f t="shared" ref="K345:K352" si="174">+$A345&amp;$B345&amp;F345</f>
        <v>154Rifas Departamentales 68%22507196</v>
      </c>
      <c r="L345" s="7" t="str">
        <f t="shared" ref="L345:L352" si="175">+$A345&amp;$B345&amp;H345</f>
        <v>154Rifas Departamentales 68%21868800,31</v>
      </c>
      <c r="M345" t="s">
        <v>1906</v>
      </c>
      <c r="N345" s="136">
        <v>0.05</v>
      </c>
      <c r="O345" s="136"/>
      <c r="P345" s="20">
        <f t="shared" si="153"/>
        <v>22962240.3255</v>
      </c>
      <c r="Q345" s="136">
        <f t="shared" ref="Q345:Q346" si="176">+N345</f>
        <v>0.05</v>
      </c>
      <c r="R345" s="136">
        <f t="shared" ref="R345:R346" si="177">+Q345</f>
        <v>0.05</v>
      </c>
      <c r="S345" s="20">
        <f t="shared" si="154"/>
        <v>24110352.341775</v>
      </c>
      <c r="U345" s="136">
        <f t="shared" ref="U345:U346" si="178">+R345</f>
        <v>0.05</v>
      </c>
      <c r="V345" s="20">
        <f t="shared" si="155"/>
        <v>25315869.95886375</v>
      </c>
    </row>
    <row r="346" spans="1:22" x14ac:dyDescent="0.3">
      <c r="A346" s="5">
        <v>155</v>
      </c>
      <c r="B346" s="8" t="s">
        <v>81</v>
      </c>
      <c r="C346" s="11">
        <f>+SUMIFS('2021'!Z:Z,'2021'!D:D,CRUCE!A346,'2021'!AT:AT,CRUCE!B346)</f>
        <v>60788321</v>
      </c>
      <c r="D346" s="11">
        <f>+SUMIFS('2022'!Y:Y,'2022'!D:D,CRUCE!A346,'2022'!AS:AS,CRUCE!B346)</f>
        <v>304690654</v>
      </c>
      <c r="E346" s="136">
        <f t="shared" si="151"/>
        <v>4.012322251835184</v>
      </c>
      <c r="F346" s="11">
        <f>+SUMIFS('2023'!Y:Y,'2023'!D:D,CRUCE!A346,'2023'!AS:AS,CRUCE!B346)</f>
        <v>0</v>
      </c>
      <c r="G346" s="136">
        <f t="shared" si="152"/>
        <v>-1</v>
      </c>
      <c r="H346" s="11">
        <f>+SUMIFS('2024'!J:J,'2024'!D:D,CRUCE!A346,'2024'!AT:AT,CRUCE!B346)</f>
        <v>1437342000</v>
      </c>
      <c r="I346" s="7" t="str">
        <f t="shared" si="172"/>
        <v>155IVA sobre licores, vinos, aperitivos y similares (régimen anterior)60788321</v>
      </c>
      <c r="J346" s="7" t="str">
        <f t="shared" si="173"/>
        <v>155IVA sobre licores, vinos, aperitivos y similares (régimen anterior)304690654</v>
      </c>
      <c r="K346" s="7" t="str">
        <f t="shared" si="174"/>
        <v>155IVA sobre licores, vinos, aperitivos y similares (régimen anterior)0</v>
      </c>
      <c r="L346" s="7" t="str">
        <f t="shared" si="175"/>
        <v>155IVA sobre licores, vinos, aperitivos y similares (régimen anterior)1437342000</v>
      </c>
      <c r="M346" t="s">
        <v>1906</v>
      </c>
      <c r="N346" s="136">
        <v>0.05</v>
      </c>
      <c r="O346" s="136"/>
      <c r="P346" s="20">
        <f t="shared" si="153"/>
        <v>1509209100</v>
      </c>
      <c r="Q346" s="136">
        <f t="shared" si="176"/>
        <v>0.05</v>
      </c>
      <c r="R346" s="136">
        <f t="shared" si="177"/>
        <v>0.05</v>
      </c>
      <c r="S346" s="20">
        <f t="shared" si="154"/>
        <v>1584669555</v>
      </c>
      <c r="U346" s="136">
        <f t="shared" si="178"/>
        <v>0.05</v>
      </c>
      <c r="V346" s="20">
        <f t="shared" si="155"/>
        <v>1663903032.75</v>
      </c>
    </row>
    <row r="347" spans="1:22" hidden="1" x14ac:dyDescent="0.3">
      <c r="A347" s="5">
        <v>157</v>
      </c>
      <c r="B347" s="8" t="s">
        <v>1000</v>
      </c>
      <c r="C347" s="11">
        <f>+SUMIFS('2021'!Z:Z,'2021'!D:D,CRUCE!A347,'2021'!AT:AT,CRUCE!B347)</f>
        <v>81344585.480000004</v>
      </c>
      <c r="D347" s="11">
        <f>+SUMIFS('2022'!Y:Y,'2022'!D:D,CRUCE!A347,'2022'!AS:AS,CRUCE!B347)</f>
        <v>124913102.38</v>
      </c>
      <c r="E347" s="136">
        <f t="shared" si="151"/>
        <v>0.53560438771566521</v>
      </c>
      <c r="F347" s="11">
        <f>+SUMIFS('2023'!Y:Y,'2023'!D:D,CRUCE!A347,'2023'!AS:AS,CRUCE!B347)</f>
        <v>14840675257.93</v>
      </c>
      <c r="G347" s="136">
        <f t="shared" si="152"/>
        <v>117.80799511954289</v>
      </c>
      <c r="H347" s="11">
        <f>+SUMIFS('2024'!J:J,'2024'!D:D,CRUCE!A347,'2024'!AT:AT,CRUCE!B347)</f>
        <v>0</v>
      </c>
      <c r="I347" s="7" t="str">
        <f t="shared" si="172"/>
        <v>157Superávit Recursos del Crédito81344585,48</v>
      </c>
      <c r="J347" s="7" t="str">
        <f t="shared" si="173"/>
        <v>157Superávit Recursos del Crédito124913102,38</v>
      </c>
      <c r="K347" s="7" t="str">
        <f t="shared" si="174"/>
        <v>157Superávit Recursos del Crédito14840675257,93</v>
      </c>
      <c r="L347" s="7" t="str">
        <f t="shared" si="175"/>
        <v>157Superávit Recursos del Crédito0</v>
      </c>
      <c r="M347" t="s">
        <v>1906</v>
      </c>
      <c r="N347" s="136">
        <f t="shared" si="156"/>
        <v>59.17179975362928</v>
      </c>
      <c r="O347" s="136"/>
      <c r="P347" s="20">
        <f t="shared" si="153"/>
        <v>0</v>
      </c>
      <c r="S347" s="20">
        <f t="shared" si="154"/>
        <v>0</v>
      </c>
      <c r="V347" s="20">
        <f t="shared" si="155"/>
        <v>0</v>
      </c>
    </row>
    <row r="348" spans="1:22" hidden="1" x14ac:dyDescent="0.3">
      <c r="A348" s="5">
        <v>158</v>
      </c>
      <c r="B348" s="8" t="s">
        <v>516</v>
      </c>
      <c r="C348" s="11">
        <f>+SUMIFS('2021'!Z:Z,'2021'!D:D,CRUCE!A348,'2021'!AT:AT,CRUCE!B348)</f>
        <v>68338279.909999996</v>
      </c>
      <c r="D348" s="11">
        <f>+SUMIFS('2022'!Y:Y,'2022'!D:D,CRUCE!A348,'2022'!AS:AS,CRUCE!B348)</f>
        <v>0</v>
      </c>
      <c r="E348" s="136">
        <f t="shared" si="151"/>
        <v>-1</v>
      </c>
      <c r="F348" s="11">
        <f>+SUMIFS('2023'!Y:Y,'2023'!D:D,CRUCE!A348,'2023'!AS:AS,CRUCE!B348)</f>
        <v>0</v>
      </c>
      <c r="G348" s="136" t="e">
        <f t="shared" si="152"/>
        <v>#DIV/0!</v>
      </c>
      <c r="H348" s="11">
        <f>+SUMIFS('2024'!J:J,'2024'!D:D,CRUCE!A348,'2024'!AT:AT,CRUCE!B348)</f>
        <v>0</v>
      </c>
      <c r="I348" s="7" t="str">
        <f t="shared" si="172"/>
        <v>158Superávit Impuesto al Consumo 3% Monopolio Indeportes68338279,91</v>
      </c>
      <c r="J348" s="7" t="str">
        <f t="shared" si="173"/>
        <v>158Superávit Impuesto al Consumo 3% Monopolio Indeportes0</v>
      </c>
      <c r="K348" s="7" t="str">
        <f t="shared" si="174"/>
        <v>158Superávit Impuesto al Consumo 3% Monopolio Indeportes0</v>
      </c>
      <c r="L348" s="7" t="str">
        <f t="shared" si="175"/>
        <v>158Superávit Impuesto al Consumo 3% Monopolio Indeportes0</v>
      </c>
      <c r="M348" t="s">
        <v>1906</v>
      </c>
      <c r="N348" s="136" t="e">
        <f t="shared" si="156"/>
        <v>#DIV/0!</v>
      </c>
      <c r="O348" s="136"/>
      <c r="P348" s="20" t="e">
        <f t="shared" si="153"/>
        <v>#DIV/0!</v>
      </c>
      <c r="S348" s="20" t="e">
        <f t="shared" si="154"/>
        <v>#DIV/0!</v>
      </c>
      <c r="V348" s="20" t="e">
        <f t="shared" si="155"/>
        <v>#DIV/0!</v>
      </c>
    </row>
    <row r="349" spans="1:22" hidden="1" x14ac:dyDescent="0.3">
      <c r="A349" s="5">
        <v>161</v>
      </c>
      <c r="B349" s="8" t="s">
        <v>1289</v>
      </c>
      <c r="C349" s="11">
        <f>+SUMIFS('2021'!Z:Z,'2021'!D:D,CRUCE!A349,'2021'!AT:AT,CRUCE!B349)</f>
        <v>583.33000000000004</v>
      </c>
      <c r="D349" s="11">
        <f>+SUMIFS('2022'!Y:Y,'2022'!D:D,CRUCE!A349,'2022'!AS:AS,CRUCE!B349)</f>
        <v>19068.38</v>
      </c>
      <c r="E349" s="136">
        <f t="shared" si="151"/>
        <v>31.688838221932695</v>
      </c>
      <c r="F349" s="11">
        <f>+SUMIFS('2023'!Y:Y,'2023'!D:D,CRUCE!A349,'2023'!AS:AS,CRUCE!B349)</f>
        <v>51993.03</v>
      </c>
      <c r="G349" s="136">
        <f t="shared" si="152"/>
        <v>1.7266621495900538</v>
      </c>
      <c r="H349" s="11">
        <f>+SUMIFS('2024'!J:J,'2024'!D:D,CRUCE!A349,'2024'!AT:AT,CRUCE!B349)</f>
        <v>0</v>
      </c>
      <c r="I349" s="7" t="str">
        <f t="shared" si="172"/>
        <v>161Depósitos Cofinanciación Nacional Salud Púbilca583,33</v>
      </c>
      <c r="J349" s="7" t="str">
        <f t="shared" si="173"/>
        <v>161Depósitos Cofinanciación Nacional Salud Púbilca19068,38</v>
      </c>
      <c r="K349" s="7" t="str">
        <f t="shared" si="174"/>
        <v>161Depósitos Cofinanciación Nacional Salud Púbilca51993,03</v>
      </c>
      <c r="L349" s="7" t="str">
        <f t="shared" si="175"/>
        <v>161Depósitos Cofinanciación Nacional Salud Púbilca0</v>
      </c>
      <c r="M349" t="s">
        <v>1906</v>
      </c>
      <c r="N349" s="136">
        <f t="shared" si="156"/>
        <v>16.707750185761373</v>
      </c>
      <c r="O349" s="136"/>
      <c r="P349" s="20">
        <f t="shared" ref="P349:P350" si="179">+H349*1.02</f>
        <v>0</v>
      </c>
      <c r="S349" s="20">
        <f t="shared" ref="S349:S350" si="180">+P349*1.02</f>
        <v>0</v>
      </c>
      <c r="V349" s="20">
        <f t="shared" ref="V349:V350" si="181">+S349*1.02</f>
        <v>0</v>
      </c>
    </row>
    <row r="350" spans="1:22" hidden="1" x14ac:dyDescent="0.3">
      <c r="A350" s="5">
        <v>167</v>
      </c>
      <c r="B350" s="8" t="s">
        <v>1295</v>
      </c>
      <c r="C350" s="11">
        <f>+SUMIFS('2021'!Z:Z,'2021'!D:D,CRUCE!A350,'2021'!AT:AT,CRUCE!B350)</f>
        <v>6071.9</v>
      </c>
      <c r="D350" s="11">
        <f>+SUMIFS('2022'!Y:Y,'2022'!D:D,CRUCE!A350,'2022'!AS:AS,CRUCE!B350)</f>
        <v>132749.85999999999</v>
      </c>
      <c r="E350" s="136">
        <f t="shared" si="151"/>
        <v>20.86298522702943</v>
      </c>
      <c r="F350" s="11">
        <f>+SUMIFS('2023'!Y:Y,'2023'!D:D,CRUCE!A350,'2023'!AS:AS,CRUCE!B350)</f>
        <v>418696.91</v>
      </c>
      <c r="G350" s="136">
        <f t="shared" si="152"/>
        <v>2.1540290136652498</v>
      </c>
      <c r="H350" s="11">
        <f>+SUMIFS('2024'!J:J,'2024'!D:D,CRUCE!A350,'2024'!AT:AT,CRUCE!B350)</f>
        <v>0</v>
      </c>
      <c r="I350" s="7" t="str">
        <f t="shared" si="172"/>
        <v>167Depósitos Recursos ADRES6071,9</v>
      </c>
      <c r="J350" s="7" t="str">
        <f t="shared" si="173"/>
        <v>167Depósitos Recursos ADRES132749,86</v>
      </c>
      <c r="K350" s="7" t="str">
        <f t="shared" si="174"/>
        <v>167Depósitos Recursos ADRES418696,91</v>
      </c>
      <c r="L350" s="7" t="str">
        <f t="shared" si="175"/>
        <v>167Depósitos Recursos ADRES0</v>
      </c>
      <c r="M350" t="s">
        <v>1906</v>
      </c>
      <c r="N350" s="136">
        <f t="shared" si="156"/>
        <v>11.508507120347339</v>
      </c>
      <c r="O350" s="136"/>
      <c r="P350" s="20">
        <f t="shared" si="179"/>
        <v>0</v>
      </c>
      <c r="S350" s="20">
        <f t="shared" si="180"/>
        <v>0</v>
      </c>
      <c r="V350" s="20">
        <f t="shared" si="181"/>
        <v>0</v>
      </c>
    </row>
    <row r="351" spans="1:22" hidden="1" x14ac:dyDescent="0.3">
      <c r="A351" s="5">
        <v>167</v>
      </c>
      <c r="B351" s="8" t="s">
        <v>1437</v>
      </c>
      <c r="C351" s="11">
        <f>+SUMIFS('2021'!Z:Z,'2021'!D:D,CRUCE!A351,'2021'!AT:AT,CRUCE!B351)</f>
        <v>0</v>
      </c>
      <c r="D351" s="11">
        <f>+SUMIFS('2022'!Y:Y,'2022'!D:D,CRUCE!A351,'2022'!AS:AS,CRUCE!B351)</f>
        <v>0</v>
      </c>
      <c r="E351" s="136" t="e">
        <f t="shared" si="151"/>
        <v>#DIV/0!</v>
      </c>
      <c r="F351" s="11">
        <f>+SUMIFS('2023'!Y:Y,'2023'!D:D,CRUCE!A351,'2023'!AS:AS,CRUCE!B351)</f>
        <v>4451929.72</v>
      </c>
      <c r="G351" s="136" t="e">
        <f t="shared" si="152"/>
        <v>#DIV/0!</v>
      </c>
      <c r="H351" s="11">
        <f>+SUMIFS('2024'!J:J,'2024'!D:D,CRUCE!A351,'2024'!AT:AT,CRUCE!B351)</f>
        <v>0</v>
      </c>
      <c r="I351" s="7" t="str">
        <f t="shared" si="172"/>
        <v>167Superavít Recursos Adres Res 2359/20190</v>
      </c>
      <c r="J351" s="7" t="str">
        <f t="shared" si="173"/>
        <v>167Superavít Recursos Adres Res 2359/20190</v>
      </c>
      <c r="K351" s="7" t="str">
        <f t="shared" si="174"/>
        <v>167Superavít Recursos Adres Res 2359/20194451929,72</v>
      </c>
      <c r="L351" s="7" t="str">
        <f t="shared" si="175"/>
        <v>167Superavít Recursos Adres Res 2359/20190</v>
      </c>
      <c r="M351" t="s">
        <v>1906</v>
      </c>
      <c r="N351" s="136" t="e">
        <f t="shared" si="156"/>
        <v>#DIV/0!</v>
      </c>
      <c r="O351" s="136"/>
      <c r="P351" s="20" t="e">
        <f t="shared" si="153"/>
        <v>#DIV/0!</v>
      </c>
      <c r="S351" s="20" t="e">
        <f t="shared" si="154"/>
        <v>#DIV/0!</v>
      </c>
      <c r="V351" s="20" t="e">
        <f t="shared" si="155"/>
        <v>#DIV/0!</v>
      </c>
    </row>
    <row r="352" spans="1:22" hidden="1" x14ac:dyDescent="0.3">
      <c r="A352" s="5">
        <v>169</v>
      </c>
      <c r="B352" s="8" t="s">
        <v>1308</v>
      </c>
      <c r="C352" s="11">
        <f>+SUMIFS('2021'!Z:Z,'2021'!D:D,CRUCE!A352,'2021'!AT:AT,CRUCE!B352)</f>
        <v>0</v>
      </c>
      <c r="D352" s="11">
        <f>+SUMIFS('2022'!Y:Y,'2022'!D:D,CRUCE!A352,'2022'!AS:AS,CRUCE!B352)</f>
        <v>3926845415.9499998</v>
      </c>
      <c r="E352" s="136" t="e">
        <f t="shared" si="151"/>
        <v>#DIV/0!</v>
      </c>
      <c r="F352" s="11">
        <f>+SUMIFS('2023'!Y:Y,'2023'!D:D,CRUCE!A352,'2023'!AS:AS,CRUCE!B352)</f>
        <v>4356206814.6300001</v>
      </c>
      <c r="G352" s="136">
        <f t="shared" si="152"/>
        <v>0.10934003078807911</v>
      </c>
      <c r="H352" s="11">
        <f>+SUMIFS('2024'!J:J,'2024'!D:D,CRUCE!A352,'2024'!AT:AT,CRUCE!B352)</f>
        <v>0</v>
      </c>
      <c r="I352" s="7" t="str">
        <f t="shared" si="172"/>
        <v>169Superávit Recursos SGSS Salud Adres0</v>
      </c>
      <c r="J352" s="7" t="str">
        <f t="shared" si="173"/>
        <v>169Superávit Recursos SGSS Salud Adres3926845415,95</v>
      </c>
      <c r="K352" s="7" t="str">
        <f t="shared" si="174"/>
        <v>169Superávit Recursos SGSS Salud Adres4356206814,63</v>
      </c>
      <c r="L352" s="7" t="str">
        <f t="shared" si="175"/>
        <v>169Superávit Recursos SGSS Salud Adres0</v>
      </c>
      <c r="M352" t="s">
        <v>1906</v>
      </c>
      <c r="N352" s="136" t="e">
        <f t="shared" si="156"/>
        <v>#DIV/0!</v>
      </c>
      <c r="O352" s="136"/>
      <c r="P352" s="20" t="e">
        <f t="shared" si="153"/>
        <v>#DIV/0!</v>
      </c>
      <c r="S352" s="20" t="e">
        <f t="shared" si="154"/>
        <v>#DIV/0!</v>
      </c>
      <c r="V352" s="20" t="e">
        <f t="shared" si="155"/>
        <v>#DIV/0!</v>
      </c>
    </row>
    <row r="353" spans="1:22" x14ac:dyDescent="0.3">
      <c r="A353" s="5">
        <v>171</v>
      </c>
      <c r="B353" s="8" t="s">
        <v>1285</v>
      </c>
      <c r="C353" s="11">
        <f>+SUMIFS('2021'!Z:Z,'2021'!D:D,CRUCE!A353,'2021'!AT:AT,CRUCE!B353)</f>
        <v>0</v>
      </c>
      <c r="D353" s="11">
        <f>+SUMIFS('2022'!Y:Y,'2022'!D:D,CRUCE!A353,'2022'!AS:AS,CRUCE!B353)</f>
        <v>26830406.100000001</v>
      </c>
      <c r="E353" s="136" t="e">
        <f t="shared" si="151"/>
        <v>#DIV/0!</v>
      </c>
      <c r="F353" s="11">
        <f>+SUMIFS('2023'!Y:Y,'2023'!D:D,CRUCE!A353,'2023'!AS:AS,CRUCE!B353)</f>
        <v>33471834.84</v>
      </c>
      <c r="G353" s="136">
        <f t="shared" si="152"/>
        <v>0.24753366442709185</v>
      </c>
      <c r="H353" s="11">
        <f>+SUMIFS('2024'!J:J,'2024'!D:D,CRUCE!A353,'2024'!AT:AT,CRUCE!B353)</f>
        <v>1000000</v>
      </c>
      <c r="I353" s="7" t="str">
        <f t="shared" ref="I353:I363" si="182">+$A353&amp;$B353&amp;C353</f>
        <v>171Depósitos Subsidio de la Oferta0</v>
      </c>
      <c r="J353" s="7" t="str">
        <f t="shared" ref="J353:J363" si="183">+$A353&amp;$B353&amp;D353</f>
        <v>171Depósitos Subsidio de la Oferta26830406,1</v>
      </c>
      <c r="K353" s="7" t="str">
        <f t="shared" ref="K353:K363" si="184">+$A353&amp;$B353&amp;F353</f>
        <v>171Depósitos Subsidio de la Oferta33471834,84</v>
      </c>
      <c r="L353" s="7" t="str">
        <f t="shared" ref="L353:L363" si="185">+$A353&amp;$B353&amp;H353</f>
        <v>171Depósitos Subsidio de la Oferta1000000</v>
      </c>
      <c r="M353" t="s">
        <v>1906</v>
      </c>
      <c r="N353" s="136">
        <v>0.05</v>
      </c>
      <c r="O353" s="136"/>
      <c r="P353" s="20">
        <f>+H353*1.02</f>
        <v>1020000</v>
      </c>
      <c r="Q353" s="136">
        <f t="shared" ref="Q353:Q354" si="186">+N353</f>
        <v>0.05</v>
      </c>
      <c r="R353" s="136">
        <f t="shared" ref="R353:R354" si="187">+Q353</f>
        <v>0.05</v>
      </c>
      <c r="S353" s="20">
        <f>+P353*1.02</f>
        <v>1040400</v>
      </c>
      <c r="U353" s="136">
        <f t="shared" ref="U353:U354" si="188">+R353</f>
        <v>0.05</v>
      </c>
      <c r="V353" s="20">
        <f>+S353*1.02</f>
        <v>1061208</v>
      </c>
    </row>
    <row r="354" spans="1:22" x14ac:dyDescent="0.3">
      <c r="A354" s="5">
        <v>171</v>
      </c>
      <c r="B354" s="8" t="s">
        <v>729</v>
      </c>
      <c r="C354" s="11">
        <f>+SUMIFS('2021'!Z:Z,'2021'!D:D,CRUCE!A354,'2021'!AT:AT,CRUCE!B354)</f>
        <v>1725078004.0599999</v>
      </c>
      <c r="D354" s="11">
        <f>+SUMIFS('2022'!Y:Y,'2022'!D:D,CRUCE!A354,'2022'!AS:AS,CRUCE!B354)</f>
        <v>1609813922</v>
      </c>
      <c r="E354" s="136">
        <v>0.03</v>
      </c>
      <c r="F354" s="11">
        <f>+SUMIFS('2023'!Y:Y,'2023'!D:D,CRUCE!A354,'2023'!AS:AS,CRUCE!B354)</f>
        <v>1918938890</v>
      </c>
      <c r="G354" s="136">
        <v>0.03</v>
      </c>
      <c r="H354" s="11">
        <f>+SUMIFS('2024'!J:J,'2024'!D:D,CRUCE!A354,'2024'!AT:AT,CRUCE!B354)</f>
        <v>2148092000</v>
      </c>
      <c r="I354" s="7" t="str">
        <f t="shared" si="182"/>
        <v>171Subsidio a la oferta1725078004,06</v>
      </c>
      <c r="J354" s="7" t="str">
        <f t="shared" si="183"/>
        <v>171Subsidio a la oferta1609813922</v>
      </c>
      <c r="K354" s="7" t="str">
        <f t="shared" si="184"/>
        <v>171Subsidio a la oferta1918938890</v>
      </c>
      <c r="L354" s="7" t="str">
        <f t="shared" si="185"/>
        <v>171Subsidio a la oferta2148092000</v>
      </c>
      <c r="M354" t="s">
        <v>1906</v>
      </c>
      <c r="N354" s="136">
        <v>0.05</v>
      </c>
      <c r="O354" s="136"/>
      <c r="P354" s="20">
        <f t="shared" si="153"/>
        <v>2255496600</v>
      </c>
      <c r="Q354" s="136">
        <f t="shared" si="186"/>
        <v>0.05</v>
      </c>
      <c r="R354" s="136">
        <f t="shared" si="187"/>
        <v>0.05</v>
      </c>
      <c r="S354" s="20">
        <f t="shared" si="154"/>
        <v>2368271430</v>
      </c>
      <c r="U354" s="136">
        <f t="shared" si="188"/>
        <v>0.05</v>
      </c>
      <c r="V354" s="20">
        <f t="shared" si="155"/>
        <v>2486685001.5</v>
      </c>
    </row>
    <row r="355" spans="1:22" hidden="1" x14ac:dyDescent="0.3">
      <c r="A355" s="5">
        <v>172</v>
      </c>
      <c r="B355" s="8" t="s">
        <v>327</v>
      </c>
      <c r="C355" s="11">
        <f>+SUMIFS('2021'!Z:Z,'2021'!D:D,CRUCE!A355,'2021'!AT:AT,CRUCE!B355)</f>
        <v>7492204</v>
      </c>
      <c r="D355" s="11">
        <f>+SUMIFS('2022'!Y:Y,'2022'!D:D,CRUCE!A355,'2022'!AS:AS,CRUCE!B355)</f>
        <v>0</v>
      </c>
      <c r="E355" s="136">
        <f t="shared" si="151"/>
        <v>-1</v>
      </c>
      <c r="F355" s="11">
        <f>+SUMIFS('2023'!Y:Y,'2023'!D:D,CRUCE!A355,'2023'!AS:AS,CRUCE!B355)</f>
        <v>16758900</v>
      </c>
      <c r="G355" s="136" t="e">
        <f t="shared" si="152"/>
        <v>#DIV/0!</v>
      </c>
      <c r="H355" s="11">
        <f>+SUMIFS('2024'!J:J,'2024'!D:D,CRUCE!A355,'2024'!AT:AT,CRUCE!B355)</f>
        <v>0</v>
      </c>
      <c r="I355" s="7" t="str">
        <f t="shared" si="182"/>
        <v>172Buenavista - Quindío7492204</v>
      </c>
      <c r="J355" s="7" t="str">
        <f t="shared" si="183"/>
        <v>172Buenavista - Quindío0</v>
      </c>
      <c r="K355" s="7" t="str">
        <f t="shared" si="184"/>
        <v>172Buenavista - Quindío16758900</v>
      </c>
      <c r="L355" s="7" t="str">
        <f t="shared" si="185"/>
        <v>172Buenavista - Quindío0</v>
      </c>
      <c r="M355" t="s">
        <v>1906</v>
      </c>
      <c r="N355" s="136" t="e">
        <f t="shared" si="156"/>
        <v>#DIV/0!</v>
      </c>
      <c r="O355" s="136"/>
      <c r="P355" s="20" t="e">
        <f t="shared" si="153"/>
        <v>#DIV/0!</v>
      </c>
      <c r="S355" s="20" t="e">
        <f t="shared" si="154"/>
        <v>#DIV/0!</v>
      </c>
      <c r="V355" s="20" t="e">
        <f t="shared" si="155"/>
        <v>#DIV/0!</v>
      </c>
    </row>
    <row r="356" spans="1:22" hidden="1" x14ac:dyDescent="0.3">
      <c r="A356" s="5">
        <v>172</v>
      </c>
      <c r="B356" s="8" t="s">
        <v>585</v>
      </c>
      <c r="C356" s="11">
        <f>+SUMIFS('2021'!Z:Z,'2021'!D:D,CRUCE!A356,'2021'!AT:AT,CRUCE!B356)</f>
        <v>136707538</v>
      </c>
      <c r="D356" s="11">
        <f>+SUMIFS('2022'!Y:Y,'2022'!D:D,CRUCE!A356,'2022'!AS:AS,CRUCE!B356)</f>
        <v>0</v>
      </c>
      <c r="E356" s="136">
        <f t="shared" si="151"/>
        <v>-1</v>
      </c>
      <c r="F356" s="11">
        <f>+SUMIFS('2023'!Y:Y,'2023'!D:D,CRUCE!A356,'2023'!AS:AS,CRUCE!B356)</f>
        <v>285040711</v>
      </c>
      <c r="G356" s="136" t="e">
        <f t="shared" si="152"/>
        <v>#DIV/0!</v>
      </c>
      <c r="H356" s="11">
        <f>+SUMIFS('2024'!J:J,'2024'!D:D,CRUCE!A356,'2024'!AT:AT,CRUCE!B356)</f>
        <v>0</v>
      </c>
      <c r="I356" s="7" t="str">
        <f t="shared" si="182"/>
        <v>172Calarcá136707538</v>
      </c>
      <c r="J356" s="7" t="str">
        <f t="shared" si="183"/>
        <v>172Calarcá0</v>
      </c>
      <c r="K356" s="7" t="str">
        <f t="shared" si="184"/>
        <v>172Calarcá285040711</v>
      </c>
      <c r="L356" s="7" t="str">
        <f t="shared" si="185"/>
        <v>172Calarcá0</v>
      </c>
      <c r="M356" t="s">
        <v>1906</v>
      </c>
      <c r="N356" s="136" t="e">
        <f t="shared" si="156"/>
        <v>#DIV/0!</v>
      </c>
      <c r="O356" s="136"/>
      <c r="P356" s="20" t="e">
        <f t="shared" si="153"/>
        <v>#DIV/0!</v>
      </c>
      <c r="S356" s="20" t="e">
        <f t="shared" si="154"/>
        <v>#DIV/0!</v>
      </c>
      <c r="V356" s="20" t="e">
        <f t="shared" si="155"/>
        <v>#DIV/0!</v>
      </c>
    </row>
    <row r="357" spans="1:22" hidden="1" x14ac:dyDescent="0.3">
      <c r="A357" s="5">
        <v>172</v>
      </c>
      <c r="B357" s="8" t="s">
        <v>329</v>
      </c>
      <c r="C357" s="11">
        <f>+SUMIFS('2021'!Z:Z,'2021'!D:D,CRUCE!A357,'2021'!AT:AT,CRUCE!B357)</f>
        <v>41940940</v>
      </c>
      <c r="D357" s="11">
        <f>+SUMIFS('2022'!Y:Y,'2022'!D:D,CRUCE!A357,'2022'!AS:AS,CRUCE!B357)</f>
        <v>0</v>
      </c>
      <c r="E357" s="136">
        <f t="shared" si="151"/>
        <v>-1</v>
      </c>
      <c r="F357" s="11">
        <f>+SUMIFS('2023'!Y:Y,'2023'!D:D,CRUCE!A357,'2023'!AS:AS,CRUCE!B357)</f>
        <v>92310777</v>
      </c>
      <c r="G357" s="136" t="e">
        <f t="shared" si="152"/>
        <v>#DIV/0!</v>
      </c>
      <c r="H357" s="11">
        <f>+SUMIFS('2024'!J:J,'2024'!D:D,CRUCE!A357,'2024'!AT:AT,CRUCE!B357)</f>
        <v>0</v>
      </c>
      <c r="I357" s="7" t="str">
        <f t="shared" si="182"/>
        <v>172Circasia41940940</v>
      </c>
      <c r="J357" s="7" t="str">
        <f t="shared" si="183"/>
        <v>172Circasia0</v>
      </c>
      <c r="K357" s="7" t="str">
        <f t="shared" si="184"/>
        <v>172Circasia92310777</v>
      </c>
      <c r="L357" s="7" t="str">
        <f t="shared" si="185"/>
        <v>172Circasia0</v>
      </c>
      <c r="M357" t="s">
        <v>1906</v>
      </c>
      <c r="N357" s="136" t="e">
        <f t="shared" si="156"/>
        <v>#DIV/0!</v>
      </c>
      <c r="O357" s="136"/>
      <c r="P357" s="20" t="e">
        <f t="shared" si="153"/>
        <v>#DIV/0!</v>
      </c>
      <c r="S357" s="20" t="e">
        <f t="shared" si="154"/>
        <v>#DIV/0!</v>
      </c>
      <c r="V357" s="20" t="e">
        <f t="shared" si="155"/>
        <v>#DIV/0!</v>
      </c>
    </row>
    <row r="358" spans="1:22" hidden="1" x14ac:dyDescent="0.3">
      <c r="A358" s="5">
        <v>172</v>
      </c>
      <c r="B358" s="8" t="s">
        <v>588</v>
      </c>
      <c r="C358" s="11">
        <f>+SUMIFS('2021'!Z:Z,'2021'!D:D,CRUCE!A358,'2021'!AT:AT,CRUCE!B358)</f>
        <v>15127097</v>
      </c>
      <c r="D358" s="11">
        <f>+SUMIFS('2022'!Y:Y,'2022'!D:D,CRUCE!A358,'2022'!AS:AS,CRUCE!B358)</f>
        <v>0</v>
      </c>
      <c r="E358" s="136">
        <f t="shared" si="151"/>
        <v>-1</v>
      </c>
      <c r="F358" s="11">
        <f>+SUMIFS('2023'!Y:Y,'2023'!D:D,CRUCE!A358,'2023'!AS:AS,CRUCE!B358)</f>
        <v>27794558</v>
      </c>
      <c r="G358" s="136" t="e">
        <f t="shared" si="152"/>
        <v>#DIV/0!</v>
      </c>
      <c r="H358" s="11">
        <f>+SUMIFS('2024'!J:J,'2024'!D:D,CRUCE!A358,'2024'!AT:AT,CRUCE!B358)</f>
        <v>0</v>
      </c>
      <c r="I358" s="7" t="str">
        <f t="shared" si="182"/>
        <v>172Córdoba - Quindío15127097</v>
      </c>
      <c r="J358" s="7" t="str">
        <f t="shared" si="183"/>
        <v>172Córdoba - Quindío0</v>
      </c>
      <c r="K358" s="7" t="str">
        <f t="shared" si="184"/>
        <v>172Córdoba - Quindío27794558</v>
      </c>
      <c r="L358" s="7" t="str">
        <f t="shared" si="185"/>
        <v>172Córdoba - Quindío0</v>
      </c>
      <c r="M358" t="s">
        <v>1906</v>
      </c>
      <c r="N358" s="136" t="e">
        <f t="shared" si="156"/>
        <v>#DIV/0!</v>
      </c>
      <c r="O358" s="136"/>
      <c r="P358" s="20" t="e">
        <f t="shared" si="153"/>
        <v>#DIV/0!</v>
      </c>
      <c r="S358" s="20" t="e">
        <f t="shared" si="154"/>
        <v>#DIV/0!</v>
      </c>
      <c r="V358" s="20" t="e">
        <f t="shared" si="155"/>
        <v>#DIV/0!</v>
      </c>
    </row>
    <row r="359" spans="1:22" hidden="1" x14ac:dyDescent="0.3">
      <c r="A359" s="5">
        <v>172</v>
      </c>
      <c r="B359" s="8" t="s">
        <v>331</v>
      </c>
      <c r="C359" s="11">
        <f>+SUMIFS('2021'!Z:Z,'2021'!D:D,CRUCE!A359,'2021'!AT:AT,CRUCE!B359)</f>
        <v>33169977</v>
      </c>
      <c r="D359" s="11">
        <f>+SUMIFS('2022'!Y:Y,'2022'!D:D,CRUCE!A359,'2022'!AS:AS,CRUCE!B359)</f>
        <v>0</v>
      </c>
      <c r="E359" s="136">
        <f t="shared" si="151"/>
        <v>-1</v>
      </c>
      <c r="F359" s="11">
        <f>+SUMIFS('2023'!Y:Y,'2023'!D:D,CRUCE!A359,'2023'!AS:AS,CRUCE!B359)</f>
        <v>47076454.799999997</v>
      </c>
      <c r="G359" s="136" t="e">
        <f t="shared" si="152"/>
        <v>#DIV/0!</v>
      </c>
      <c r="H359" s="11">
        <f>+SUMIFS('2024'!J:J,'2024'!D:D,CRUCE!A359,'2024'!AT:AT,CRUCE!B359)</f>
        <v>0</v>
      </c>
      <c r="I359" s="7" t="str">
        <f t="shared" si="182"/>
        <v>172Filandia33169977</v>
      </c>
      <c r="J359" s="7" t="str">
        <f t="shared" si="183"/>
        <v>172Filandia0</v>
      </c>
      <c r="K359" s="7" t="str">
        <f t="shared" si="184"/>
        <v>172Filandia47076454,8</v>
      </c>
      <c r="L359" s="7" t="str">
        <f t="shared" si="185"/>
        <v>172Filandia0</v>
      </c>
      <c r="M359" t="s">
        <v>1906</v>
      </c>
      <c r="N359" s="136" t="e">
        <f t="shared" si="156"/>
        <v>#DIV/0!</v>
      </c>
      <c r="O359" s="136"/>
      <c r="P359" s="20" t="e">
        <f t="shared" si="153"/>
        <v>#DIV/0!</v>
      </c>
      <c r="S359" s="20" t="e">
        <f t="shared" si="154"/>
        <v>#DIV/0!</v>
      </c>
      <c r="V359" s="20" t="e">
        <f t="shared" si="155"/>
        <v>#DIV/0!</v>
      </c>
    </row>
    <row r="360" spans="1:22" hidden="1" x14ac:dyDescent="0.3">
      <c r="A360" s="5">
        <v>172</v>
      </c>
      <c r="B360" s="8" t="s">
        <v>333</v>
      </c>
      <c r="C360" s="11">
        <f>+SUMIFS('2021'!Z:Z,'2021'!D:D,CRUCE!A360,'2021'!AT:AT,CRUCE!B360)</f>
        <v>23113168</v>
      </c>
      <c r="D360" s="11">
        <f>+SUMIFS('2022'!Y:Y,'2022'!D:D,CRUCE!A360,'2022'!AS:AS,CRUCE!B360)</f>
        <v>0</v>
      </c>
      <c r="E360" s="136">
        <f t="shared" si="151"/>
        <v>-1</v>
      </c>
      <c r="F360" s="11">
        <f>+SUMIFS('2023'!Y:Y,'2023'!D:D,CRUCE!A360,'2023'!AS:AS,CRUCE!B360)</f>
        <v>49472872.399999999</v>
      </c>
      <c r="G360" s="136" t="e">
        <f t="shared" si="152"/>
        <v>#DIV/0!</v>
      </c>
      <c r="H360" s="11">
        <f>+SUMIFS('2024'!J:J,'2024'!D:D,CRUCE!A360,'2024'!AT:AT,CRUCE!B360)</f>
        <v>0</v>
      </c>
      <c r="I360" s="7" t="str">
        <f t="shared" si="182"/>
        <v>172Génova23113168</v>
      </c>
      <c r="J360" s="7" t="str">
        <f t="shared" si="183"/>
        <v>172Génova0</v>
      </c>
      <c r="K360" s="7" t="str">
        <f t="shared" si="184"/>
        <v>172Génova49472872,4</v>
      </c>
      <c r="L360" s="7" t="str">
        <f t="shared" si="185"/>
        <v>172Génova0</v>
      </c>
      <c r="M360" t="s">
        <v>1906</v>
      </c>
      <c r="N360" s="136" t="e">
        <f t="shared" si="156"/>
        <v>#DIV/0!</v>
      </c>
      <c r="O360" s="136"/>
      <c r="P360" s="20" t="e">
        <f t="shared" si="153"/>
        <v>#DIV/0!</v>
      </c>
      <c r="S360" s="20" t="e">
        <f t="shared" si="154"/>
        <v>#DIV/0!</v>
      </c>
      <c r="V360" s="20" t="e">
        <f t="shared" si="155"/>
        <v>#DIV/0!</v>
      </c>
    </row>
    <row r="361" spans="1:22" hidden="1" x14ac:dyDescent="0.3">
      <c r="A361" s="5">
        <v>172</v>
      </c>
      <c r="B361" s="8" t="s">
        <v>592</v>
      </c>
      <c r="C361" s="11">
        <f>+SUMIFS('2021'!Z:Z,'2021'!D:D,CRUCE!A361,'2021'!AT:AT,CRUCE!B361)</f>
        <v>92275623.200000003</v>
      </c>
      <c r="D361" s="11">
        <f>+SUMIFS('2022'!Y:Y,'2022'!D:D,CRUCE!A361,'2022'!AS:AS,CRUCE!B361)</f>
        <v>0</v>
      </c>
      <c r="E361" s="136">
        <f t="shared" si="151"/>
        <v>-1</v>
      </c>
      <c r="F361" s="11">
        <f>+SUMIFS('2023'!Y:Y,'2023'!D:D,CRUCE!A361,'2023'!AS:AS,CRUCE!B361)</f>
        <v>198369010.5</v>
      </c>
      <c r="G361" s="136" t="e">
        <f t="shared" si="152"/>
        <v>#DIV/0!</v>
      </c>
      <c r="H361" s="11">
        <f>+SUMIFS('2024'!J:J,'2024'!D:D,CRUCE!A361,'2024'!AT:AT,CRUCE!B361)</f>
        <v>0</v>
      </c>
      <c r="I361" s="7" t="str">
        <f t="shared" si="182"/>
        <v>172La Tebaida92275623,2</v>
      </c>
      <c r="J361" s="7" t="str">
        <f t="shared" si="183"/>
        <v>172La Tebaida0</v>
      </c>
      <c r="K361" s="7" t="str">
        <f t="shared" si="184"/>
        <v>172La Tebaida198369010,5</v>
      </c>
      <c r="L361" s="7" t="str">
        <f t="shared" si="185"/>
        <v>172La Tebaida0</v>
      </c>
      <c r="M361" t="s">
        <v>1906</v>
      </c>
      <c r="N361" s="136" t="e">
        <f t="shared" si="156"/>
        <v>#DIV/0!</v>
      </c>
      <c r="O361" s="136"/>
      <c r="P361" s="20" t="e">
        <f t="shared" si="153"/>
        <v>#DIV/0!</v>
      </c>
      <c r="S361" s="20" t="e">
        <f t="shared" si="154"/>
        <v>#DIV/0!</v>
      </c>
      <c r="V361" s="20" t="e">
        <f t="shared" si="155"/>
        <v>#DIV/0!</v>
      </c>
    </row>
    <row r="362" spans="1:22" hidden="1" x14ac:dyDescent="0.3">
      <c r="A362" s="5">
        <v>172</v>
      </c>
      <c r="B362" s="8" t="s">
        <v>335</v>
      </c>
      <c r="C362" s="11">
        <f>+SUMIFS('2021'!Z:Z,'2021'!D:D,CRUCE!A362,'2021'!AT:AT,CRUCE!B362)</f>
        <v>110049971</v>
      </c>
      <c r="D362" s="11">
        <f>+SUMIFS('2022'!Y:Y,'2022'!D:D,CRUCE!A362,'2022'!AS:AS,CRUCE!B362)</f>
        <v>0</v>
      </c>
      <c r="E362" s="136">
        <f t="shared" si="151"/>
        <v>-1</v>
      </c>
      <c r="F362" s="11">
        <f>+SUMIFS('2023'!Y:Y,'2023'!D:D,CRUCE!A362,'2023'!AS:AS,CRUCE!B362)</f>
        <v>214613633</v>
      </c>
      <c r="G362" s="136" t="e">
        <f t="shared" si="152"/>
        <v>#DIV/0!</v>
      </c>
      <c r="H362" s="11">
        <f>+SUMIFS('2024'!J:J,'2024'!D:D,CRUCE!A362,'2024'!AT:AT,CRUCE!B362)</f>
        <v>0</v>
      </c>
      <c r="I362" s="7" t="str">
        <f t="shared" si="182"/>
        <v>172Montenegro110049971</v>
      </c>
      <c r="J362" s="7" t="str">
        <f t="shared" si="183"/>
        <v>172Montenegro0</v>
      </c>
      <c r="K362" s="7" t="str">
        <f t="shared" si="184"/>
        <v>172Montenegro214613633</v>
      </c>
      <c r="L362" s="7" t="str">
        <f t="shared" si="185"/>
        <v>172Montenegro0</v>
      </c>
      <c r="M362" t="s">
        <v>1906</v>
      </c>
      <c r="N362" s="136" t="e">
        <f t="shared" si="156"/>
        <v>#DIV/0!</v>
      </c>
      <c r="O362" s="136"/>
      <c r="P362" s="20" t="e">
        <f t="shared" si="153"/>
        <v>#DIV/0!</v>
      </c>
      <c r="S362" s="20" t="e">
        <f t="shared" si="154"/>
        <v>#DIV/0!</v>
      </c>
      <c r="V362" s="20" t="e">
        <f t="shared" si="155"/>
        <v>#DIV/0!</v>
      </c>
    </row>
    <row r="363" spans="1:22" hidden="1" x14ac:dyDescent="0.3">
      <c r="A363" s="5">
        <v>172</v>
      </c>
      <c r="B363" s="8" t="s">
        <v>595</v>
      </c>
      <c r="C363" s="11">
        <f>+SUMIFS('2021'!Z:Z,'2021'!D:D,CRUCE!A363,'2021'!AT:AT,CRUCE!B363)</f>
        <v>18876411.199999999</v>
      </c>
      <c r="D363" s="11">
        <f>+SUMIFS('2022'!Y:Y,'2022'!D:D,CRUCE!A363,'2022'!AS:AS,CRUCE!B363)</f>
        <v>0</v>
      </c>
      <c r="E363" s="136">
        <f t="shared" si="151"/>
        <v>-1</v>
      </c>
      <c r="F363" s="11">
        <f>+SUMIFS('2023'!Y:Y,'2023'!D:D,CRUCE!A363,'2023'!AS:AS,CRUCE!B363)</f>
        <v>32273098.399999999</v>
      </c>
      <c r="G363" s="136" t="e">
        <f t="shared" si="152"/>
        <v>#DIV/0!</v>
      </c>
      <c r="H363" s="11">
        <f>+SUMIFS('2024'!J:J,'2024'!D:D,CRUCE!A363,'2024'!AT:AT,CRUCE!B363)</f>
        <v>0</v>
      </c>
      <c r="I363" s="7" t="str">
        <f t="shared" si="182"/>
        <v>172Pijao18876411,2</v>
      </c>
      <c r="J363" s="7" t="str">
        <f t="shared" si="183"/>
        <v>172Pijao0</v>
      </c>
      <c r="K363" s="7" t="str">
        <f t="shared" si="184"/>
        <v>172Pijao32273098,4</v>
      </c>
      <c r="L363" s="7" t="str">
        <f t="shared" si="185"/>
        <v>172Pijao0</v>
      </c>
      <c r="M363" t="s">
        <v>1906</v>
      </c>
      <c r="N363" s="136" t="e">
        <f t="shared" si="156"/>
        <v>#DIV/0!</v>
      </c>
      <c r="O363" s="136"/>
      <c r="P363" s="20" t="e">
        <f t="shared" si="153"/>
        <v>#DIV/0!</v>
      </c>
      <c r="S363" s="20" t="e">
        <f t="shared" si="154"/>
        <v>#DIV/0!</v>
      </c>
      <c r="V363" s="20" t="e">
        <f t="shared" si="155"/>
        <v>#DIV/0!</v>
      </c>
    </row>
    <row r="364" spans="1:22" hidden="1" x14ac:dyDescent="0.3">
      <c r="A364" s="5">
        <v>172</v>
      </c>
      <c r="B364" s="8" t="s">
        <v>337</v>
      </c>
      <c r="C364" s="11">
        <f>+SUMIFS('2021'!Z:Z,'2021'!D:D,CRUCE!A364,'2021'!AT:AT,CRUCE!B364)</f>
        <v>69158842</v>
      </c>
      <c r="D364" s="11">
        <f>+SUMIFS('2022'!Y:Y,'2022'!D:D,CRUCE!A364,'2022'!AS:AS,CRUCE!B364)</f>
        <v>0</v>
      </c>
      <c r="E364" s="136">
        <f t="shared" si="151"/>
        <v>-1</v>
      </c>
      <c r="F364" s="11">
        <f>+SUMIFS('2023'!Y:Y,'2023'!D:D,CRUCE!A364,'2023'!AS:AS,CRUCE!B364)</f>
        <v>40430798</v>
      </c>
      <c r="G364" s="136" t="e">
        <f t="shared" si="152"/>
        <v>#DIV/0!</v>
      </c>
      <c r="H364" s="11">
        <f>+SUMIFS('2024'!J:J,'2024'!D:D,CRUCE!A364,'2024'!AT:AT,CRUCE!B364)</f>
        <v>0</v>
      </c>
      <c r="I364" s="7" t="str">
        <f t="shared" ref="I364:I377" si="189">+$A364&amp;$B364&amp;C364</f>
        <v>172Quimbaya69158842</v>
      </c>
      <c r="J364" s="7" t="str">
        <f t="shared" ref="J364:J377" si="190">+$A364&amp;$B364&amp;D364</f>
        <v>172Quimbaya0</v>
      </c>
      <c r="K364" s="7" t="str">
        <f t="shared" ref="K364:K377" si="191">+$A364&amp;$B364&amp;F364</f>
        <v>172Quimbaya40430798</v>
      </c>
      <c r="L364" s="7" t="str">
        <f t="shared" ref="L364:L377" si="192">+$A364&amp;$B364&amp;H364</f>
        <v>172Quimbaya0</v>
      </c>
      <c r="M364" t="s">
        <v>1906</v>
      </c>
      <c r="N364" s="136" t="e">
        <f t="shared" si="156"/>
        <v>#DIV/0!</v>
      </c>
      <c r="O364" s="136"/>
      <c r="P364" s="20" t="e">
        <f t="shared" si="153"/>
        <v>#DIV/0!</v>
      </c>
      <c r="S364" s="20" t="e">
        <f t="shared" si="154"/>
        <v>#DIV/0!</v>
      </c>
      <c r="V364" s="20" t="e">
        <f t="shared" si="155"/>
        <v>#DIV/0!</v>
      </c>
    </row>
    <row r="365" spans="1:22" hidden="1" x14ac:dyDescent="0.3">
      <c r="A365" s="5">
        <v>172</v>
      </c>
      <c r="B365" s="8" t="s">
        <v>598</v>
      </c>
      <c r="C365" s="11">
        <f>+SUMIFS('2021'!Z:Z,'2021'!D:D,CRUCE!A365,'2021'!AT:AT,CRUCE!B365)</f>
        <v>14490000</v>
      </c>
      <c r="D365" s="11">
        <f>+SUMIFS('2022'!Y:Y,'2022'!D:D,CRUCE!A365,'2022'!AS:AS,CRUCE!B365)</f>
        <v>0</v>
      </c>
      <c r="E365" s="136">
        <f t="shared" si="151"/>
        <v>-1</v>
      </c>
      <c r="F365" s="11">
        <f>+SUMIFS('2023'!Y:Y,'2023'!D:D,CRUCE!A365,'2023'!AS:AS,CRUCE!B365)</f>
        <v>24671326.399999999</v>
      </c>
      <c r="G365" s="136" t="e">
        <f t="shared" si="152"/>
        <v>#DIV/0!</v>
      </c>
      <c r="H365" s="11">
        <f>+SUMIFS('2024'!J:J,'2024'!D:D,CRUCE!A365,'2024'!AT:AT,CRUCE!B365)</f>
        <v>0</v>
      </c>
      <c r="I365" s="7" t="str">
        <f t="shared" si="189"/>
        <v>172Salento14490000</v>
      </c>
      <c r="J365" s="7" t="str">
        <f t="shared" si="190"/>
        <v>172Salento0</v>
      </c>
      <c r="K365" s="7" t="str">
        <f t="shared" si="191"/>
        <v>172Salento24671326,4</v>
      </c>
      <c r="L365" s="7" t="str">
        <f t="shared" si="192"/>
        <v>172Salento0</v>
      </c>
      <c r="M365" t="s">
        <v>1906</v>
      </c>
      <c r="N365" s="136" t="e">
        <f t="shared" si="156"/>
        <v>#DIV/0!</v>
      </c>
      <c r="O365" s="136"/>
      <c r="P365" s="20" t="e">
        <f t="shared" si="153"/>
        <v>#DIV/0!</v>
      </c>
      <c r="S365" s="20" t="e">
        <f t="shared" si="154"/>
        <v>#DIV/0!</v>
      </c>
      <c r="V365" s="20" t="e">
        <f t="shared" si="155"/>
        <v>#DIV/0!</v>
      </c>
    </row>
    <row r="366" spans="1:22" hidden="1" x14ac:dyDescent="0.3">
      <c r="A366" s="5">
        <v>173</v>
      </c>
      <c r="B366" s="8" t="s">
        <v>577</v>
      </c>
      <c r="C366" s="11">
        <f>+SUMIFS('2021'!Z:Z,'2021'!D:D,CRUCE!A366,'2021'!AT:AT,CRUCE!B366)</f>
        <v>1522780551</v>
      </c>
      <c r="D366" s="11">
        <f>+SUMIFS('2022'!Y:Y,'2022'!D:D,CRUCE!A366,'2022'!AS:AS,CRUCE!B366)</f>
        <v>0</v>
      </c>
      <c r="E366" s="136">
        <f t="shared" si="151"/>
        <v>-1</v>
      </c>
      <c r="F366" s="11">
        <f>+SUMIFS('2023'!Y:Y,'2023'!D:D,CRUCE!A366,'2023'!AS:AS,CRUCE!B366)</f>
        <v>0</v>
      </c>
      <c r="G366" s="136" t="e">
        <f t="shared" si="152"/>
        <v>#DIV/0!</v>
      </c>
      <c r="H366" s="11">
        <f>+SUMIFS('2024'!J:J,'2024'!D:D,CRUCE!A366,'2024'!AT:AT,CRUCE!B366)</f>
        <v>0</v>
      </c>
      <c r="I366" s="7" t="str">
        <f t="shared" si="189"/>
        <v>173Ministerio de Educación Nacional1522780551</v>
      </c>
      <c r="J366" s="7" t="str">
        <f t="shared" si="190"/>
        <v>173Ministerio de Educación Nacional0</v>
      </c>
      <c r="K366" s="7" t="str">
        <f t="shared" si="191"/>
        <v>173Ministerio de Educación Nacional0</v>
      </c>
      <c r="L366" s="7" t="str">
        <f t="shared" si="192"/>
        <v>173Ministerio de Educación Nacional0</v>
      </c>
      <c r="M366" t="s">
        <v>1906</v>
      </c>
      <c r="N366" s="136" t="e">
        <f t="shared" si="156"/>
        <v>#DIV/0!</v>
      </c>
      <c r="O366" s="136"/>
      <c r="P366" s="20" t="e">
        <f t="shared" si="153"/>
        <v>#DIV/0!</v>
      </c>
      <c r="S366" s="20" t="e">
        <f t="shared" si="154"/>
        <v>#DIV/0!</v>
      </c>
      <c r="V366" s="20" t="e">
        <f t="shared" si="155"/>
        <v>#DIV/0!</v>
      </c>
    </row>
    <row r="367" spans="1:22" hidden="1" x14ac:dyDescent="0.3">
      <c r="A367" s="5">
        <v>173</v>
      </c>
      <c r="B367" s="8" t="s">
        <v>616</v>
      </c>
      <c r="C367" s="11">
        <f>+SUMIFS('2021'!Z:Z,'2021'!D:D,CRUCE!A367,'2021'!AT:AT,CRUCE!B367)</f>
        <v>2012216.29</v>
      </c>
      <c r="D367" s="11">
        <f>+SUMIFS('2022'!Y:Y,'2022'!D:D,CRUCE!A367,'2022'!AS:AS,CRUCE!B367)</f>
        <v>187036.63</v>
      </c>
      <c r="E367" s="136">
        <f t="shared" si="151"/>
        <v>-0.90704944049528602</v>
      </c>
      <c r="F367" s="11">
        <f>+SUMIFS('2023'!Y:Y,'2023'!D:D,CRUCE!A367,'2023'!AS:AS,CRUCE!B367)</f>
        <v>0</v>
      </c>
      <c r="G367" s="136">
        <f t="shared" si="152"/>
        <v>-1</v>
      </c>
      <c r="H367" s="11">
        <f>+SUMIFS('2024'!J:J,'2024'!D:D,CRUCE!A367,'2024'!AT:AT,CRUCE!B367)</f>
        <v>0</v>
      </c>
      <c r="I367" s="7" t="str">
        <f t="shared" si="189"/>
        <v>173Rendimientos Financieros FOME2012216,29</v>
      </c>
      <c r="J367" s="7" t="str">
        <f t="shared" si="190"/>
        <v>173Rendimientos Financieros FOME187036,63</v>
      </c>
      <c r="K367" s="7" t="str">
        <f t="shared" si="191"/>
        <v>173Rendimientos Financieros FOME0</v>
      </c>
      <c r="L367" s="7" t="str">
        <f t="shared" si="192"/>
        <v>173Rendimientos Financieros FOME0</v>
      </c>
      <c r="M367" t="s">
        <v>1906</v>
      </c>
      <c r="N367" s="136">
        <f t="shared" si="156"/>
        <v>-0.95352472024764301</v>
      </c>
      <c r="O367" s="136"/>
      <c r="P367" s="20">
        <f t="shared" si="153"/>
        <v>0</v>
      </c>
      <c r="S367" s="20">
        <f t="shared" si="154"/>
        <v>0</v>
      </c>
      <c r="V367" s="20">
        <f t="shared" si="155"/>
        <v>0</v>
      </c>
    </row>
    <row r="368" spans="1:22" hidden="1" x14ac:dyDescent="0.3">
      <c r="A368" s="5">
        <v>174</v>
      </c>
      <c r="B368" s="8" t="s">
        <v>838</v>
      </c>
      <c r="C368" s="11">
        <f>+SUMIFS('2021'!Z:Z,'2021'!D:D,CRUCE!A368,'2021'!AT:AT,CRUCE!B368)</f>
        <v>0</v>
      </c>
      <c r="D368" s="11">
        <f>+SUMIFS('2022'!Y:Y,'2022'!D:D,CRUCE!A368,'2022'!AS:AS,CRUCE!B368)</f>
        <v>0</v>
      </c>
      <c r="E368" s="136" t="e">
        <f t="shared" si="151"/>
        <v>#DIV/0!</v>
      </c>
      <c r="F368" s="11">
        <f>+SUMIFS('2023'!Y:Y,'2023'!D:D,CRUCE!A368,'2023'!AS:AS,CRUCE!B368)</f>
        <v>0</v>
      </c>
      <c r="G368" s="136" t="e">
        <f t="shared" si="152"/>
        <v>#DIV/0!</v>
      </c>
      <c r="H368" s="11">
        <f>+SUMIFS('2024'!J:J,'2024'!D:D,CRUCE!A368,'2024'!AT:AT,CRUCE!B368)</f>
        <v>0</v>
      </c>
      <c r="I368" s="7" t="str">
        <f t="shared" si="189"/>
        <v>174Cofinanciación Nacional0</v>
      </c>
      <c r="J368" s="7" t="str">
        <f t="shared" si="190"/>
        <v>174Cofinanciación Nacional0</v>
      </c>
      <c r="K368" s="7" t="str">
        <f t="shared" si="191"/>
        <v>174Cofinanciación Nacional0</v>
      </c>
      <c r="L368" s="7" t="str">
        <f t="shared" si="192"/>
        <v>174Cofinanciación Nacional0</v>
      </c>
      <c r="M368" t="s">
        <v>1906</v>
      </c>
      <c r="N368" s="136" t="e">
        <f t="shared" si="156"/>
        <v>#DIV/0!</v>
      </c>
      <c r="O368" s="136"/>
      <c r="P368" s="20" t="e">
        <f t="shared" si="153"/>
        <v>#DIV/0!</v>
      </c>
      <c r="S368" s="20" t="e">
        <f t="shared" si="154"/>
        <v>#DIV/0!</v>
      </c>
      <c r="V368" s="20" t="e">
        <f t="shared" si="155"/>
        <v>#DIV/0!</v>
      </c>
    </row>
    <row r="369" spans="1:22" hidden="1" x14ac:dyDescent="0.3">
      <c r="A369" s="5">
        <v>174</v>
      </c>
      <c r="B369" s="8" t="s">
        <v>755</v>
      </c>
      <c r="C369" s="11">
        <f>+SUMIFS('2021'!Z:Z,'2021'!D:D,CRUCE!A369,'2021'!AT:AT,CRUCE!B369)</f>
        <v>8702487605</v>
      </c>
      <c r="D369" s="11">
        <f>+SUMIFS('2022'!Y:Y,'2022'!D:D,CRUCE!A369,'2022'!AS:AS,CRUCE!B369)</f>
        <v>0</v>
      </c>
      <c r="E369" s="136">
        <f t="shared" si="151"/>
        <v>-1</v>
      </c>
      <c r="F369" s="11">
        <f>+SUMIFS('2023'!Y:Y,'2023'!D:D,CRUCE!A369,'2023'!AS:AS,CRUCE!B369)</f>
        <v>0</v>
      </c>
      <c r="G369" s="136" t="e">
        <f t="shared" si="152"/>
        <v>#DIV/0!</v>
      </c>
      <c r="H369" s="11">
        <f>+SUMIFS('2024'!J:J,'2024'!D:D,CRUCE!A369,'2024'!AT:AT,CRUCE!B369)</f>
        <v>0</v>
      </c>
      <c r="I369" s="7" t="str">
        <f t="shared" si="189"/>
        <v>174Ley de punto Final 8702487605</v>
      </c>
      <c r="J369" s="7" t="str">
        <f t="shared" si="190"/>
        <v>174Ley de punto Final 0</v>
      </c>
      <c r="K369" s="7" t="str">
        <f t="shared" si="191"/>
        <v>174Ley de punto Final 0</v>
      </c>
      <c r="L369" s="7" t="str">
        <f t="shared" si="192"/>
        <v>174Ley de punto Final 0</v>
      </c>
      <c r="M369" t="s">
        <v>1906</v>
      </c>
      <c r="N369" s="136" t="e">
        <f t="shared" si="156"/>
        <v>#DIV/0!</v>
      </c>
      <c r="O369" s="136"/>
      <c r="P369" s="20" t="e">
        <f t="shared" si="153"/>
        <v>#DIV/0!</v>
      </c>
      <c r="S369" s="20" t="e">
        <f t="shared" si="154"/>
        <v>#DIV/0!</v>
      </c>
      <c r="V369" s="20" t="e">
        <f t="shared" si="155"/>
        <v>#DIV/0!</v>
      </c>
    </row>
    <row r="370" spans="1:22" hidden="1" x14ac:dyDescent="0.3">
      <c r="A370" s="5">
        <v>174</v>
      </c>
      <c r="B370" s="8" t="s">
        <v>1245</v>
      </c>
      <c r="C370" s="11">
        <f>+SUMIFS('2021'!Z:Z,'2021'!D:D,CRUCE!A370,'2021'!AT:AT,CRUCE!B370)</f>
        <v>0</v>
      </c>
      <c r="D370" s="11">
        <f>+SUMIFS('2022'!Y:Y,'2022'!D:D,CRUCE!A370,'2022'!AS:AS,CRUCE!B370)</f>
        <v>6443391987</v>
      </c>
      <c r="E370" s="136" t="e">
        <f t="shared" si="151"/>
        <v>#DIV/0!</v>
      </c>
      <c r="F370" s="11">
        <f>+SUMIFS('2023'!Y:Y,'2023'!D:D,CRUCE!A370,'2023'!AS:AS,CRUCE!B370)</f>
        <v>0</v>
      </c>
      <c r="G370" s="136">
        <f t="shared" si="152"/>
        <v>-1</v>
      </c>
      <c r="H370" s="11">
        <f>+SUMIFS('2024'!J:J,'2024'!D:D,CRUCE!A370,'2024'!AT:AT,CRUCE!B370)</f>
        <v>0</v>
      </c>
      <c r="I370" s="7" t="str">
        <f t="shared" si="189"/>
        <v>174Min. Salud - Resolución 1638 del Ministerio de Hacienda0</v>
      </c>
      <c r="J370" s="7" t="str">
        <f t="shared" si="190"/>
        <v>174Min. Salud - Resolución 1638 del Ministerio de Hacienda6443391987</v>
      </c>
      <c r="K370" s="7" t="str">
        <f t="shared" si="191"/>
        <v>174Min. Salud - Resolución 1638 del Ministerio de Hacienda0</v>
      </c>
      <c r="L370" s="7" t="str">
        <f t="shared" si="192"/>
        <v>174Min. Salud - Resolución 1638 del Ministerio de Hacienda0</v>
      </c>
      <c r="M370" t="s">
        <v>1906</v>
      </c>
      <c r="N370" s="136" t="e">
        <f t="shared" si="156"/>
        <v>#DIV/0!</v>
      </c>
      <c r="O370" s="136"/>
      <c r="P370" s="20" t="e">
        <f t="shared" si="153"/>
        <v>#DIV/0!</v>
      </c>
      <c r="S370" s="20" t="e">
        <f t="shared" si="154"/>
        <v>#DIV/0!</v>
      </c>
      <c r="V370" s="20" t="e">
        <f t="shared" si="155"/>
        <v>#DIV/0!</v>
      </c>
    </row>
    <row r="371" spans="1:22" x14ac:dyDescent="0.3">
      <c r="A371" s="5">
        <v>176</v>
      </c>
      <c r="B371" s="8" t="s">
        <v>1123</v>
      </c>
      <c r="C371" s="11">
        <f>+SUMIFS('2021'!Z:Z,'2021'!D:D,CRUCE!A371,'2021'!AT:AT,CRUCE!B371)</f>
        <v>6320426.5999999996</v>
      </c>
      <c r="D371" s="11">
        <f>+SUMIFS('2022'!Y:Y,'2022'!D:D,CRUCE!A371,'2022'!AS:AS,CRUCE!B371)</f>
        <v>27921261.129999999</v>
      </c>
      <c r="E371" s="136"/>
      <c r="F371" s="11">
        <f>+SUMIFS('2023'!Y:Y,'2023'!D:D,CRUCE!A371,'2023'!AS:AS,CRUCE!B371)</f>
        <v>137216463.16</v>
      </c>
      <c r="G371" s="136">
        <f t="shared" si="152"/>
        <v>3.9144077884278579</v>
      </c>
      <c r="H371" s="11">
        <f>+SUMIFS('2024'!J:J,'2024'!D:D,CRUCE!A371,'2024'!AT:AT,CRUCE!B371)</f>
        <v>5000000</v>
      </c>
      <c r="I371" s="7" t="str">
        <f t="shared" si="189"/>
        <v>176Depósitos Estampilla Prodesarrollo Pensiones 20%6320426,6</v>
      </c>
      <c r="J371" s="7" t="str">
        <f t="shared" si="190"/>
        <v>176Depósitos Estampilla Prodesarrollo Pensiones 20%27921261,13</v>
      </c>
      <c r="K371" s="7" t="str">
        <f t="shared" si="191"/>
        <v>176Depósitos Estampilla Prodesarrollo Pensiones 20%137216463,16</v>
      </c>
      <c r="L371" s="7" t="str">
        <f t="shared" si="192"/>
        <v>176Depósitos Estampilla Prodesarrollo Pensiones 20%5000000</v>
      </c>
      <c r="M371" t="s">
        <v>1906</v>
      </c>
      <c r="N371" s="136">
        <v>0.02</v>
      </c>
      <c r="O371" s="136"/>
      <c r="P371" s="20">
        <f>+H371*1.02</f>
        <v>5100000</v>
      </c>
      <c r="Q371" s="136">
        <f t="shared" ref="Q371:Q372" si="193">+N371</f>
        <v>0.02</v>
      </c>
      <c r="R371" s="136">
        <f t="shared" ref="R371:R372" si="194">+Q371</f>
        <v>0.02</v>
      </c>
      <c r="S371" s="20">
        <f>+P371*1.02</f>
        <v>5202000</v>
      </c>
      <c r="U371" s="136">
        <f t="shared" ref="U371:U372" si="195">+R371</f>
        <v>0.02</v>
      </c>
      <c r="V371" s="20">
        <f>+S371*1.02</f>
        <v>5306040</v>
      </c>
    </row>
    <row r="372" spans="1:22" x14ac:dyDescent="0.3">
      <c r="A372" s="5">
        <v>176</v>
      </c>
      <c r="B372" s="8" t="s">
        <v>1057</v>
      </c>
      <c r="C372" s="11">
        <f>+SUMIFS('2021'!Z:Z,'2021'!D:D,CRUCE!A372,'2021'!AT:AT,CRUCE!B372)</f>
        <v>1753681400</v>
      </c>
      <c r="D372" s="11">
        <f>+SUMIFS('2022'!Y:Y,'2022'!D:D,CRUCE!A372,'2022'!AS:AS,CRUCE!B372)</f>
        <v>2315471970</v>
      </c>
      <c r="E372" s="136">
        <v>0.19</v>
      </c>
      <c r="F372" s="11">
        <f>+SUMIFS('2023'!Y:Y,'2023'!D:D,CRUCE!A372,'2023'!AS:AS,CRUCE!B372)</f>
        <v>2765297234.5799999</v>
      </c>
      <c r="G372" s="136">
        <f t="shared" si="152"/>
        <v>0.19426936296706712</v>
      </c>
      <c r="H372" s="11">
        <v>3007889200</v>
      </c>
      <c r="I372" s="7" t="str">
        <f t="shared" si="189"/>
        <v>176Estampilla pro desarrollo departamental (20% Pension)1753681400</v>
      </c>
      <c r="J372" s="7" t="str">
        <f t="shared" si="190"/>
        <v>176Estampilla pro desarrollo departamental (20% Pension)2315471970</v>
      </c>
      <c r="K372" s="7" t="str">
        <f t="shared" si="191"/>
        <v>176Estampilla pro desarrollo departamental (20% Pension)2765297234,58</v>
      </c>
      <c r="L372" s="7" t="str">
        <f t="shared" si="192"/>
        <v>176Estampilla pro desarrollo departamental (20% Pension)3007889200</v>
      </c>
      <c r="M372" t="s">
        <v>1906</v>
      </c>
      <c r="N372" s="136">
        <v>0.19</v>
      </c>
      <c r="O372" s="136"/>
      <c r="P372" s="20">
        <f t="shared" si="153"/>
        <v>3579388148</v>
      </c>
      <c r="Q372" s="136">
        <f t="shared" si="193"/>
        <v>0.19</v>
      </c>
      <c r="R372" s="136">
        <f t="shared" si="194"/>
        <v>0.19</v>
      </c>
      <c r="S372" s="20">
        <f t="shared" si="154"/>
        <v>4259471896.1199999</v>
      </c>
      <c r="U372" s="136">
        <f t="shared" si="195"/>
        <v>0.19</v>
      </c>
      <c r="V372" s="20">
        <f t="shared" si="155"/>
        <v>5068771556.3828001</v>
      </c>
    </row>
    <row r="373" spans="1:22" hidden="1" x14ac:dyDescent="0.3">
      <c r="A373" s="5">
        <v>177</v>
      </c>
      <c r="B373" s="8" t="s">
        <v>1148</v>
      </c>
      <c r="C373" s="11">
        <f>+SUMIFS('2021'!Z:Z,'2021'!D:D,CRUCE!A373,'2021'!AT:AT,CRUCE!B373)</f>
        <v>6319796.04</v>
      </c>
      <c r="D373" s="11">
        <f>+SUMIFS('2022'!Y:Y,'2022'!D:D,CRUCE!A373,'2022'!AS:AS,CRUCE!B373)</f>
        <v>41881891.670000002</v>
      </c>
      <c r="E373" s="136">
        <f t="shared" si="151"/>
        <v>5.6270954639858921</v>
      </c>
      <c r="F373" s="11">
        <f>+SUMIFS('2023'!Y:Y,'2023'!D:D,CRUCE!A373,'2023'!AS:AS,CRUCE!B373)</f>
        <v>199334049.74000001</v>
      </c>
      <c r="G373" s="136">
        <f t="shared" si="152"/>
        <v>3.7594328190954891</v>
      </c>
      <c r="H373" s="11">
        <f>+SUMIFS('2024'!J:J,'2024'!D:D,CRUCE!A373,'2024'!AT:AT,CRUCE!B373)</f>
        <v>0</v>
      </c>
      <c r="I373" s="7" t="str">
        <f t="shared" si="189"/>
        <v>177Depósitos Estampillas Pro-Desarrollo 30%6319796,04</v>
      </c>
      <c r="J373" s="7" t="str">
        <f t="shared" si="190"/>
        <v>177Depósitos Estampillas Pro-Desarrollo 30%41881891,67</v>
      </c>
      <c r="K373" s="7" t="str">
        <f t="shared" si="191"/>
        <v>177Depósitos Estampillas Pro-Desarrollo 30%199334049,74</v>
      </c>
      <c r="L373" s="7" t="str">
        <f t="shared" si="192"/>
        <v>177Depósitos Estampillas Pro-Desarrollo 30%0</v>
      </c>
      <c r="M373" t="s">
        <v>1906</v>
      </c>
      <c r="N373" s="136">
        <f t="shared" si="156"/>
        <v>4.6932641415406904</v>
      </c>
      <c r="O373" s="136"/>
      <c r="P373" s="20">
        <f>+H373*1.02</f>
        <v>0</v>
      </c>
      <c r="S373" s="20">
        <f>+P373*1.02</f>
        <v>0</v>
      </c>
      <c r="V373" s="20">
        <f>+S373*1.02</f>
        <v>0</v>
      </c>
    </row>
    <row r="374" spans="1:22" x14ac:dyDescent="0.3">
      <c r="A374" s="5">
        <v>177</v>
      </c>
      <c r="B374" s="8" t="s">
        <v>1059</v>
      </c>
      <c r="C374" s="11">
        <f>+SUMIFS('2021'!Z:Z,'2021'!D:D,CRUCE!A374,'2021'!AT:AT,CRUCE!B374)</f>
        <v>1542033330</v>
      </c>
      <c r="D374" s="11">
        <f>+SUMIFS('2022'!Y:Y,'2022'!D:D,CRUCE!A374,'2022'!AS:AS,CRUCE!B374)</f>
        <v>3468930330.0100002</v>
      </c>
      <c r="E374" s="136">
        <v>0.19</v>
      </c>
      <c r="F374" s="11">
        <f>+SUMIFS('2023'!Y:Y,'2023'!D:D,CRUCE!A374,'2023'!AS:AS,CRUCE!B374)</f>
        <v>4145611021.8699999</v>
      </c>
      <c r="G374" s="136">
        <v>0.19</v>
      </c>
      <c r="H374" s="11">
        <v>4511833800</v>
      </c>
      <c r="I374" s="7" t="str">
        <f t="shared" si="189"/>
        <v>177Estampilla pro desarrollo departamental (30% Proyecta)1542033330</v>
      </c>
      <c r="J374" s="7" t="str">
        <f t="shared" si="190"/>
        <v>177Estampilla pro desarrollo departamental (30% Proyecta)3468930330,01</v>
      </c>
      <c r="K374" s="7" t="str">
        <f t="shared" si="191"/>
        <v>177Estampilla pro desarrollo departamental (30% Proyecta)4145611021,87</v>
      </c>
      <c r="L374" s="7" t="str">
        <f t="shared" si="192"/>
        <v>177Estampilla pro desarrollo departamental (30% Proyecta)4511833800</v>
      </c>
      <c r="M374" t="s">
        <v>1906</v>
      </c>
      <c r="N374" s="136">
        <v>0.19</v>
      </c>
      <c r="O374" s="136"/>
      <c r="P374" s="20">
        <f t="shared" si="153"/>
        <v>5369082222</v>
      </c>
      <c r="Q374" s="136">
        <f t="shared" ref="Q374:Q376" si="196">+N374</f>
        <v>0.19</v>
      </c>
      <c r="R374" s="136">
        <f t="shared" ref="R374:R376" si="197">+Q374</f>
        <v>0.19</v>
      </c>
      <c r="S374" s="20">
        <f t="shared" si="154"/>
        <v>6389207844.1800003</v>
      </c>
      <c r="U374" s="136">
        <f t="shared" ref="U374:U376" si="198">+R374</f>
        <v>0.19</v>
      </c>
      <c r="V374" s="20">
        <f t="shared" si="155"/>
        <v>7603157334.5742006</v>
      </c>
    </row>
    <row r="375" spans="1:22" x14ac:dyDescent="0.3">
      <c r="A375" s="5">
        <v>178</v>
      </c>
      <c r="B375" s="8" t="s">
        <v>1137</v>
      </c>
      <c r="C375" s="11">
        <f>+SUMIFS('2021'!Z:Z,'2021'!D:D,CRUCE!A375,'2021'!AT:AT,CRUCE!B375)</f>
        <v>3564888.44</v>
      </c>
      <c r="D375" s="11">
        <f>+SUMIFS('2022'!Y:Y,'2022'!D:D,CRUCE!A375,'2022'!AS:AS,CRUCE!B375)</f>
        <v>14287640.15</v>
      </c>
      <c r="E375" s="136">
        <f t="shared" si="151"/>
        <v>3.0078786168130414</v>
      </c>
      <c r="F375" s="11">
        <f>+SUMIFS('2023'!Y:Y,'2023'!D:D,CRUCE!A375,'2023'!AS:AS,CRUCE!B375)</f>
        <v>37883874.609999999</v>
      </c>
      <c r="G375" s="136">
        <f t="shared" si="152"/>
        <v>1.6515137708028012</v>
      </c>
      <c r="H375" s="11">
        <f>+SUMIFS('2024'!J:J,'2024'!D:D,CRUCE!A375,'2024'!AT:AT,CRUCE!B375)</f>
        <v>4004400</v>
      </c>
      <c r="I375" s="7" t="str">
        <f t="shared" si="189"/>
        <v>178Depósitos Estampilla Proadulto Pensiones 20%3564888,44</v>
      </c>
      <c r="J375" s="7" t="str">
        <f t="shared" si="190"/>
        <v>178Depósitos Estampilla Proadulto Pensiones 20%14287640,15</v>
      </c>
      <c r="K375" s="7" t="str">
        <f t="shared" si="191"/>
        <v>178Depósitos Estampilla Proadulto Pensiones 20%37883874,61</v>
      </c>
      <c r="L375" s="7" t="str">
        <f t="shared" si="192"/>
        <v>178Depósitos Estampilla Proadulto Pensiones 20%4004400</v>
      </c>
      <c r="M375" t="s">
        <v>1906</v>
      </c>
      <c r="N375" s="136">
        <v>0.05</v>
      </c>
      <c r="O375" s="136"/>
      <c r="P375" s="20">
        <f>+H375*1.02</f>
        <v>4084488</v>
      </c>
      <c r="Q375" s="136">
        <f t="shared" si="196"/>
        <v>0.05</v>
      </c>
      <c r="R375" s="136">
        <f t="shared" si="197"/>
        <v>0.05</v>
      </c>
      <c r="S375" s="20">
        <f>+P375*1.02</f>
        <v>4166177.7600000002</v>
      </c>
      <c r="U375" s="136">
        <f t="shared" si="198"/>
        <v>0.05</v>
      </c>
      <c r="V375" s="20">
        <f>+S375*1.02</f>
        <v>4249501.3152000001</v>
      </c>
    </row>
    <row r="376" spans="1:22" x14ac:dyDescent="0.3">
      <c r="A376" s="5">
        <v>178</v>
      </c>
      <c r="B376" s="8" t="s">
        <v>1052</v>
      </c>
      <c r="C376" s="11">
        <f>+SUMIFS('2021'!Z:Z,'2021'!D:D,CRUCE!A376,'2021'!AT:AT,CRUCE!B376)</f>
        <v>855519840.75999999</v>
      </c>
      <c r="D376" s="11">
        <f>+SUMIFS('2022'!Y:Y,'2022'!D:D,CRUCE!A376,'2022'!AS:AS,CRUCE!B376)</f>
        <v>1152714539.3</v>
      </c>
      <c r="E376" s="136">
        <f t="shared" si="151"/>
        <v>0.34738492829808298</v>
      </c>
      <c r="F376" s="11">
        <f>+SUMIFS('2023'!Y:Y,'2023'!D:D,CRUCE!A376,'2023'!AS:AS,CRUCE!B376)</f>
        <v>1703638777.5999999</v>
      </c>
      <c r="G376" s="136">
        <f t="shared" si="152"/>
        <v>0.47793640100571255</v>
      </c>
      <c r="H376" s="11">
        <f>+SUMIFS('2024'!J:J,'2024'!D:D,CRUCE!A376,'2024'!AT:AT,CRUCE!B376)</f>
        <v>1499524600</v>
      </c>
      <c r="I376" s="7" t="str">
        <f t="shared" si="189"/>
        <v>178Estampilla para el bienestar del adulto mayor (20% Pensiones)855519840,76</v>
      </c>
      <c r="J376" s="7" t="str">
        <f t="shared" si="190"/>
        <v>178Estampilla para el bienestar del adulto mayor (20% Pensiones)1152714539,3</v>
      </c>
      <c r="K376" s="7" t="str">
        <f t="shared" si="191"/>
        <v>178Estampilla para el bienestar del adulto mayor (20% Pensiones)1703638777,6</v>
      </c>
      <c r="L376" s="7" t="str">
        <f t="shared" si="192"/>
        <v>178Estampilla para el bienestar del adulto mayor (20% Pensiones)1499524600</v>
      </c>
      <c r="M376" t="s">
        <v>1906</v>
      </c>
      <c r="N376" s="136">
        <v>0.19</v>
      </c>
      <c r="O376" s="136"/>
      <c r="P376" s="20">
        <f t="shared" si="153"/>
        <v>1784434274</v>
      </c>
      <c r="Q376" s="136">
        <f t="shared" si="196"/>
        <v>0.19</v>
      </c>
      <c r="R376" s="136">
        <f t="shared" si="197"/>
        <v>0.19</v>
      </c>
      <c r="S376" s="20">
        <f t="shared" si="154"/>
        <v>2123476786.0599999</v>
      </c>
      <c r="U376" s="136">
        <f t="shared" si="198"/>
        <v>0.19</v>
      </c>
      <c r="V376" s="20">
        <f t="shared" si="155"/>
        <v>2526937375.4113998</v>
      </c>
    </row>
    <row r="377" spans="1:22" hidden="1" x14ac:dyDescent="0.3">
      <c r="A377" s="5">
        <v>179</v>
      </c>
      <c r="B377" s="8" t="s">
        <v>1154</v>
      </c>
      <c r="C377" s="11">
        <f>+SUMIFS('2021'!Z:Z,'2021'!D:D,CRUCE!A377,'2021'!AT:AT,CRUCE!B377)</f>
        <v>669757.79</v>
      </c>
      <c r="D377" s="11">
        <f>+SUMIFS('2022'!Y:Y,'2022'!D:D,CRUCE!A377,'2022'!AS:AS,CRUCE!B377)</f>
        <v>170623.11</v>
      </c>
      <c r="E377" s="136">
        <f t="shared" si="151"/>
        <v>-0.74524654651646538</v>
      </c>
      <c r="F377" s="11">
        <f>+SUMIFS('2023'!Y:Y,'2023'!D:D,CRUCE!A377,'2023'!AS:AS,CRUCE!B377)</f>
        <v>195572.01</v>
      </c>
      <c r="G377" s="136">
        <f t="shared" si="152"/>
        <v>0.14622227903359647</v>
      </c>
      <c r="H377" s="11">
        <f>+SUMIFS('2024'!J:J,'2024'!D:D,CRUCE!A377,'2024'!AT:AT,CRUCE!B377)</f>
        <v>0</v>
      </c>
      <c r="I377" s="7" t="str">
        <f t="shared" si="189"/>
        <v>179Depósitos Derechos del Monopolio e Impuesto al Consumo Deporte669757,79</v>
      </c>
      <c r="J377" s="7" t="str">
        <f t="shared" si="190"/>
        <v>179Depósitos Derechos del Monopolio e Impuesto al Consumo Deporte170623,11</v>
      </c>
      <c r="K377" s="7" t="str">
        <f t="shared" si="191"/>
        <v>179Depósitos Derechos del Monopolio e Impuesto al Consumo Deporte195572,01</v>
      </c>
      <c r="L377" s="7" t="str">
        <f t="shared" si="192"/>
        <v>179Depósitos Derechos del Monopolio e Impuesto al Consumo Deporte0</v>
      </c>
      <c r="M377" t="s">
        <v>1906</v>
      </c>
      <c r="N377" s="136">
        <f t="shared" si="156"/>
        <v>-0.29951213374143448</v>
      </c>
      <c r="O377" s="136"/>
      <c r="P377" s="20">
        <f>+H377*1.02</f>
        <v>0</v>
      </c>
      <c r="S377" s="20">
        <f>+P377*1.02</f>
        <v>0</v>
      </c>
      <c r="V377" s="20">
        <f>+S377*1.02</f>
        <v>0</v>
      </c>
    </row>
    <row r="378" spans="1:22" x14ac:dyDescent="0.3">
      <c r="A378" s="5">
        <v>179</v>
      </c>
      <c r="B378" s="8" t="s">
        <v>1096</v>
      </c>
      <c r="C378" s="11">
        <f>+SUMIFS('2021'!Z:Z,'2021'!D:D,CRUCE!A378,'2021'!AT:AT,CRUCE!B378)</f>
        <v>0</v>
      </c>
      <c r="D378" s="11">
        <f>+SUMIFS('2022'!Y:Y,'2022'!D:D,CRUCE!A378,'2022'!AS:AS,CRUCE!B378)</f>
        <v>9451986.4100000001</v>
      </c>
      <c r="E378" s="136" t="e">
        <f t="shared" si="151"/>
        <v>#DIV/0!</v>
      </c>
      <c r="F378" s="11">
        <f>+SUMIFS('2023'!Y:Y,'2023'!D:D,CRUCE!A378,'2023'!AS:AS,CRUCE!B378)</f>
        <v>2415690</v>
      </c>
      <c r="G378" s="136">
        <f t="shared" si="152"/>
        <v>-0.74442515094559891</v>
      </c>
      <c r="H378" s="139">
        <f>+SUMIFS('2024'!J:J,'2024'!D:D,CRUCE!A378,'2024'!AT:AT,CRUCE!B378)</f>
        <v>9402508.5099999998</v>
      </c>
      <c r="I378" s="7" t="str">
        <f t="shared" ref="I378:I394" si="199">+$A378&amp;$B378&amp;C378</f>
        <v>179Derechos de monopolio por la introducción de licores destilados de producción extranjera0</v>
      </c>
      <c r="J378" s="7" t="str">
        <f t="shared" ref="J378:J394" si="200">+$A378&amp;$B378&amp;D378</f>
        <v>179Derechos de monopolio por la introducción de licores destilados de producción extranjera9451986,41</v>
      </c>
      <c r="K378" s="7" t="str">
        <f t="shared" ref="K378:K394" si="201">+$A378&amp;$B378&amp;F378</f>
        <v>179Derechos de monopolio por la introducción de licores destilados de producción extranjera2415690</v>
      </c>
      <c r="L378" s="7" t="str">
        <f t="shared" ref="L378:L394" si="202">+$A378&amp;$B378&amp;H378</f>
        <v>179Derechos de monopolio por la introducción de licores destilados de producción extranjera9402508,51</v>
      </c>
      <c r="M378" t="s">
        <v>1906</v>
      </c>
      <c r="N378" s="136">
        <v>0.05</v>
      </c>
      <c r="O378" s="136"/>
      <c r="P378" s="20">
        <f t="shared" si="153"/>
        <v>9872633.9354999997</v>
      </c>
      <c r="Q378" s="136">
        <f t="shared" ref="Q378:Q382" si="203">+N378</f>
        <v>0.05</v>
      </c>
      <c r="R378" s="136">
        <f t="shared" ref="R378:R382" si="204">+Q378</f>
        <v>0.05</v>
      </c>
      <c r="S378" s="20">
        <f t="shared" si="154"/>
        <v>10366265.632275</v>
      </c>
      <c r="U378" s="136">
        <v>1</v>
      </c>
      <c r="V378" s="20">
        <f t="shared" si="155"/>
        <v>20732531.26455</v>
      </c>
    </row>
    <row r="379" spans="1:22" x14ac:dyDescent="0.3">
      <c r="A379" s="5">
        <v>179</v>
      </c>
      <c r="B379" s="8" t="s">
        <v>1093</v>
      </c>
      <c r="C379" s="11">
        <f>+SUMIFS('2021'!Z:Z,'2021'!D:D,CRUCE!A379,'2021'!AT:AT,CRUCE!B379)</f>
        <v>669089493.05999994</v>
      </c>
      <c r="D379" s="11">
        <f>+SUMIFS('2022'!Y:Y,'2022'!D:D,CRUCE!A379,'2022'!AS:AS,CRUCE!B379)</f>
        <v>16850442.43</v>
      </c>
      <c r="E379" s="136">
        <f t="shared" si="151"/>
        <v>-0.97481586154800237</v>
      </c>
      <c r="F379" s="11">
        <f>+SUMIFS('2023'!Y:Y,'2023'!D:D,CRUCE!A379,'2023'!AS:AS,CRUCE!B379)</f>
        <v>22737720</v>
      </c>
      <c r="G379" s="136">
        <f t="shared" si="152"/>
        <v>0.34938415382604293</v>
      </c>
      <c r="H379" s="139">
        <f>+SUMIFS('2024'!J:J,'2024'!D:D,CRUCE!A379,'2024'!AT:AT,CRUCE!B379)</f>
        <v>43610921.390000001</v>
      </c>
      <c r="I379" s="7" t="str">
        <f t="shared" si="199"/>
        <v>179Derechos de monopolio por la introducción de licores destilados de producción Nacional669089493,06</v>
      </c>
      <c r="J379" s="7" t="str">
        <f t="shared" si="200"/>
        <v>179Derechos de monopolio por la introducción de licores destilados de producción Nacional16850442,43</v>
      </c>
      <c r="K379" s="7" t="str">
        <f t="shared" si="201"/>
        <v>179Derechos de monopolio por la introducción de licores destilados de producción Nacional22737720</v>
      </c>
      <c r="L379" s="7" t="str">
        <f t="shared" si="202"/>
        <v>179Derechos de monopolio por la introducción de licores destilados de producción Nacional43610921,39</v>
      </c>
      <c r="M379" t="s">
        <v>1906</v>
      </c>
      <c r="N379" s="136">
        <v>0.05</v>
      </c>
      <c r="O379" s="136"/>
      <c r="P379" s="20">
        <f t="shared" si="153"/>
        <v>45791467.4595</v>
      </c>
      <c r="Q379" s="136">
        <f t="shared" si="203"/>
        <v>0.05</v>
      </c>
      <c r="R379" s="136">
        <f t="shared" si="204"/>
        <v>0.05</v>
      </c>
      <c r="S379" s="20">
        <f t="shared" si="154"/>
        <v>48081040.832474999</v>
      </c>
      <c r="U379" s="136">
        <v>1</v>
      </c>
      <c r="V379" s="20">
        <f t="shared" si="155"/>
        <v>96162081.664949998</v>
      </c>
    </row>
    <row r="380" spans="1:22" x14ac:dyDescent="0.3">
      <c r="A380" s="5">
        <v>179</v>
      </c>
      <c r="B380" s="8" t="s">
        <v>1108</v>
      </c>
      <c r="C380" s="11">
        <f>+SUMIFS('2021'!Z:Z,'2021'!D:D,CRUCE!A380,'2021'!AT:AT,CRUCE!B380)</f>
        <v>0</v>
      </c>
      <c r="D380" s="11">
        <f>+SUMIFS('2022'!Y:Y,'2022'!D:D,CRUCE!A380,'2022'!AS:AS,CRUCE!B380)</f>
        <v>232695543.72999999</v>
      </c>
      <c r="E380" s="136" t="e">
        <f t="shared" si="151"/>
        <v>#DIV/0!</v>
      </c>
      <c r="F380" s="11">
        <f>+SUMIFS('2023'!Y:Y,'2023'!D:D,CRUCE!A380,'2023'!AS:AS,CRUCE!B380)</f>
        <v>234063542.5</v>
      </c>
      <c r="G380" s="136">
        <f t="shared" si="152"/>
        <v>5.8789212207145643E-3</v>
      </c>
      <c r="H380" s="139">
        <f>+SUMIFS('2024'!J:J,'2024'!D:D,CRUCE!A380,'2024'!AT:AT,CRUCE!B380)</f>
        <v>228210777.84999999</v>
      </c>
      <c r="I380" s="7" t="str">
        <f t="shared" si="199"/>
        <v>179Participación por el consumo de licores destilados introducidos de producción extranjera recaudado p0</v>
      </c>
      <c r="J380" s="7" t="str">
        <f t="shared" si="200"/>
        <v>179Participación por el consumo de licores destilados introducidos de producción extranjera recaudado p232695543,73</v>
      </c>
      <c r="K380" s="7" t="str">
        <f t="shared" si="201"/>
        <v>179Participación por el consumo de licores destilados introducidos de producción extranjera recaudado p234063542,5</v>
      </c>
      <c r="L380" s="7" t="str">
        <f t="shared" si="202"/>
        <v>179Participación por el consumo de licores destilados introducidos de producción extranjera recaudado p228210777,85</v>
      </c>
      <c r="M380" t="s">
        <v>1906</v>
      </c>
      <c r="N380" s="136">
        <v>0.05</v>
      </c>
      <c r="O380" s="136"/>
      <c r="P380" s="20">
        <f t="shared" si="153"/>
        <v>239621316.74250001</v>
      </c>
      <c r="Q380" s="136">
        <f t="shared" si="203"/>
        <v>0.05</v>
      </c>
      <c r="R380" s="136">
        <f t="shared" si="204"/>
        <v>0.05</v>
      </c>
      <c r="S380" s="20">
        <f t="shared" si="154"/>
        <v>251602382.57962501</v>
      </c>
      <c r="U380" s="136">
        <v>1</v>
      </c>
      <c r="V380" s="20">
        <f t="shared" si="155"/>
        <v>503204765.15925002</v>
      </c>
    </row>
    <row r="381" spans="1:22" x14ac:dyDescent="0.3">
      <c r="A381" s="5">
        <v>179</v>
      </c>
      <c r="B381" s="8" t="s">
        <v>363</v>
      </c>
      <c r="C381" s="11">
        <f>+SUMIFS('2021'!Z:Z,'2021'!D:D,CRUCE!A381,'2021'!AT:AT,CRUCE!B381)</f>
        <v>0</v>
      </c>
      <c r="D381" s="11">
        <f>+SUMIFS('2022'!Y:Y,'2022'!D:D,CRUCE!A381,'2022'!AS:AS,CRUCE!B381)</f>
        <v>721274099.72000003</v>
      </c>
      <c r="E381" s="136" t="e">
        <f t="shared" si="151"/>
        <v>#DIV/0!</v>
      </c>
      <c r="F381" s="11">
        <f>+SUMIFS('2023'!Y:Y,'2023'!D:D,CRUCE!A381,'2023'!AS:AS,CRUCE!B381)</f>
        <v>765922403.32000005</v>
      </c>
      <c r="G381" s="136">
        <f t="shared" si="152"/>
        <v>6.1901992068386459E-2</v>
      </c>
      <c r="H381" s="139">
        <f>+SUMIFS('2024'!J:J,'2024'!D:D,CRUCE!A381,'2024'!AT:AT,CRUCE!B381)</f>
        <v>826885792.25</v>
      </c>
      <c r="I381" s="7" t="str">
        <f t="shared" si="199"/>
        <v>179Participación por el consumo de licores destilados introducidos de producción nacional0</v>
      </c>
      <c r="J381" s="7" t="str">
        <f t="shared" si="200"/>
        <v>179Participación por el consumo de licores destilados introducidos de producción nacional721274099,72</v>
      </c>
      <c r="K381" s="7" t="str">
        <f t="shared" si="201"/>
        <v>179Participación por el consumo de licores destilados introducidos de producción nacional765922403,32</v>
      </c>
      <c r="L381" s="7" t="str">
        <f t="shared" si="202"/>
        <v>179Participación por el consumo de licores destilados introducidos de producción nacional826885792,25</v>
      </c>
      <c r="M381" t="s">
        <v>1906</v>
      </c>
      <c r="N381" s="136">
        <v>0.05</v>
      </c>
      <c r="O381" s="136"/>
      <c r="P381" s="20">
        <f t="shared" si="153"/>
        <v>868230081.86249995</v>
      </c>
      <c r="Q381" s="136">
        <f t="shared" si="203"/>
        <v>0.05</v>
      </c>
      <c r="R381" s="136">
        <f t="shared" si="204"/>
        <v>0.05</v>
      </c>
      <c r="S381" s="20">
        <f t="shared" si="154"/>
        <v>911641585.95562494</v>
      </c>
      <c r="U381" s="136">
        <v>1</v>
      </c>
      <c r="V381" s="20">
        <f t="shared" si="155"/>
        <v>1823283171.9112499</v>
      </c>
    </row>
    <row r="382" spans="1:22" x14ac:dyDescent="0.3">
      <c r="A382" s="5">
        <v>180</v>
      </c>
      <c r="B382" s="8" t="s">
        <v>1423</v>
      </c>
      <c r="C382" s="11">
        <f>+SUMIFS('2021'!Z:Z,'2021'!D:D,CRUCE!A382,'2021'!AT:AT,CRUCE!B382)</f>
        <v>0</v>
      </c>
      <c r="D382" s="11">
        <f>+SUMIFS('2022'!Y:Y,'2022'!D:D,CRUCE!A382,'2022'!AS:AS,CRUCE!B382)</f>
        <v>0</v>
      </c>
      <c r="E382" s="136" t="e">
        <f t="shared" si="151"/>
        <v>#DIV/0!</v>
      </c>
      <c r="F382" s="11">
        <f>+SUMIFS('2023'!Y:Y,'2023'!D:D,CRUCE!A382,'2023'!AS:AS,CRUCE!B382)</f>
        <v>670949964</v>
      </c>
      <c r="G382" s="136" t="e">
        <f t="shared" si="152"/>
        <v>#DIV/0!</v>
      </c>
      <c r="H382" s="11">
        <f>+SUMIFS('2024'!J:J,'2024'!D:D,CRUCE!A382,'2024'!AT:AT,CRUCE!B382)</f>
        <v>617789000</v>
      </c>
      <c r="I382" s="7" t="str">
        <f t="shared" si="199"/>
        <v>180Min Salud Res 403 del 21 Marzo_23 para Cofinanciar el Procedimiento de Certificación  de Discapacida0</v>
      </c>
      <c r="J382" s="7" t="str">
        <f t="shared" si="200"/>
        <v>180Min Salud Res 403 del 21 Marzo_23 para Cofinanciar el Procedimiento de Certificación  de Discapacida0</v>
      </c>
      <c r="K382" s="7" t="str">
        <f t="shared" si="201"/>
        <v>180Min Salud Res 403 del 21 Marzo_23 para Cofinanciar el Procedimiento de Certificación  de Discapacida670949964</v>
      </c>
      <c r="L382" s="7" t="str">
        <f t="shared" si="202"/>
        <v>180Min Salud Res 403 del 21 Marzo_23 para Cofinanciar el Procedimiento de Certificación  de Discapacida617789000</v>
      </c>
      <c r="M382" t="s">
        <v>1906</v>
      </c>
      <c r="N382" s="136">
        <v>0.05</v>
      </c>
      <c r="O382" s="136"/>
      <c r="P382" s="20">
        <f t="shared" si="153"/>
        <v>648678450</v>
      </c>
      <c r="Q382" s="136">
        <f t="shared" si="203"/>
        <v>0.05</v>
      </c>
      <c r="R382" s="136">
        <f t="shared" si="204"/>
        <v>0.05</v>
      </c>
      <c r="S382" s="20">
        <f t="shared" si="154"/>
        <v>681112372.5</v>
      </c>
      <c r="U382" s="136">
        <f t="shared" ref="U382" si="205">+R382</f>
        <v>0.05</v>
      </c>
      <c r="V382" s="20">
        <f t="shared" si="155"/>
        <v>715167991.125</v>
      </c>
    </row>
    <row r="383" spans="1:22" hidden="1" x14ac:dyDescent="0.3">
      <c r="A383" s="5">
        <v>180</v>
      </c>
      <c r="B383" s="8" t="s">
        <v>749</v>
      </c>
      <c r="C383" s="11">
        <f>+SUMIFS('2021'!Z:Z,'2021'!D:D,CRUCE!A383,'2021'!AT:AT,CRUCE!B383)</f>
        <v>308966733</v>
      </c>
      <c r="D383" s="11">
        <f>+SUMIFS('2022'!Y:Y,'2022'!D:D,CRUCE!A383,'2022'!AS:AS,CRUCE!B383)</f>
        <v>0</v>
      </c>
      <c r="E383" s="136">
        <f t="shared" si="151"/>
        <v>-1</v>
      </c>
      <c r="F383" s="11">
        <f>+SUMIFS('2023'!Y:Y,'2023'!D:D,CRUCE!A383,'2023'!AS:AS,CRUCE!B383)</f>
        <v>0</v>
      </c>
      <c r="G383" s="136" t="e">
        <f t="shared" si="152"/>
        <v>#DIV/0!</v>
      </c>
      <c r="H383" s="11">
        <f>+SUMIFS('2024'!J:J,'2024'!D:D,CRUCE!A383,'2024'!AT:AT,CRUCE!B383)</f>
        <v>0</v>
      </c>
      <c r="I383" s="7" t="str">
        <f t="shared" si="199"/>
        <v>180Min. Salud - Resolución 367 Apoyo al Proceso de Certificación de Discapacidad Nacional308966733</v>
      </c>
      <c r="J383" s="7" t="str">
        <f t="shared" si="200"/>
        <v>180Min. Salud - Resolución 367 Apoyo al Proceso de Certificación de Discapacidad Nacional0</v>
      </c>
      <c r="K383" s="7" t="str">
        <f t="shared" si="201"/>
        <v>180Min. Salud - Resolución 367 Apoyo al Proceso de Certificación de Discapacidad Nacional0</v>
      </c>
      <c r="L383" s="7" t="str">
        <f t="shared" si="202"/>
        <v>180Min. Salud - Resolución 367 Apoyo al Proceso de Certificación de Discapacidad Nacional0</v>
      </c>
      <c r="M383" t="s">
        <v>1906</v>
      </c>
      <c r="N383" s="136" t="e">
        <f t="shared" si="156"/>
        <v>#DIV/0!</v>
      </c>
      <c r="O383" s="136"/>
      <c r="P383" s="20" t="e">
        <f t="shared" si="153"/>
        <v>#DIV/0!</v>
      </c>
      <c r="S383" s="20" t="e">
        <f t="shared" si="154"/>
        <v>#DIV/0!</v>
      </c>
      <c r="V383" s="20" t="e">
        <f t="shared" si="155"/>
        <v>#DIV/0!</v>
      </c>
    </row>
    <row r="384" spans="1:22" hidden="1" x14ac:dyDescent="0.3">
      <c r="A384" s="5">
        <v>180</v>
      </c>
      <c r="B384" s="8" t="s">
        <v>1253</v>
      </c>
      <c r="C384" s="11">
        <f>+SUMIFS('2021'!Z:Z,'2021'!D:D,CRUCE!A384,'2021'!AT:AT,CRUCE!B384)</f>
        <v>0</v>
      </c>
      <c r="D384" s="11">
        <f>+SUMIFS('2022'!Y:Y,'2022'!D:D,CRUCE!A384,'2022'!AS:AS,CRUCE!B384)</f>
        <v>420739920</v>
      </c>
      <c r="E384" s="136" t="e">
        <f t="shared" si="151"/>
        <v>#DIV/0!</v>
      </c>
      <c r="F384" s="11">
        <f>+SUMIFS('2023'!Y:Y,'2023'!D:D,CRUCE!A384,'2023'!AS:AS,CRUCE!B384)</f>
        <v>0</v>
      </c>
      <c r="G384" s="136">
        <f t="shared" si="152"/>
        <v>-1</v>
      </c>
      <c r="H384" s="11">
        <f>+SUMIFS('2024'!J:J,'2024'!D:D,CRUCE!A384,'2024'!AT:AT,CRUCE!B384)</f>
        <v>0</v>
      </c>
      <c r="I384" s="7" t="str">
        <f t="shared" si="199"/>
        <v>180Min. Salud Resolución 1739 de 2022. Apoyo proceso certificacion de Discapacidad Nacional.0</v>
      </c>
      <c r="J384" s="7" t="str">
        <f t="shared" si="200"/>
        <v>180Min. Salud Resolución 1739 de 2022. Apoyo proceso certificacion de Discapacidad Nacional.420739920</v>
      </c>
      <c r="K384" s="7" t="str">
        <f t="shared" si="201"/>
        <v>180Min. Salud Resolución 1739 de 2022. Apoyo proceso certificacion de Discapacidad Nacional.0</v>
      </c>
      <c r="L384" s="7" t="str">
        <f t="shared" si="202"/>
        <v>180Min. Salud Resolución 1739 de 2022. Apoyo proceso certificacion de Discapacidad Nacional.0</v>
      </c>
      <c r="M384" t="s">
        <v>1906</v>
      </c>
      <c r="N384" s="136" t="e">
        <f t="shared" si="156"/>
        <v>#DIV/0!</v>
      </c>
      <c r="O384" s="136"/>
      <c r="P384" s="20" t="e">
        <f t="shared" si="153"/>
        <v>#DIV/0!</v>
      </c>
      <c r="S384" s="20" t="e">
        <f t="shared" si="154"/>
        <v>#DIV/0!</v>
      </c>
      <c r="V384" s="20" t="e">
        <f t="shared" si="155"/>
        <v>#DIV/0!</v>
      </c>
    </row>
    <row r="385" spans="1:22" hidden="1" x14ac:dyDescent="0.3">
      <c r="A385" s="5">
        <v>181</v>
      </c>
      <c r="B385" s="8" t="s">
        <v>803</v>
      </c>
      <c r="C385" s="11">
        <f>+SUMIFS('2021'!Z:Z,'2021'!D:D,CRUCE!A385,'2021'!AT:AT,CRUCE!B385)</f>
        <v>0</v>
      </c>
      <c r="D385" s="11">
        <f>+SUMIFS('2022'!Y:Y,'2022'!D:D,CRUCE!A385,'2022'!AS:AS,CRUCE!B385)</f>
        <v>14621891</v>
      </c>
      <c r="E385" s="136" t="e">
        <f t="shared" si="151"/>
        <v>#DIV/0!</v>
      </c>
      <c r="F385" s="11">
        <f>+SUMIFS('2023'!Y:Y,'2023'!D:D,CRUCE!A385,'2023'!AS:AS,CRUCE!B385)</f>
        <v>0</v>
      </c>
      <c r="G385" s="136">
        <f t="shared" si="152"/>
        <v>-1</v>
      </c>
      <c r="H385" s="11">
        <f>+SUMIFS('2024'!J:J,'2024'!D:D,CRUCE!A385,'2024'!AT:AT,CRUCE!B385)</f>
        <v>0</v>
      </c>
      <c r="I385" s="7" t="str">
        <f t="shared" si="199"/>
        <v>181Colciencias 7%  Juegos Novedosos -otros-0</v>
      </c>
      <c r="J385" s="7" t="str">
        <f t="shared" si="200"/>
        <v>181Colciencias 7%  Juegos Novedosos -otros-14621891</v>
      </c>
      <c r="K385" s="7" t="str">
        <f t="shared" si="201"/>
        <v>181Colciencias 7%  Juegos Novedosos -otros-0</v>
      </c>
      <c r="L385" s="7" t="str">
        <f t="shared" si="202"/>
        <v>181Colciencias 7%  Juegos Novedosos -otros-0</v>
      </c>
      <c r="M385" t="s">
        <v>1906</v>
      </c>
      <c r="N385" s="136" t="e">
        <f t="shared" si="156"/>
        <v>#DIV/0!</v>
      </c>
      <c r="O385" s="136"/>
      <c r="P385" s="20" t="e">
        <f t="shared" si="153"/>
        <v>#DIV/0!</v>
      </c>
      <c r="S385" s="20" t="e">
        <f t="shared" si="154"/>
        <v>#DIV/0!</v>
      </c>
      <c r="V385" s="20" t="e">
        <f t="shared" si="155"/>
        <v>#DIV/0!</v>
      </c>
    </row>
    <row r="386" spans="1:22" hidden="1" x14ac:dyDescent="0.3">
      <c r="A386" s="5">
        <v>181</v>
      </c>
      <c r="B386" s="8" t="s">
        <v>801</v>
      </c>
      <c r="C386" s="11">
        <f>+SUMIFS('2021'!Z:Z,'2021'!D:D,CRUCE!A386,'2021'!AT:AT,CRUCE!B386)</f>
        <v>0</v>
      </c>
      <c r="D386" s="11">
        <f>+SUMIFS('2022'!Y:Y,'2022'!D:D,CRUCE!A386,'2022'!AS:AS,CRUCE!B386)</f>
        <v>11231305</v>
      </c>
      <c r="E386" s="136" t="e">
        <f t="shared" si="151"/>
        <v>#DIV/0!</v>
      </c>
      <c r="F386" s="11">
        <f>+SUMIFS('2023'!Y:Y,'2023'!D:D,CRUCE!A386,'2023'!AS:AS,CRUCE!B386)</f>
        <v>0</v>
      </c>
      <c r="G386" s="136">
        <f t="shared" si="152"/>
        <v>-1</v>
      </c>
      <c r="H386" s="11">
        <f>+SUMIFS('2024'!J:J,'2024'!D:D,CRUCE!A386,'2024'!AT:AT,CRUCE!B386)</f>
        <v>0</v>
      </c>
      <c r="I386" s="7" t="str">
        <f t="shared" ref="I386:I387" si="206">+$A386&amp;$B386&amp;C386</f>
        <v>181Colciencias 7%  Juegos Novedosos Super Astro0</v>
      </c>
      <c r="J386" s="7" t="str">
        <f t="shared" ref="J386:J387" si="207">+$A386&amp;$B386&amp;D386</f>
        <v>181Colciencias 7%  Juegos Novedosos Super Astro11231305</v>
      </c>
      <c r="K386" s="7" t="str">
        <f t="shared" ref="K386:K387" si="208">+$A386&amp;$B386&amp;F386</f>
        <v>181Colciencias 7%  Juegos Novedosos Super Astro0</v>
      </c>
      <c r="L386" s="7" t="str">
        <f t="shared" ref="L386:L387" si="209">+$A386&amp;$B386&amp;H386</f>
        <v>181Colciencias 7%  Juegos Novedosos Super Astro0</v>
      </c>
      <c r="M386" t="s">
        <v>1906</v>
      </c>
      <c r="N386" s="136" t="e">
        <f t="shared" si="156"/>
        <v>#DIV/0!</v>
      </c>
      <c r="O386" s="136"/>
      <c r="P386" s="20" t="e">
        <f t="shared" si="153"/>
        <v>#DIV/0!</v>
      </c>
      <c r="S386" s="20" t="e">
        <f t="shared" si="154"/>
        <v>#DIV/0!</v>
      </c>
      <c r="V386" s="20" t="e">
        <f t="shared" si="155"/>
        <v>#DIV/0!</v>
      </c>
    </row>
    <row r="387" spans="1:22" x14ac:dyDescent="0.3">
      <c r="A387" s="5">
        <v>181</v>
      </c>
      <c r="B387" s="8" t="s">
        <v>771</v>
      </c>
      <c r="C387" s="11">
        <f>+SUMIFS('2021'!Z:Z,'2021'!D:D,CRUCE!A387,'2021'!AT:AT,CRUCE!B387)</f>
        <v>92754381</v>
      </c>
      <c r="D387" s="11">
        <f>+SUMIFS('2022'!Y:Y,'2022'!D:D,CRUCE!A387,'2022'!AS:AS,CRUCE!B387)</f>
        <v>46395355</v>
      </c>
      <c r="E387" s="136">
        <f t="shared" si="151"/>
        <v>-0.49980416558437279</v>
      </c>
      <c r="F387" s="11">
        <f>+SUMIFS('2023'!Y:Y,'2023'!D:D,CRUCE!A387,'2023'!AS:AS,CRUCE!B387)</f>
        <v>32314436</v>
      </c>
      <c r="G387" s="136">
        <f t="shared" si="152"/>
        <v>-0.30349846444757239</v>
      </c>
      <c r="H387" s="11">
        <f>+SUMIFS('2024'!J:J,'2024'!D:D,CRUCE!A387,'2024'!AT:AT,CRUCE!B387)</f>
        <v>31605524.399999999</v>
      </c>
      <c r="I387" s="7" t="str">
        <f t="shared" si="206"/>
        <v>181Colciencias 7%  Sorteo Extraordinario92754381</v>
      </c>
      <c r="J387" s="7" t="str">
        <f t="shared" si="207"/>
        <v>181Colciencias 7%  Sorteo Extraordinario46395355</v>
      </c>
      <c r="K387" s="7" t="str">
        <f t="shared" si="208"/>
        <v>181Colciencias 7%  Sorteo Extraordinario32314436</v>
      </c>
      <c r="L387" s="7" t="str">
        <f t="shared" si="209"/>
        <v>181Colciencias 7%  Sorteo Extraordinario31605524,4</v>
      </c>
      <c r="M387" t="s">
        <v>1906</v>
      </c>
      <c r="N387" s="136">
        <v>0.05</v>
      </c>
      <c r="O387" s="136"/>
      <c r="P387" s="20">
        <f t="shared" si="153"/>
        <v>33185800.619999997</v>
      </c>
      <c r="Q387" s="136">
        <f t="shared" ref="Q387:Q388" si="210">+N387</f>
        <v>0.05</v>
      </c>
      <c r="R387" s="136">
        <f t="shared" ref="R387:R388" si="211">+Q387</f>
        <v>0.05</v>
      </c>
      <c r="S387" s="20">
        <f t="shared" si="154"/>
        <v>34845090.651000001</v>
      </c>
      <c r="U387" s="136">
        <f t="shared" ref="U387:U388" si="212">+R387</f>
        <v>0.05</v>
      </c>
      <c r="V387" s="20">
        <f t="shared" si="155"/>
        <v>36587345.18355</v>
      </c>
    </row>
    <row r="388" spans="1:22" x14ac:dyDescent="0.3">
      <c r="A388" s="5">
        <v>181</v>
      </c>
      <c r="B388" s="8" t="s">
        <v>773</v>
      </c>
      <c r="C388" s="11">
        <f>+SUMIFS('2021'!Z:Z,'2021'!D:D,CRUCE!A388,'2021'!AT:AT,CRUCE!B388)</f>
        <v>120936051</v>
      </c>
      <c r="D388" s="11">
        <f>+SUMIFS('2022'!Y:Y,'2022'!D:D,CRUCE!A388,'2022'!AS:AS,CRUCE!B388)</f>
        <v>151052428</v>
      </c>
      <c r="E388" s="136">
        <f t="shared" ref="E388:E451" si="213">+(D388-C388)/C388</f>
        <v>0.24902728963756224</v>
      </c>
      <c r="F388" s="11">
        <f>+SUMIFS('2023'!Y:Y,'2023'!D:D,CRUCE!A388,'2023'!AS:AS,CRUCE!B388)</f>
        <v>166802206</v>
      </c>
      <c r="G388" s="136">
        <f t="shared" ref="G388:G451" si="214">+(F388-D388)/D388</f>
        <v>0.10426696352077174</v>
      </c>
      <c r="H388" s="11">
        <f>+SUMIFS('2024'!J:J,'2024'!D:D,CRUCE!A388,'2024'!AT:AT,CRUCE!B388)</f>
        <v>158117297.19</v>
      </c>
      <c r="I388" s="7" t="str">
        <f t="shared" si="199"/>
        <v>181Colciencias 7% Explotacion Sorteo Ordinario120936051</v>
      </c>
      <c r="J388" s="7" t="str">
        <f t="shared" si="200"/>
        <v>181Colciencias 7% Explotacion Sorteo Ordinario151052428</v>
      </c>
      <c r="K388" s="7" t="str">
        <f t="shared" si="201"/>
        <v>181Colciencias 7% Explotacion Sorteo Ordinario166802206</v>
      </c>
      <c r="L388" s="7" t="str">
        <f t="shared" si="202"/>
        <v>181Colciencias 7% Explotacion Sorteo Ordinario158117297,19</v>
      </c>
      <c r="M388" t="s">
        <v>1906</v>
      </c>
      <c r="N388" s="136">
        <v>0.05</v>
      </c>
      <c r="O388" s="136"/>
      <c r="P388" s="20">
        <f t="shared" ref="P388:P451" si="215">+H388+(H388*N388)</f>
        <v>166023162.04949999</v>
      </c>
      <c r="Q388" s="136">
        <f t="shared" si="210"/>
        <v>0.05</v>
      </c>
      <c r="R388" s="136">
        <f t="shared" si="211"/>
        <v>0.05</v>
      </c>
      <c r="S388" s="20">
        <f t="shared" ref="S388:S451" si="216">+P388+(P388*R388)</f>
        <v>174324320.15197498</v>
      </c>
      <c r="U388" s="136">
        <f t="shared" si="212"/>
        <v>0.05</v>
      </c>
      <c r="V388" s="20">
        <f t="shared" ref="V388:V451" si="217">+S388+(S388*U388)</f>
        <v>183040536.15957373</v>
      </c>
    </row>
    <row r="389" spans="1:22" hidden="1" x14ac:dyDescent="0.3">
      <c r="A389" s="5">
        <v>181</v>
      </c>
      <c r="B389" s="8" t="s">
        <v>660</v>
      </c>
      <c r="C389" s="11">
        <f>+SUMIFS('2021'!Z:Z,'2021'!D:D,CRUCE!A389,'2021'!AT:AT,CRUCE!B389)</f>
        <v>2973319</v>
      </c>
      <c r="D389" s="11">
        <f>+SUMIFS('2022'!Y:Y,'2022'!D:D,CRUCE!A389,'2022'!AS:AS,CRUCE!B389)</f>
        <v>8730925</v>
      </c>
      <c r="E389" s="136">
        <f t="shared" si="213"/>
        <v>1.9364239087699637</v>
      </c>
      <c r="F389" s="11">
        <f>+SUMIFS('2023'!Y:Y,'2023'!D:D,CRUCE!A389,'2023'!AS:AS,CRUCE!B389)</f>
        <v>7530627</v>
      </c>
      <c r="G389" s="136">
        <f t="shared" si="214"/>
        <v>-0.13747661330271421</v>
      </c>
      <c r="H389" s="11">
        <f>+SUMIFS('2024'!J:J,'2024'!D:D,CRUCE!A389,'2024'!AT:AT,CRUCE!B389)</f>
        <v>0</v>
      </c>
      <c r="I389" s="7" t="str">
        <f t="shared" si="199"/>
        <v>181Colciencias 7% Impuesto a Ganadores Sorteo Extraordinario2973319</v>
      </c>
      <c r="J389" s="7" t="str">
        <f t="shared" si="200"/>
        <v>181Colciencias 7% Impuesto a Ganadores Sorteo Extraordinario8730925</v>
      </c>
      <c r="K389" s="7" t="str">
        <f t="shared" si="201"/>
        <v>181Colciencias 7% Impuesto a Ganadores Sorteo Extraordinario7530627</v>
      </c>
      <c r="L389" s="7" t="str">
        <f t="shared" si="202"/>
        <v>181Colciencias 7% Impuesto a Ganadores Sorteo Extraordinario0</v>
      </c>
      <c r="M389" t="s">
        <v>1906</v>
      </c>
      <c r="N389" s="136">
        <f t="shared" si="156"/>
        <v>0.8994736477336247</v>
      </c>
      <c r="O389" s="136"/>
      <c r="P389" s="20">
        <f t="shared" si="215"/>
        <v>0</v>
      </c>
      <c r="S389" s="20">
        <f t="shared" si="216"/>
        <v>0</v>
      </c>
      <c r="V389" s="20">
        <f t="shared" si="217"/>
        <v>0</v>
      </c>
    </row>
    <row r="390" spans="1:22" hidden="1" x14ac:dyDescent="0.3">
      <c r="A390" s="5">
        <v>181</v>
      </c>
      <c r="B390" s="8" t="s">
        <v>663</v>
      </c>
      <c r="C390" s="11">
        <f>+SUMIFS('2021'!Z:Z,'2021'!D:D,CRUCE!A390,'2021'!AT:AT,CRUCE!B390)</f>
        <v>49162362</v>
      </c>
      <c r="D390" s="11">
        <f>+SUMIFS('2022'!Y:Y,'2022'!D:D,CRUCE!A390,'2022'!AS:AS,CRUCE!B390)</f>
        <v>51487623</v>
      </c>
      <c r="E390" s="136">
        <f t="shared" si="213"/>
        <v>4.7297585091619479E-2</v>
      </c>
      <c r="F390" s="11">
        <f>+SUMIFS('2023'!Y:Y,'2023'!D:D,CRUCE!A390,'2023'!AS:AS,CRUCE!B390)</f>
        <v>78127226</v>
      </c>
      <c r="G390" s="136">
        <f t="shared" si="214"/>
        <v>0.51739819101767426</v>
      </c>
      <c r="H390" s="11">
        <f>+SUMIFS('2024'!J:J,'2024'!D:D,CRUCE!A390,'2024'!AT:AT,CRUCE!B390)</f>
        <v>0</v>
      </c>
      <c r="I390" s="7" t="str">
        <f t="shared" si="199"/>
        <v>181Colciencias 7% Impuesto a Ganadores Sorteo ordinario49162362</v>
      </c>
      <c r="J390" s="7" t="str">
        <f t="shared" si="200"/>
        <v>181Colciencias 7% Impuesto a Ganadores Sorteo ordinario51487623</v>
      </c>
      <c r="K390" s="7" t="str">
        <f t="shared" si="201"/>
        <v>181Colciencias 7% Impuesto a Ganadores Sorteo ordinario78127226</v>
      </c>
      <c r="L390" s="7" t="str">
        <f t="shared" si="202"/>
        <v>181Colciencias 7% Impuesto a Ganadores Sorteo ordinario0</v>
      </c>
      <c r="M390" t="s">
        <v>1906</v>
      </c>
      <c r="N390" s="136">
        <f t="shared" si="156"/>
        <v>0.28234788805464689</v>
      </c>
      <c r="O390" s="136"/>
      <c r="P390" s="20">
        <f t="shared" si="215"/>
        <v>0</v>
      </c>
      <c r="S390" s="20">
        <f t="shared" si="216"/>
        <v>0</v>
      </c>
      <c r="V390" s="20">
        <f t="shared" si="217"/>
        <v>0</v>
      </c>
    </row>
    <row r="391" spans="1:22" x14ac:dyDescent="0.3">
      <c r="A391" s="5">
        <v>181</v>
      </c>
      <c r="B391" s="8" t="s">
        <v>781</v>
      </c>
      <c r="C391" s="11">
        <f>+SUMIFS('2021'!Z:Z,'2021'!D:D,CRUCE!A391,'2021'!AT:AT,CRUCE!B391)</f>
        <v>0</v>
      </c>
      <c r="D391" s="11">
        <f>+SUMIFS('2022'!Y:Y,'2022'!D:D,CRUCE!A391,'2022'!AS:AS,CRUCE!B391)</f>
        <v>507818304</v>
      </c>
      <c r="E391" s="136" t="e">
        <f t="shared" si="213"/>
        <v>#DIV/0!</v>
      </c>
      <c r="F391" s="11">
        <f>+SUMIFS('2023'!Y:Y,'2023'!D:D,CRUCE!A391,'2023'!AS:AS,CRUCE!B391)</f>
        <v>509208042</v>
      </c>
      <c r="G391" s="136">
        <f t="shared" si="214"/>
        <v>2.736683552076138E-3</v>
      </c>
      <c r="H391" s="11">
        <f>+SUMIFS('2024'!J:J,'2024'!D:D,CRUCE!A391,'2024'!AT:AT,CRUCE!B391)</f>
        <v>458886608.83999997</v>
      </c>
      <c r="I391" s="7" t="str">
        <f t="shared" si="199"/>
        <v>181Colciencias 7% Juegos Y Apuestas Permanentes0</v>
      </c>
      <c r="J391" s="7" t="str">
        <f t="shared" si="200"/>
        <v>181Colciencias 7% Juegos Y Apuestas Permanentes507818304</v>
      </c>
      <c r="K391" s="7" t="str">
        <f t="shared" si="201"/>
        <v>181Colciencias 7% Juegos Y Apuestas Permanentes509208042</v>
      </c>
      <c r="L391" s="7" t="str">
        <f t="shared" si="202"/>
        <v>181Colciencias 7% Juegos Y Apuestas Permanentes458886608,84</v>
      </c>
      <c r="M391" t="s">
        <v>1906</v>
      </c>
      <c r="N391" s="136">
        <v>0.05</v>
      </c>
      <c r="O391" s="136"/>
      <c r="P391" s="20">
        <f t="shared" si="215"/>
        <v>481830939.28199995</v>
      </c>
      <c r="Q391" s="136">
        <f>+N391</f>
        <v>0.05</v>
      </c>
      <c r="R391" s="136">
        <f>+Q391</f>
        <v>0.05</v>
      </c>
      <c r="S391" s="20">
        <f t="shared" si="216"/>
        <v>505922486.24609995</v>
      </c>
      <c r="U391" s="136">
        <f>+R391</f>
        <v>0.05</v>
      </c>
      <c r="V391" s="20">
        <f t="shared" si="217"/>
        <v>531218610.55840492</v>
      </c>
    </row>
    <row r="392" spans="1:22" hidden="1" x14ac:dyDescent="0.3">
      <c r="A392" s="5">
        <v>181</v>
      </c>
      <c r="B392" s="8" t="s">
        <v>672</v>
      </c>
      <c r="C392" s="11">
        <f>+SUMIFS('2021'!Z:Z,'2021'!D:D,CRUCE!A392,'2021'!AT:AT,CRUCE!B392)</f>
        <v>38271489.5</v>
      </c>
      <c r="D392" s="11">
        <f>+SUMIFS('2022'!Y:Y,'2022'!D:D,CRUCE!A392,'2022'!AS:AS,CRUCE!B392)</f>
        <v>50331593.270000003</v>
      </c>
      <c r="E392" s="136">
        <f t="shared" si="213"/>
        <v>0.31511979093471143</v>
      </c>
      <c r="F392" s="11">
        <f>+SUMIFS('2023'!Y:Y,'2023'!D:D,CRUCE!A392,'2023'!AS:AS,CRUCE!B392)</f>
        <v>58261021.5</v>
      </c>
      <c r="G392" s="136">
        <f t="shared" si="214"/>
        <v>0.15754375561813</v>
      </c>
      <c r="H392" s="11">
        <f>+SUMIFS('2024'!J:J,'2024'!D:D,CRUCE!A392,'2024'!AT:AT,CRUCE!B392)</f>
        <v>0</v>
      </c>
      <c r="I392" s="7" t="str">
        <f t="shared" si="199"/>
        <v>181Colciencias 7% Loterias Foraneas38271489,5</v>
      </c>
      <c r="J392" s="7" t="str">
        <f t="shared" si="200"/>
        <v>181Colciencias 7% Loterias Foraneas50331593,27</v>
      </c>
      <c r="K392" s="7" t="str">
        <f t="shared" si="201"/>
        <v>181Colciencias 7% Loterias Foraneas58261021,5</v>
      </c>
      <c r="L392" s="7" t="str">
        <f t="shared" si="202"/>
        <v>181Colciencias 7% Loterias Foraneas0</v>
      </c>
      <c r="M392" t="s">
        <v>1906</v>
      </c>
      <c r="N392" s="136">
        <f t="shared" ref="N392:N455" si="218">+(E392+G392)/2</f>
        <v>0.23633177327642071</v>
      </c>
      <c r="O392" s="136"/>
      <c r="P392" s="20">
        <f t="shared" si="215"/>
        <v>0</v>
      </c>
      <c r="S392" s="20">
        <f t="shared" si="216"/>
        <v>0</v>
      </c>
      <c r="V392" s="20">
        <f t="shared" si="217"/>
        <v>0</v>
      </c>
    </row>
    <row r="393" spans="1:22" x14ac:dyDescent="0.3">
      <c r="A393" s="5">
        <v>181</v>
      </c>
      <c r="B393" s="8" t="s">
        <v>789</v>
      </c>
      <c r="C393" s="11">
        <f>+SUMIFS('2021'!Z:Z,'2021'!D:D,CRUCE!A393,'2021'!AT:AT,CRUCE!B393)</f>
        <v>481670</v>
      </c>
      <c r="D393" s="11">
        <f>+SUMIFS('2022'!Y:Y,'2022'!D:D,CRUCE!A393,'2022'!AS:AS,CRUCE!B393)</f>
        <v>1906874</v>
      </c>
      <c r="E393" s="136">
        <f t="shared" si="213"/>
        <v>2.9588805613801981</v>
      </c>
      <c r="F393" s="11">
        <f>+SUMIFS('2023'!Y:Y,'2023'!D:D,CRUCE!A393,'2023'!AS:AS,CRUCE!B393)</f>
        <v>2316917</v>
      </c>
      <c r="G393" s="136">
        <f t="shared" si="214"/>
        <v>0.21503413440007049</v>
      </c>
      <c r="H393" s="11">
        <f>+SUMIFS('2024'!J:J,'2024'!D:D,CRUCE!A393,'2024'!AT:AT,CRUCE!B393)</f>
        <v>2251199.5699999998</v>
      </c>
      <c r="I393" s="7" t="str">
        <f t="shared" si="199"/>
        <v>181Colciencias 7% Rifas Departamentales481670</v>
      </c>
      <c r="J393" s="7" t="str">
        <f t="shared" si="200"/>
        <v>181Colciencias 7% Rifas Departamentales1906874</v>
      </c>
      <c r="K393" s="7" t="str">
        <f t="shared" si="201"/>
        <v>181Colciencias 7% Rifas Departamentales2316917</v>
      </c>
      <c r="L393" s="7" t="str">
        <f t="shared" si="202"/>
        <v>181Colciencias 7% Rifas Departamentales2251199,57</v>
      </c>
      <c r="M393" t="s">
        <v>1906</v>
      </c>
      <c r="N393" s="136">
        <v>0.05</v>
      </c>
      <c r="O393" s="136"/>
      <c r="P393" s="20">
        <f t="shared" si="215"/>
        <v>2363759.5485</v>
      </c>
      <c r="Q393" s="136">
        <f>+N393</f>
        <v>0.05</v>
      </c>
      <c r="R393" s="136">
        <f>+Q393</f>
        <v>0.05</v>
      </c>
      <c r="S393" s="20">
        <f t="shared" si="216"/>
        <v>2481947.5259250002</v>
      </c>
      <c r="U393" s="136">
        <f>+R393</f>
        <v>0.05</v>
      </c>
      <c r="V393" s="20">
        <f t="shared" si="217"/>
        <v>2606044.9022212503</v>
      </c>
    </row>
    <row r="394" spans="1:22" hidden="1" x14ac:dyDescent="0.3">
      <c r="A394" s="5">
        <v>181</v>
      </c>
      <c r="B394" s="8" t="s">
        <v>1847</v>
      </c>
      <c r="C394" s="11">
        <f>+SUMIFS('2021'!Z:Z,'2021'!D:D,CRUCE!A394,'2021'!AT:AT,CRUCE!B394)</f>
        <v>0</v>
      </c>
      <c r="D394" s="11">
        <f>+SUMIFS('2022'!Y:Y,'2022'!D:D,CRUCE!A394,'2022'!AS:AS,CRUCE!B394)</f>
        <v>0</v>
      </c>
      <c r="E394" s="136" t="e">
        <f t="shared" si="213"/>
        <v>#DIV/0!</v>
      </c>
      <c r="F394" s="11">
        <f>+SUMIFS('2023'!Y:Y,'2023'!D:D,CRUCE!A394,'2023'!AS:AS,CRUCE!B394)</f>
        <v>0</v>
      </c>
      <c r="G394" s="136" t="e">
        <f t="shared" si="214"/>
        <v>#DIV/0!</v>
      </c>
      <c r="H394" s="11">
        <f>+SUMIFS('2024'!J:J,'2024'!D:D,CRUCE!A394,'2024'!AT:AT,CRUCE!B394)</f>
        <v>0</v>
      </c>
      <c r="I394" s="7" t="str">
        <f t="shared" si="199"/>
        <v>181RECURSOS FONPET COLJUEGOS ADRES 0</v>
      </c>
      <c r="J394" s="7" t="str">
        <f t="shared" si="200"/>
        <v>181RECURSOS FONPET COLJUEGOS ADRES 0</v>
      </c>
      <c r="K394" s="7" t="str">
        <f t="shared" si="201"/>
        <v>181RECURSOS FONPET COLJUEGOS ADRES 0</v>
      </c>
      <c r="L394" s="7" t="str">
        <f t="shared" si="202"/>
        <v>181RECURSOS FONPET COLJUEGOS ADRES 0</v>
      </c>
      <c r="M394" t="s">
        <v>1906</v>
      </c>
      <c r="N394" s="136" t="e">
        <f t="shared" si="218"/>
        <v>#DIV/0!</v>
      </c>
      <c r="O394" s="136"/>
      <c r="P394" s="20" t="e">
        <f t="shared" si="215"/>
        <v>#DIV/0!</v>
      </c>
      <c r="S394" s="20" t="e">
        <f t="shared" si="216"/>
        <v>#DIV/0!</v>
      </c>
      <c r="V394" s="20" t="e">
        <f t="shared" si="217"/>
        <v>#DIV/0!</v>
      </c>
    </row>
    <row r="395" spans="1:22" hidden="1" x14ac:dyDescent="0.3">
      <c r="A395" s="5">
        <v>182</v>
      </c>
      <c r="B395" s="8" t="s">
        <v>801</v>
      </c>
      <c r="C395" s="11">
        <f>+SUMIFS('2021'!Z:Z,'2021'!D:D,CRUCE!A395,'2021'!AT:AT,CRUCE!B395)</f>
        <v>0</v>
      </c>
      <c r="D395" s="11">
        <f>+SUMIFS('2022'!Y:Y,'2022'!D:D,CRUCE!A395,'2022'!AS:AS,CRUCE!B395)</f>
        <v>0</v>
      </c>
      <c r="E395" s="136" t="e">
        <f t="shared" si="213"/>
        <v>#DIV/0!</v>
      </c>
      <c r="F395" s="11">
        <f>+SUMIFS('2023'!Y:Y,'2023'!D:D,CRUCE!A395,'2023'!AS:AS,CRUCE!B395)</f>
        <v>0</v>
      </c>
      <c r="G395" s="136" t="e">
        <f t="shared" si="214"/>
        <v>#DIV/0!</v>
      </c>
      <c r="H395" s="11">
        <f>+SUMIFS('2024'!J:J,'2024'!D:D,CRUCE!A395,'2024'!AT:AT,CRUCE!B395)</f>
        <v>0</v>
      </c>
      <c r="I395" s="7" t="str">
        <f t="shared" ref="I395:I406" si="219">+$A395&amp;$B395&amp;C395</f>
        <v>182Colciencias 7%  Juegos Novedosos Super Astro0</v>
      </c>
      <c r="J395" s="7" t="str">
        <f t="shared" ref="J395:J406" si="220">+$A395&amp;$B395&amp;D395</f>
        <v>182Colciencias 7%  Juegos Novedosos Super Astro0</v>
      </c>
      <c r="K395" s="7" t="str">
        <f t="shared" ref="K395:K406" si="221">+$A395&amp;$B395&amp;F395</f>
        <v>182Colciencias 7%  Juegos Novedosos Super Astro0</v>
      </c>
      <c r="L395" s="7" t="str">
        <f t="shared" ref="L395:L406" si="222">+$A395&amp;$B395&amp;H395</f>
        <v>182Colciencias 7%  Juegos Novedosos Super Astro0</v>
      </c>
      <c r="M395" t="s">
        <v>1906</v>
      </c>
      <c r="N395" s="136" t="e">
        <f t="shared" si="218"/>
        <v>#DIV/0!</v>
      </c>
      <c r="O395" s="136"/>
      <c r="P395" s="20" t="e">
        <f t="shared" si="215"/>
        <v>#DIV/0!</v>
      </c>
      <c r="S395" s="20" t="e">
        <f t="shared" si="216"/>
        <v>#DIV/0!</v>
      </c>
      <c r="V395" s="20" t="e">
        <f t="shared" si="217"/>
        <v>#DIV/0!</v>
      </c>
    </row>
    <row r="396" spans="1:22" hidden="1" x14ac:dyDescent="0.3">
      <c r="A396" s="5">
        <v>182</v>
      </c>
      <c r="B396" s="8" t="s">
        <v>771</v>
      </c>
      <c r="C396" s="11">
        <f>+SUMIFS('2021'!Z:Z,'2021'!D:D,CRUCE!A396,'2021'!AT:AT,CRUCE!B396)</f>
        <v>0</v>
      </c>
      <c r="D396" s="11">
        <f>+SUMIFS('2022'!Y:Y,'2022'!D:D,CRUCE!A396,'2022'!AS:AS,CRUCE!B396)</f>
        <v>0</v>
      </c>
      <c r="E396" s="136" t="e">
        <f t="shared" si="213"/>
        <v>#DIV/0!</v>
      </c>
      <c r="F396" s="11">
        <f>+SUMIFS('2023'!Y:Y,'2023'!D:D,CRUCE!A396,'2023'!AS:AS,CRUCE!B396)</f>
        <v>0</v>
      </c>
      <c r="G396" s="136" t="e">
        <f t="shared" si="214"/>
        <v>#DIV/0!</v>
      </c>
      <c r="H396" s="11">
        <f>+SUMIFS('2024'!J:J,'2024'!D:D,CRUCE!A396,'2024'!AT:AT,CRUCE!B396)</f>
        <v>0</v>
      </c>
      <c r="I396" s="7" t="str">
        <f t="shared" si="219"/>
        <v>182Colciencias 7%  Sorteo Extraordinario0</v>
      </c>
      <c r="J396" s="7" t="str">
        <f t="shared" si="220"/>
        <v>182Colciencias 7%  Sorteo Extraordinario0</v>
      </c>
      <c r="K396" s="7" t="str">
        <f t="shared" si="221"/>
        <v>182Colciencias 7%  Sorteo Extraordinario0</v>
      </c>
      <c r="L396" s="7" t="str">
        <f t="shared" si="222"/>
        <v>182Colciencias 7%  Sorteo Extraordinario0</v>
      </c>
      <c r="M396" t="s">
        <v>1906</v>
      </c>
      <c r="N396" s="136" t="e">
        <f t="shared" si="218"/>
        <v>#DIV/0!</v>
      </c>
      <c r="O396" s="136"/>
      <c r="P396" s="20" t="e">
        <f t="shared" si="215"/>
        <v>#DIV/0!</v>
      </c>
      <c r="S396" s="20" t="e">
        <f t="shared" si="216"/>
        <v>#DIV/0!</v>
      </c>
      <c r="V396" s="20" t="e">
        <f t="shared" si="217"/>
        <v>#DIV/0!</v>
      </c>
    </row>
    <row r="397" spans="1:22" hidden="1" x14ac:dyDescent="0.3">
      <c r="A397" s="5">
        <v>182</v>
      </c>
      <c r="B397" s="8" t="s">
        <v>773</v>
      </c>
      <c r="C397" s="11">
        <f>+SUMIFS('2021'!Z:Z,'2021'!D:D,CRUCE!A397,'2021'!AT:AT,CRUCE!B397)</f>
        <v>0</v>
      </c>
      <c r="D397" s="11">
        <f>+SUMIFS('2022'!Y:Y,'2022'!D:D,CRUCE!A397,'2022'!AS:AS,CRUCE!B397)</f>
        <v>0</v>
      </c>
      <c r="E397" s="136" t="e">
        <f t="shared" si="213"/>
        <v>#DIV/0!</v>
      </c>
      <c r="F397" s="11">
        <f>+SUMIFS('2023'!Y:Y,'2023'!D:D,CRUCE!A397,'2023'!AS:AS,CRUCE!B397)</f>
        <v>0</v>
      </c>
      <c r="G397" s="136" t="e">
        <f t="shared" si="214"/>
        <v>#DIV/0!</v>
      </c>
      <c r="H397" s="11">
        <f>+SUMIFS('2024'!J:J,'2024'!D:D,CRUCE!A397,'2024'!AT:AT,CRUCE!B397)</f>
        <v>0</v>
      </c>
      <c r="I397" s="7" t="str">
        <f t="shared" si="219"/>
        <v>182Colciencias 7% Explotacion Sorteo Ordinario0</v>
      </c>
      <c r="J397" s="7" t="str">
        <f t="shared" si="220"/>
        <v>182Colciencias 7% Explotacion Sorteo Ordinario0</v>
      </c>
      <c r="K397" s="7" t="str">
        <f t="shared" si="221"/>
        <v>182Colciencias 7% Explotacion Sorteo Ordinario0</v>
      </c>
      <c r="L397" s="7" t="str">
        <f t="shared" si="222"/>
        <v>182Colciencias 7% Explotacion Sorteo Ordinario0</v>
      </c>
      <c r="M397" t="s">
        <v>1906</v>
      </c>
      <c r="N397" s="136" t="e">
        <f t="shared" si="218"/>
        <v>#DIV/0!</v>
      </c>
      <c r="O397" s="136"/>
      <c r="P397" s="20" t="e">
        <f t="shared" si="215"/>
        <v>#DIV/0!</v>
      </c>
      <c r="S397" s="20" t="e">
        <f t="shared" si="216"/>
        <v>#DIV/0!</v>
      </c>
      <c r="V397" s="20" t="e">
        <f t="shared" si="217"/>
        <v>#DIV/0!</v>
      </c>
    </row>
    <row r="398" spans="1:22" hidden="1" x14ac:dyDescent="0.3">
      <c r="A398" s="5">
        <v>182</v>
      </c>
      <c r="B398" s="8" t="s">
        <v>660</v>
      </c>
      <c r="C398" s="11">
        <f>+SUMIFS('2021'!Z:Z,'2021'!D:D,CRUCE!A398,'2021'!AT:AT,CRUCE!B398)</f>
        <v>0</v>
      </c>
      <c r="D398" s="11">
        <f>+SUMIFS('2022'!Y:Y,'2022'!D:D,CRUCE!A398,'2022'!AS:AS,CRUCE!B398)</f>
        <v>0</v>
      </c>
      <c r="E398" s="136" t="e">
        <f t="shared" si="213"/>
        <v>#DIV/0!</v>
      </c>
      <c r="F398" s="11">
        <f>+SUMIFS('2023'!Y:Y,'2023'!D:D,CRUCE!A398,'2023'!AS:AS,CRUCE!B398)</f>
        <v>0</v>
      </c>
      <c r="G398" s="136" t="e">
        <f t="shared" si="214"/>
        <v>#DIV/0!</v>
      </c>
      <c r="H398" s="11">
        <f>+SUMIFS('2024'!J:J,'2024'!D:D,CRUCE!A398,'2024'!AT:AT,CRUCE!B398)</f>
        <v>0</v>
      </c>
      <c r="I398" s="7" t="str">
        <f t="shared" si="219"/>
        <v>182Colciencias 7% Impuesto a Ganadores Sorteo Extraordinario0</v>
      </c>
      <c r="J398" s="7" t="str">
        <f t="shared" si="220"/>
        <v>182Colciencias 7% Impuesto a Ganadores Sorteo Extraordinario0</v>
      </c>
      <c r="K398" s="7" t="str">
        <f t="shared" si="221"/>
        <v>182Colciencias 7% Impuesto a Ganadores Sorteo Extraordinario0</v>
      </c>
      <c r="L398" s="7" t="str">
        <f t="shared" si="222"/>
        <v>182Colciencias 7% Impuesto a Ganadores Sorteo Extraordinario0</v>
      </c>
      <c r="M398" t="s">
        <v>1906</v>
      </c>
      <c r="N398" s="136" t="e">
        <f t="shared" si="218"/>
        <v>#DIV/0!</v>
      </c>
      <c r="O398" s="136"/>
      <c r="P398" s="20" t="e">
        <f t="shared" si="215"/>
        <v>#DIV/0!</v>
      </c>
      <c r="S398" s="20" t="e">
        <f t="shared" si="216"/>
        <v>#DIV/0!</v>
      </c>
      <c r="V398" s="20" t="e">
        <f t="shared" si="217"/>
        <v>#DIV/0!</v>
      </c>
    </row>
    <row r="399" spans="1:22" hidden="1" x14ac:dyDescent="0.3">
      <c r="A399" s="5">
        <v>182</v>
      </c>
      <c r="B399" s="8" t="s">
        <v>663</v>
      </c>
      <c r="C399" s="11">
        <f>+SUMIFS('2021'!Z:Z,'2021'!D:D,CRUCE!A399,'2021'!AT:AT,CRUCE!B399)</f>
        <v>0</v>
      </c>
      <c r="D399" s="11">
        <f>+SUMIFS('2022'!Y:Y,'2022'!D:D,CRUCE!A399,'2022'!AS:AS,CRUCE!B399)</f>
        <v>0</v>
      </c>
      <c r="E399" s="136" t="e">
        <f t="shared" si="213"/>
        <v>#DIV/0!</v>
      </c>
      <c r="F399" s="11">
        <f>+SUMIFS('2023'!Y:Y,'2023'!D:D,CRUCE!A399,'2023'!AS:AS,CRUCE!B399)</f>
        <v>0</v>
      </c>
      <c r="G399" s="136" t="e">
        <f t="shared" si="214"/>
        <v>#DIV/0!</v>
      </c>
      <c r="H399" s="11">
        <f>+SUMIFS('2024'!J:J,'2024'!D:D,CRUCE!A399,'2024'!AT:AT,CRUCE!B399)</f>
        <v>0</v>
      </c>
      <c r="I399" s="7" t="str">
        <f t="shared" si="219"/>
        <v>182Colciencias 7% Impuesto a Ganadores Sorteo ordinario0</v>
      </c>
      <c r="J399" s="7" t="str">
        <f t="shared" si="220"/>
        <v>182Colciencias 7% Impuesto a Ganadores Sorteo ordinario0</v>
      </c>
      <c r="K399" s="7" t="str">
        <f t="shared" si="221"/>
        <v>182Colciencias 7% Impuesto a Ganadores Sorteo ordinario0</v>
      </c>
      <c r="L399" s="7" t="str">
        <f t="shared" si="222"/>
        <v>182Colciencias 7% Impuesto a Ganadores Sorteo ordinario0</v>
      </c>
      <c r="M399" t="s">
        <v>1906</v>
      </c>
      <c r="N399" s="136" t="e">
        <f t="shared" si="218"/>
        <v>#DIV/0!</v>
      </c>
      <c r="O399" s="136"/>
      <c r="P399" s="20" t="e">
        <f t="shared" si="215"/>
        <v>#DIV/0!</v>
      </c>
      <c r="S399" s="20" t="e">
        <f t="shared" si="216"/>
        <v>#DIV/0!</v>
      </c>
      <c r="V399" s="20" t="e">
        <f t="shared" si="217"/>
        <v>#DIV/0!</v>
      </c>
    </row>
    <row r="400" spans="1:22" hidden="1" x14ac:dyDescent="0.3">
      <c r="A400" s="5">
        <v>182</v>
      </c>
      <c r="B400" s="8" t="s">
        <v>781</v>
      </c>
      <c r="C400" s="11">
        <f>+SUMIFS('2021'!Z:Z,'2021'!D:D,CRUCE!A400,'2021'!AT:AT,CRUCE!B400)</f>
        <v>0</v>
      </c>
      <c r="D400" s="11">
        <f>+SUMIFS('2022'!Y:Y,'2022'!D:D,CRUCE!A400,'2022'!AS:AS,CRUCE!B400)</f>
        <v>0</v>
      </c>
      <c r="E400" s="136" t="e">
        <f t="shared" si="213"/>
        <v>#DIV/0!</v>
      </c>
      <c r="F400" s="11">
        <f>+SUMIFS('2023'!Y:Y,'2023'!D:D,CRUCE!A400,'2023'!AS:AS,CRUCE!B400)</f>
        <v>0</v>
      </c>
      <c r="G400" s="136" t="e">
        <f t="shared" si="214"/>
        <v>#DIV/0!</v>
      </c>
      <c r="H400" s="11">
        <f>+SUMIFS('2024'!J:J,'2024'!D:D,CRUCE!A400,'2024'!AT:AT,CRUCE!B400)</f>
        <v>0</v>
      </c>
      <c r="I400" s="7" t="str">
        <f t="shared" si="219"/>
        <v>182Colciencias 7% Juegos Y Apuestas Permanentes0</v>
      </c>
      <c r="J400" s="7" t="str">
        <f t="shared" si="220"/>
        <v>182Colciencias 7% Juegos Y Apuestas Permanentes0</v>
      </c>
      <c r="K400" s="7" t="str">
        <f t="shared" si="221"/>
        <v>182Colciencias 7% Juegos Y Apuestas Permanentes0</v>
      </c>
      <c r="L400" s="7" t="str">
        <f t="shared" si="222"/>
        <v>182Colciencias 7% Juegos Y Apuestas Permanentes0</v>
      </c>
      <c r="M400" t="s">
        <v>1906</v>
      </c>
      <c r="N400" s="136" t="e">
        <f t="shared" si="218"/>
        <v>#DIV/0!</v>
      </c>
      <c r="O400" s="136"/>
      <c r="P400" s="20" t="e">
        <f t="shared" si="215"/>
        <v>#DIV/0!</v>
      </c>
      <c r="S400" s="20" t="e">
        <f t="shared" si="216"/>
        <v>#DIV/0!</v>
      </c>
      <c r="V400" s="20" t="e">
        <f t="shared" si="217"/>
        <v>#DIV/0!</v>
      </c>
    </row>
    <row r="401" spans="1:22" hidden="1" x14ac:dyDescent="0.3">
      <c r="A401" s="5">
        <v>182</v>
      </c>
      <c r="B401" s="8" t="s">
        <v>672</v>
      </c>
      <c r="C401" s="11">
        <f>+SUMIFS('2021'!Z:Z,'2021'!D:D,CRUCE!A401,'2021'!AT:AT,CRUCE!B401)</f>
        <v>13864191.5</v>
      </c>
      <c r="D401" s="11">
        <f>+SUMIFS('2022'!Y:Y,'2022'!D:D,CRUCE!A401,'2022'!AS:AS,CRUCE!B401)</f>
        <v>8298645.5</v>
      </c>
      <c r="E401" s="136">
        <f t="shared" si="213"/>
        <v>-0.4014331452360565</v>
      </c>
      <c r="F401" s="11">
        <f>+SUMIFS('2023'!Y:Y,'2023'!D:D,CRUCE!A401,'2023'!AS:AS,CRUCE!B401)</f>
        <v>8073395</v>
      </c>
      <c r="G401" s="136">
        <f t="shared" si="214"/>
        <v>-2.7143044006398394E-2</v>
      </c>
      <c r="H401" s="11">
        <f>+SUMIFS('2024'!J:J,'2024'!D:D,CRUCE!A401,'2024'!AT:AT,CRUCE!B401)</f>
        <v>0</v>
      </c>
      <c r="I401" s="7" t="str">
        <f t="shared" si="219"/>
        <v>182Colciencias 7% Loterias Foraneas13864191,5</v>
      </c>
      <c r="J401" s="7" t="str">
        <f t="shared" si="220"/>
        <v>182Colciencias 7% Loterias Foraneas8298645,5</v>
      </c>
      <c r="K401" s="7" t="str">
        <f t="shared" si="221"/>
        <v>182Colciencias 7% Loterias Foraneas8073395</v>
      </c>
      <c r="L401" s="7" t="str">
        <f t="shared" si="222"/>
        <v>182Colciencias 7% Loterias Foraneas0</v>
      </c>
      <c r="M401" t="s">
        <v>1906</v>
      </c>
      <c r="N401" s="136">
        <f t="shared" si="218"/>
        <v>-0.21428809462122744</v>
      </c>
      <c r="O401" s="136"/>
      <c r="P401" s="20">
        <f t="shared" si="215"/>
        <v>0</v>
      </c>
      <c r="S401" s="20">
        <f t="shared" si="216"/>
        <v>0</v>
      </c>
      <c r="V401" s="20">
        <f t="shared" si="217"/>
        <v>0</v>
      </c>
    </row>
    <row r="402" spans="1:22" hidden="1" x14ac:dyDescent="0.3">
      <c r="A402" s="5">
        <v>182</v>
      </c>
      <c r="B402" s="8" t="s">
        <v>789</v>
      </c>
      <c r="C402" s="11">
        <f>+SUMIFS('2021'!Z:Z,'2021'!D:D,CRUCE!A402,'2021'!AT:AT,CRUCE!B402)</f>
        <v>0</v>
      </c>
      <c r="D402" s="11">
        <f>+SUMIFS('2022'!Y:Y,'2022'!D:D,CRUCE!A402,'2022'!AS:AS,CRUCE!B402)</f>
        <v>0</v>
      </c>
      <c r="E402" s="136" t="e">
        <f t="shared" si="213"/>
        <v>#DIV/0!</v>
      </c>
      <c r="F402" s="11">
        <f>+SUMIFS('2023'!Y:Y,'2023'!D:D,CRUCE!A402,'2023'!AS:AS,CRUCE!B402)</f>
        <v>0</v>
      </c>
      <c r="G402" s="136" t="e">
        <f t="shared" si="214"/>
        <v>#DIV/0!</v>
      </c>
      <c r="H402" s="11">
        <f>+SUMIFS('2024'!J:J,'2024'!D:D,CRUCE!A402,'2024'!AT:AT,CRUCE!B402)</f>
        <v>0</v>
      </c>
      <c r="I402" s="7" t="str">
        <f t="shared" si="219"/>
        <v>182Colciencias 7% Rifas Departamentales0</v>
      </c>
      <c r="J402" s="7" t="str">
        <f t="shared" si="220"/>
        <v>182Colciencias 7% Rifas Departamentales0</v>
      </c>
      <c r="K402" s="7" t="str">
        <f t="shared" si="221"/>
        <v>182Colciencias 7% Rifas Departamentales0</v>
      </c>
      <c r="L402" s="7" t="str">
        <f t="shared" si="222"/>
        <v>182Colciencias 7% Rifas Departamentales0</v>
      </c>
      <c r="M402" t="s">
        <v>1906</v>
      </c>
      <c r="N402" s="136" t="e">
        <f t="shared" si="218"/>
        <v>#DIV/0!</v>
      </c>
      <c r="O402" s="136"/>
      <c r="P402" s="20" t="e">
        <f t="shared" si="215"/>
        <v>#DIV/0!</v>
      </c>
      <c r="S402" s="20" t="e">
        <f t="shared" si="216"/>
        <v>#DIV/0!</v>
      </c>
      <c r="V402" s="20" t="e">
        <f t="shared" si="217"/>
        <v>#DIV/0!</v>
      </c>
    </row>
    <row r="403" spans="1:22" hidden="1" x14ac:dyDescent="0.3">
      <c r="A403" s="5">
        <v>183</v>
      </c>
      <c r="B403" s="8" t="s">
        <v>1017</v>
      </c>
      <c r="C403" s="11">
        <f>+SUMIFS('2021'!Z:Z,'2021'!D:D,CRUCE!A403,'2021'!AT:AT,CRUCE!B403)</f>
        <v>3881886.6</v>
      </c>
      <c r="D403" s="11">
        <f>+SUMIFS('2022'!Y:Y,'2022'!D:D,CRUCE!A403,'2022'!AS:AS,CRUCE!B403)</f>
        <v>433811595.39999998</v>
      </c>
      <c r="E403" s="136">
        <f t="shared" si="213"/>
        <v>110.75277387031346</v>
      </c>
      <c r="F403" s="11">
        <f>+SUMIFS('2023'!Y:Y,'2023'!D:D,CRUCE!A403,'2023'!AS:AS,CRUCE!B403)</f>
        <v>55159599.399999999</v>
      </c>
      <c r="G403" s="136">
        <f t="shared" si="214"/>
        <v>-0.87284895105411009</v>
      </c>
      <c r="H403" s="11">
        <f>+SUMIFS('2024'!J:J,'2024'!D:D,CRUCE!A403,'2024'!AT:AT,CRUCE!B403)</f>
        <v>0</v>
      </c>
      <c r="I403" s="7" t="str">
        <f t="shared" si="219"/>
        <v>183Superávit Cofinanciación Municipios Pae3881886,6</v>
      </c>
      <c r="J403" s="7" t="str">
        <f t="shared" si="220"/>
        <v>183Superávit Cofinanciación Municipios Pae433811595,4</v>
      </c>
      <c r="K403" s="7" t="str">
        <f t="shared" si="221"/>
        <v>183Superávit Cofinanciación Municipios Pae55159599,4</v>
      </c>
      <c r="L403" s="7" t="str">
        <f t="shared" si="222"/>
        <v>183Superávit Cofinanciación Municipios Pae0</v>
      </c>
      <c r="M403" t="s">
        <v>1906</v>
      </c>
      <c r="N403" s="136">
        <f t="shared" si="218"/>
        <v>54.939962459629676</v>
      </c>
      <c r="O403" s="136"/>
      <c r="P403" s="20">
        <f t="shared" si="215"/>
        <v>0</v>
      </c>
      <c r="S403" s="20">
        <f t="shared" si="216"/>
        <v>0</v>
      </c>
      <c r="V403" s="20">
        <f t="shared" si="217"/>
        <v>0</v>
      </c>
    </row>
    <row r="404" spans="1:22" hidden="1" x14ac:dyDescent="0.3">
      <c r="A404" s="5">
        <v>184</v>
      </c>
      <c r="B404" s="8" t="s">
        <v>877</v>
      </c>
      <c r="C404" s="11">
        <f>+SUMIFS('2021'!Z:Z,'2021'!D:D,CRUCE!A404,'2021'!AT:AT,CRUCE!B404)</f>
        <v>33078292</v>
      </c>
      <c r="D404" s="11">
        <f>+SUMIFS('2022'!Y:Y,'2022'!D:D,CRUCE!A404,'2022'!AS:AS,CRUCE!B404)</f>
        <v>0</v>
      </c>
      <c r="E404" s="136">
        <f t="shared" si="213"/>
        <v>-1</v>
      </c>
      <c r="F404" s="11">
        <f>+SUMIFS('2023'!Y:Y,'2023'!D:D,CRUCE!A404,'2023'!AS:AS,CRUCE!B404)</f>
        <v>0</v>
      </c>
      <c r="G404" s="136" t="e">
        <f t="shared" si="214"/>
        <v>#DIV/0!</v>
      </c>
      <c r="H404" s="11">
        <f>+SUMIFS('2024'!J:J,'2024'!D:D,CRUCE!A404,'2024'!AT:AT,CRUCE!B404)</f>
        <v>0</v>
      </c>
      <c r="I404" s="7" t="str">
        <f t="shared" si="219"/>
        <v>184Superávit Resolución Minsalud 626 COVID de 202033078292</v>
      </c>
      <c r="J404" s="7" t="str">
        <f t="shared" si="220"/>
        <v>184Superávit Resolución Minsalud 626 COVID de 20200</v>
      </c>
      <c r="K404" s="7" t="str">
        <f t="shared" si="221"/>
        <v>184Superávit Resolución Minsalud 626 COVID de 20200</v>
      </c>
      <c r="L404" s="7" t="str">
        <f t="shared" si="222"/>
        <v>184Superávit Resolución Minsalud 626 COVID de 20200</v>
      </c>
      <c r="M404" t="s">
        <v>1906</v>
      </c>
      <c r="N404" s="136" t="e">
        <f t="shared" si="218"/>
        <v>#DIV/0!</v>
      </c>
      <c r="O404" s="136"/>
      <c r="P404" s="20" t="e">
        <f t="shared" si="215"/>
        <v>#DIV/0!</v>
      </c>
      <c r="S404" s="20" t="e">
        <f t="shared" si="216"/>
        <v>#DIV/0!</v>
      </c>
      <c r="V404" s="20" t="e">
        <f t="shared" si="217"/>
        <v>#DIV/0!</v>
      </c>
    </row>
    <row r="405" spans="1:22" hidden="1" x14ac:dyDescent="0.3">
      <c r="A405" s="5">
        <v>185</v>
      </c>
      <c r="B405" s="8" t="s">
        <v>1020</v>
      </c>
      <c r="C405" s="11">
        <f>+SUMIFS('2021'!Z:Z,'2021'!D:D,CRUCE!A405,'2021'!AT:AT,CRUCE!B405)</f>
        <v>12523500</v>
      </c>
      <c r="D405" s="11">
        <f>+SUMIFS('2022'!Y:Y,'2022'!D:D,CRUCE!A405,'2022'!AS:AS,CRUCE!B405)</f>
        <v>0</v>
      </c>
      <c r="E405" s="136">
        <f t="shared" si="213"/>
        <v>-1</v>
      </c>
      <c r="F405" s="11">
        <f>+SUMIFS('2023'!Y:Y,'2023'!D:D,CRUCE!A405,'2023'!AS:AS,CRUCE!B405)</f>
        <v>0</v>
      </c>
      <c r="G405" s="136" t="e">
        <f t="shared" si="214"/>
        <v>#DIV/0!</v>
      </c>
      <c r="H405" s="11">
        <f>+SUMIFS('2024'!J:J,'2024'!D:D,CRUCE!A405,'2024'!AT:AT,CRUCE!B405)</f>
        <v>0</v>
      </c>
      <c r="I405" s="7" t="str">
        <f t="shared" si="219"/>
        <v>185Superávit Ministerio De Salud Resoluciones Discapacidad12523500</v>
      </c>
      <c r="J405" s="7" t="str">
        <f t="shared" si="220"/>
        <v>185Superávit Ministerio De Salud Resoluciones Discapacidad0</v>
      </c>
      <c r="K405" s="7" t="str">
        <f t="shared" si="221"/>
        <v>185Superávit Ministerio De Salud Resoluciones Discapacidad0</v>
      </c>
      <c r="L405" s="7" t="str">
        <f t="shared" si="222"/>
        <v>185Superávit Ministerio De Salud Resoluciones Discapacidad0</v>
      </c>
      <c r="M405" t="s">
        <v>1906</v>
      </c>
      <c r="N405" s="136" t="e">
        <f t="shared" si="218"/>
        <v>#DIV/0!</v>
      </c>
      <c r="O405" s="136"/>
      <c r="P405" s="20" t="e">
        <f t="shared" si="215"/>
        <v>#DIV/0!</v>
      </c>
      <c r="S405" s="20" t="e">
        <f t="shared" si="216"/>
        <v>#DIV/0!</v>
      </c>
      <c r="V405" s="20" t="e">
        <f t="shared" si="217"/>
        <v>#DIV/0!</v>
      </c>
    </row>
    <row r="406" spans="1:22" hidden="1" x14ac:dyDescent="0.3">
      <c r="A406" s="5">
        <v>186</v>
      </c>
      <c r="B406" s="8" t="s">
        <v>1023</v>
      </c>
      <c r="C406" s="11">
        <f>+SUMIFS('2021'!Z:Z,'2021'!D:D,CRUCE!A406,'2021'!AT:AT,CRUCE!B406)</f>
        <v>83212.060000000012</v>
      </c>
      <c r="D406" s="11">
        <f>+SUMIFS('2022'!Y:Y,'2022'!D:D,CRUCE!A406,'2022'!AS:AS,CRUCE!B406)</f>
        <v>150081.03</v>
      </c>
      <c r="E406" s="136">
        <f t="shared" si="213"/>
        <v>0.80359709878592089</v>
      </c>
      <c r="F406" s="11">
        <f>+SUMIFS('2023'!Y:Y,'2023'!D:D,CRUCE!A406,'2023'!AS:AS,CRUCE!B406)</f>
        <v>150307.35</v>
      </c>
      <c r="G406" s="136">
        <f t="shared" si="214"/>
        <v>1.5079853862943703E-3</v>
      </c>
      <c r="H406" s="11">
        <f>+SUMIFS('2024'!J:J,'2024'!D:D,CRUCE!A406,'2024'!AT:AT,CRUCE!B406)</f>
        <v>0</v>
      </c>
      <c r="I406" s="7" t="str">
        <f t="shared" si="219"/>
        <v>186Superávit Extracción Material De Rio Minas Y Otros83212,06</v>
      </c>
      <c r="J406" s="7" t="str">
        <f t="shared" si="220"/>
        <v>186Superávit Extracción Material De Rio Minas Y Otros150081,03</v>
      </c>
      <c r="K406" s="7" t="str">
        <f t="shared" si="221"/>
        <v>186Superávit Extracción Material De Rio Minas Y Otros150307,35</v>
      </c>
      <c r="L406" s="7" t="str">
        <f t="shared" si="222"/>
        <v>186Superávit Extracción Material De Rio Minas Y Otros0</v>
      </c>
      <c r="M406" t="s">
        <v>1906</v>
      </c>
      <c r="N406" s="136">
        <f t="shared" si="218"/>
        <v>0.40255254208610763</v>
      </c>
      <c r="O406" s="136"/>
      <c r="P406" s="20">
        <f t="shared" si="215"/>
        <v>0</v>
      </c>
      <c r="S406" s="20">
        <f t="shared" si="216"/>
        <v>0</v>
      </c>
      <c r="V406" s="20">
        <f t="shared" si="217"/>
        <v>0</v>
      </c>
    </row>
    <row r="407" spans="1:22" hidden="1" x14ac:dyDescent="0.3">
      <c r="A407" s="5">
        <v>187</v>
      </c>
      <c r="B407" s="8" t="s">
        <v>1218</v>
      </c>
      <c r="C407" s="11">
        <f>+SUMIFS('2021'!Z:Z,'2021'!D:D,CRUCE!A407,'2021'!AT:AT,CRUCE!B407)</f>
        <v>1792032472.8499999</v>
      </c>
      <c r="D407" s="11">
        <f>+SUMIFS('2022'!Y:Y,'2022'!D:D,CRUCE!A407,'2022'!AS:AS,CRUCE!B407)</f>
        <v>318992344.52999997</v>
      </c>
      <c r="E407" s="136">
        <f t="shared" si="213"/>
        <v>-0.82199410481514146</v>
      </c>
      <c r="F407" s="11">
        <f>+SUMIFS('2023'!Y:Y,'2023'!D:D,CRUCE!A407,'2023'!AS:AS,CRUCE!B407)</f>
        <v>0</v>
      </c>
      <c r="G407" s="136">
        <f t="shared" si="214"/>
        <v>-1</v>
      </c>
      <c r="H407" s="11">
        <f>+SUMIFS('2024'!J:J,'2024'!D:D,CRUCE!A407,'2024'!AT:AT,CRUCE!B407)</f>
        <v>0</v>
      </c>
      <c r="I407" s="7" t="str">
        <f t="shared" ref="I407:I446" si="223">+$A407&amp;$B407&amp;C407</f>
        <v>187Superávit  Transferencias Nacion FOME1792032472,85</v>
      </c>
      <c r="J407" s="7" t="str">
        <f t="shared" ref="J407:J446" si="224">+$A407&amp;$B407&amp;D407</f>
        <v>187Superávit  Transferencias Nacion FOME318992344,53</v>
      </c>
      <c r="K407" s="7" t="str">
        <f t="shared" ref="K407:K446" si="225">+$A407&amp;$B407&amp;F407</f>
        <v>187Superávit  Transferencias Nacion FOME0</v>
      </c>
      <c r="L407" s="7" t="str">
        <f t="shared" ref="L407:L446" si="226">+$A407&amp;$B407&amp;H407</f>
        <v>187Superávit  Transferencias Nacion FOME0</v>
      </c>
      <c r="M407" t="s">
        <v>1906</v>
      </c>
      <c r="N407" s="136">
        <f t="shared" si="218"/>
        <v>-0.91099705240757078</v>
      </c>
      <c r="O407" s="136"/>
      <c r="P407" s="20">
        <f t="shared" si="215"/>
        <v>0</v>
      </c>
      <c r="S407" s="20">
        <f t="shared" si="216"/>
        <v>0</v>
      </c>
      <c r="V407" s="20">
        <f t="shared" si="217"/>
        <v>0</v>
      </c>
    </row>
    <row r="408" spans="1:22" hidden="1" x14ac:dyDescent="0.3">
      <c r="A408" s="5">
        <v>188</v>
      </c>
      <c r="B408" s="8" t="s">
        <v>630</v>
      </c>
      <c r="C408" s="11">
        <f>+SUMIFS('2021'!Z:Z,'2021'!D:D,CRUCE!A408,'2021'!AT:AT,CRUCE!B408)</f>
        <v>3120000</v>
      </c>
      <c r="D408" s="11">
        <f>+SUMIFS('2022'!Y:Y,'2022'!D:D,CRUCE!A408,'2022'!AS:AS,CRUCE!B408)</f>
        <v>0</v>
      </c>
      <c r="E408" s="136">
        <f t="shared" si="213"/>
        <v>-1</v>
      </c>
      <c r="F408" s="11">
        <f>+SUMIFS('2023'!Y:Y,'2023'!D:D,CRUCE!A408,'2023'!AS:AS,CRUCE!B408)</f>
        <v>0</v>
      </c>
      <c r="G408" s="136" t="e">
        <f t="shared" si="214"/>
        <v>#DIV/0!</v>
      </c>
      <c r="H408" s="11">
        <f>+SUMIFS('2024'!J:J,'2024'!D:D,CRUCE!A408,'2024'!AT:AT,CRUCE!B408)</f>
        <v>0</v>
      </c>
      <c r="I408" s="7" t="str">
        <f t="shared" si="223"/>
        <v>188Exigibilidades SGP Educación3120000</v>
      </c>
      <c r="J408" s="7" t="str">
        <f t="shared" si="224"/>
        <v>188Exigibilidades SGP Educación0</v>
      </c>
      <c r="K408" s="7" t="str">
        <f t="shared" si="225"/>
        <v>188Exigibilidades SGP Educación0</v>
      </c>
      <c r="L408" s="7" t="str">
        <f t="shared" si="226"/>
        <v>188Exigibilidades SGP Educación0</v>
      </c>
      <c r="M408" t="s">
        <v>1906</v>
      </c>
      <c r="N408" s="136" t="e">
        <f t="shared" si="218"/>
        <v>#DIV/0!</v>
      </c>
      <c r="O408" s="136"/>
      <c r="P408" s="20" t="e">
        <f t="shared" si="215"/>
        <v>#DIV/0!</v>
      </c>
      <c r="S408" s="20" t="e">
        <f t="shared" si="216"/>
        <v>#DIV/0!</v>
      </c>
      <c r="V408" s="20" t="e">
        <f t="shared" si="217"/>
        <v>#DIV/0!</v>
      </c>
    </row>
    <row r="409" spans="1:22" hidden="1" x14ac:dyDescent="0.3">
      <c r="A409" s="5">
        <v>189</v>
      </c>
      <c r="B409" s="8" t="s">
        <v>636</v>
      </c>
      <c r="C409" s="11">
        <f>+SUMIFS('2021'!Z:Z,'2021'!D:D,CRUCE!A409,'2021'!AT:AT,CRUCE!B409)</f>
        <v>13838656.48</v>
      </c>
      <c r="D409" s="11">
        <f>+SUMIFS('2022'!Y:Y,'2022'!D:D,CRUCE!A409,'2022'!AS:AS,CRUCE!B409)</f>
        <v>3303649.73</v>
      </c>
      <c r="E409" s="136">
        <f t="shared" si="213"/>
        <v>-0.76127381044724074</v>
      </c>
      <c r="F409" s="11">
        <f>+SUMIFS('2023'!Y:Y,'2023'!D:D,CRUCE!A409,'2023'!AS:AS,CRUCE!B409)</f>
        <v>237414950.55000001</v>
      </c>
      <c r="G409" s="136">
        <f t="shared" si="214"/>
        <v>70.864443858580614</v>
      </c>
      <c r="H409" s="11">
        <f>+SUMIFS('2024'!J:J,'2024'!D:D,CRUCE!A409,'2024'!AT:AT,CRUCE!B409)</f>
        <v>0</v>
      </c>
      <c r="I409" s="7" t="str">
        <f t="shared" si="223"/>
        <v>189Superávit Rendimientos Financieros S.G.P. Educación13838656,48</v>
      </c>
      <c r="J409" s="7" t="str">
        <f t="shared" si="224"/>
        <v>189Superávit Rendimientos Financieros S.G.P. Educación3303649,73</v>
      </c>
      <c r="K409" s="7" t="str">
        <f t="shared" si="225"/>
        <v>189Superávit Rendimientos Financieros S.G.P. Educación237414950,55</v>
      </c>
      <c r="L409" s="7" t="str">
        <f t="shared" si="226"/>
        <v>189Superávit Rendimientos Financieros S.G.P. Educación0</v>
      </c>
      <c r="M409" t="s">
        <v>1906</v>
      </c>
      <c r="N409" s="136">
        <f t="shared" si="218"/>
        <v>35.051585024066689</v>
      </c>
      <c r="O409" s="136"/>
      <c r="P409" s="20">
        <f t="shared" si="215"/>
        <v>0</v>
      </c>
      <c r="S409" s="20">
        <f t="shared" si="216"/>
        <v>0</v>
      </c>
      <c r="V409" s="20">
        <f t="shared" si="217"/>
        <v>0</v>
      </c>
    </row>
    <row r="410" spans="1:22" x14ac:dyDescent="0.3">
      <c r="A410" s="5">
        <v>190</v>
      </c>
      <c r="B410" s="8" t="s">
        <v>1318</v>
      </c>
      <c r="C410" s="11">
        <f>+SUMIFS('2021'!Z:Z,'2021'!D:D,CRUCE!A410,'2021'!AT:AT,CRUCE!B410)</f>
        <v>1005288064</v>
      </c>
      <c r="D410" s="11">
        <f>+SUMIFS('2022'!Y:Y,'2022'!D:D,CRUCE!A410,'2022'!AS:AS,CRUCE!B410)</f>
        <v>0</v>
      </c>
      <c r="E410" s="136">
        <f t="shared" si="213"/>
        <v>-1</v>
      </c>
      <c r="F410" s="11">
        <f>+SUMIFS('2023'!Y:Y,'2023'!D:D,CRUCE!A410,'2023'!AS:AS,CRUCE!B410)</f>
        <v>5622632021.7399998</v>
      </c>
      <c r="G410" s="136" t="e">
        <f t="shared" si="214"/>
        <v>#DIV/0!</v>
      </c>
      <c r="H410" s="11">
        <f>+SUMIFS('2024'!J:J,'2024'!D:D,CRUCE!A410,'2024'!AT:AT,CRUCE!B410)</f>
        <v>2082326000</v>
      </c>
      <c r="I410" s="7" t="str">
        <f t="shared" si="223"/>
        <v>190Tasa prodeporte y recreación1005288064</v>
      </c>
      <c r="J410" s="7" t="str">
        <f t="shared" si="224"/>
        <v>190Tasa prodeporte y recreación0</v>
      </c>
      <c r="K410" s="7" t="str">
        <f t="shared" si="225"/>
        <v>190Tasa prodeporte y recreación5622632021,74</v>
      </c>
      <c r="L410" s="7" t="str">
        <f t="shared" si="226"/>
        <v>190Tasa prodeporte y recreación2082326000</v>
      </c>
      <c r="M410" t="s">
        <v>1906</v>
      </c>
      <c r="N410" s="136">
        <v>0.19</v>
      </c>
      <c r="O410" s="136"/>
      <c r="P410" s="20">
        <f t="shared" si="215"/>
        <v>2477967940</v>
      </c>
      <c r="Q410" s="136">
        <f>+N410</f>
        <v>0.19</v>
      </c>
      <c r="R410" s="136">
        <f>+Q410</f>
        <v>0.19</v>
      </c>
      <c r="S410" s="20">
        <f t="shared" si="216"/>
        <v>2948781848.5999999</v>
      </c>
      <c r="U410" s="136">
        <f>+R410</f>
        <v>0.19</v>
      </c>
      <c r="V410" s="20">
        <f t="shared" si="217"/>
        <v>3509050399.8339996</v>
      </c>
    </row>
    <row r="411" spans="1:22" hidden="1" x14ac:dyDescent="0.3">
      <c r="A411" s="5">
        <v>191</v>
      </c>
      <c r="B411" s="8" t="s">
        <v>893</v>
      </c>
      <c r="C411" s="11">
        <f>+SUMIFS('2021'!Z:Z,'2021'!D:D,CRUCE!A411,'2021'!AT:AT,CRUCE!B411)</f>
        <v>33937548.719999999</v>
      </c>
      <c r="D411" s="11">
        <f>+SUMIFS('2022'!Y:Y,'2022'!D:D,CRUCE!A411,'2022'!AS:AS,CRUCE!B411)</f>
        <v>27051355.399999999</v>
      </c>
      <c r="E411" s="136">
        <f t="shared" si="213"/>
        <v>-0.20290779917000443</v>
      </c>
      <c r="F411" s="11">
        <f>+SUMIFS('2023'!Y:Y,'2023'!D:D,CRUCE!A411,'2023'!AS:AS,CRUCE!B411)</f>
        <v>0</v>
      </c>
      <c r="G411" s="136">
        <f t="shared" si="214"/>
        <v>-1</v>
      </c>
      <c r="H411" s="11">
        <f>+SUMIFS('2024'!J:J,'2024'!D:D,CRUCE!A411,'2024'!AT:AT,CRUCE!B411)</f>
        <v>0</v>
      </c>
      <c r="I411" s="7" t="str">
        <f t="shared" si="223"/>
        <v>191Superávit Rentas Cedidas Subcuenta Regimen Subsidiado33937548,72</v>
      </c>
      <c r="J411" s="7" t="str">
        <f t="shared" si="224"/>
        <v>191Superávit Rentas Cedidas Subcuenta Regimen Subsidiado27051355,4</v>
      </c>
      <c r="K411" s="7" t="str">
        <f t="shared" si="225"/>
        <v>191Superávit Rentas Cedidas Subcuenta Regimen Subsidiado0</v>
      </c>
      <c r="L411" s="7" t="str">
        <f t="shared" si="226"/>
        <v>191Superávit Rentas Cedidas Subcuenta Regimen Subsidiado0</v>
      </c>
      <c r="M411" t="s">
        <v>1906</v>
      </c>
      <c r="N411" s="136">
        <f t="shared" si="218"/>
        <v>-0.60145389958500217</v>
      </c>
      <c r="O411" s="136"/>
      <c r="P411" s="20">
        <f t="shared" si="215"/>
        <v>0</v>
      </c>
      <c r="S411" s="20">
        <f t="shared" si="216"/>
        <v>0</v>
      </c>
      <c r="V411" s="20">
        <f t="shared" si="217"/>
        <v>0</v>
      </c>
    </row>
    <row r="412" spans="1:22" hidden="1" x14ac:dyDescent="0.3">
      <c r="A412" s="5">
        <v>192</v>
      </c>
      <c r="B412" s="8" t="s">
        <v>899</v>
      </c>
      <c r="C412" s="11">
        <f>+SUMIFS('2021'!Z:Z,'2021'!D:D,CRUCE!A412,'2021'!AT:AT,CRUCE!B412)</f>
        <v>3039348.21</v>
      </c>
      <c r="D412" s="11">
        <f>+SUMIFS('2022'!Y:Y,'2022'!D:D,CRUCE!A412,'2022'!AS:AS,CRUCE!B412)</f>
        <v>144394752.27000001</v>
      </c>
      <c r="E412" s="136">
        <f t="shared" si="213"/>
        <v>46.508459805597596</v>
      </c>
      <c r="F412" s="11">
        <f>+SUMIFS('2023'!Y:Y,'2023'!D:D,CRUCE!A412,'2023'!AS:AS,CRUCE!B412)</f>
        <v>156125011.09999999</v>
      </c>
      <c r="G412" s="136">
        <f t="shared" si="214"/>
        <v>8.123743173204713E-2</v>
      </c>
      <c r="H412" s="11">
        <f>+SUMIFS('2024'!J:J,'2024'!D:D,CRUCE!A412,'2024'!AT:AT,CRUCE!B412)</f>
        <v>0</v>
      </c>
      <c r="I412" s="7" t="str">
        <f t="shared" si="223"/>
        <v>192Superávit SGP Subsidio de la Oferta3039348,21</v>
      </c>
      <c r="J412" s="7" t="str">
        <f t="shared" si="224"/>
        <v>192Superávit SGP Subsidio de la Oferta144394752,27</v>
      </c>
      <c r="K412" s="7" t="str">
        <f t="shared" si="225"/>
        <v>192Superávit SGP Subsidio de la Oferta156125011,1</v>
      </c>
      <c r="L412" s="7" t="str">
        <f t="shared" si="226"/>
        <v>192Superávit SGP Subsidio de la Oferta0</v>
      </c>
      <c r="M412" t="s">
        <v>1906</v>
      </c>
      <c r="N412" s="136">
        <f t="shared" si="218"/>
        <v>23.294848618664822</v>
      </c>
      <c r="O412" s="136"/>
      <c r="P412" s="20">
        <f t="shared" si="215"/>
        <v>0</v>
      </c>
      <c r="S412" s="20">
        <f t="shared" si="216"/>
        <v>0</v>
      </c>
      <c r="V412" s="20">
        <f t="shared" si="217"/>
        <v>0</v>
      </c>
    </row>
    <row r="413" spans="1:22" hidden="1" x14ac:dyDescent="0.3">
      <c r="A413" s="5">
        <v>193</v>
      </c>
      <c r="B413" s="8" t="s">
        <v>902</v>
      </c>
      <c r="C413" s="11">
        <f>+SUMIFS('2021'!Z:Z,'2021'!D:D,CRUCE!A413,'2021'!AT:AT,CRUCE!B413)</f>
        <v>1216600524.0999999</v>
      </c>
      <c r="D413" s="11">
        <f>+SUMIFS('2022'!Y:Y,'2022'!D:D,CRUCE!A413,'2022'!AS:AS,CRUCE!B413)</f>
        <v>1165629392.29</v>
      </c>
      <c r="E413" s="136">
        <f t="shared" si="213"/>
        <v>-4.189635858303338E-2</v>
      </c>
      <c r="F413" s="11">
        <f>+SUMIFS('2023'!Y:Y,'2023'!D:D,CRUCE!A413,'2023'!AS:AS,CRUCE!B413)</f>
        <v>1040464361.47</v>
      </c>
      <c r="G413" s="136">
        <f t="shared" si="214"/>
        <v>-0.10737978267183211</v>
      </c>
      <c r="H413" s="11">
        <f>+SUMIFS('2024'!J:J,'2024'!D:D,CRUCE!A413,'2024'!AT:AT,CRUCE!B413)</f>
        <v>0</v>
      </c>
      <c r="I413" s="7" t="str">
        <f t="shared" si="223"/>
        <v>193Superávit Rentas Cedidas Prestacion del Servicio1216600524,1</v>
      </c>
      <c r="J413" s="7" t="str">
        <f t="shared" si="224"/>
        <v>193Superávit Rentas Cedidas Prestacion del Servicio1165629392,29</v>
      </c>
      <c r="K413" s="7" t="str">
        <f t="shared" si="225"/>
        <v>193Superávit Rentas Cedidas Prestacion del Servicio1040464361,47</v>
      </c>
      <c r="L413" s="7" t="str">
        <f t="shared" si="226"/>
        <v>193Superávit Rentas Cedidas Prestacion del Servicio0</v>
      </c>
      <c r="M413" t="s">
        <v>1906</v>
      </c>
      <c r="N413" s="136">
        <f t="shared" si="218"/>
        <v>-7.4638070627432745E-2</v>
      </c>
      <c r="O413" s="136"/>
      <c r="P413" s="20">
        <f t="shared" si="215"/>
        <v>0</v>
      </c>
      <c r="S413" s="20">
        <f t="shared" si="216"/>
        <v>0</v>
      </c>
      <c r="V413" s="20">
        <f t="shared" si="217"/>
        <v>0</v>
      </c>
    </row>
    <row r="414" spans="1:22" hidden="1" x14ac:dyDescent="0.3">
      <c r="A414" s="5">
        <v>194</v>
      </c>
      <c r="B414" s="8" t="s">
        <v>905</v>
      </c>
      <c r="C414" s="11">
        <f>+SUMIFS('2021'!Z:Z,'2021'!D:D,CRUCE!A414,'2021'!AT:AT,CRUCE!B414)</f>
        <v>22221326.620000001</v>
      </c>
      <c r="D414" s="11">
        <f>+SUMIFS('2022'!Y:Y,'2022'!D:D,CRUCE!A414,'2022'!AS:AS,CRUCE!B414)</f>
        <v>0</v>
      </c>
      <c r="E414" s="136">
        <f t="shared" si="213"/>
        <v>-1</v>
      </c>
      <c r="F414" s="11">
        <f>+SUMIFS('2023'!Y:Y,'2023'!D:D,CRUCE!A414,'2023'!AS:AS,CRUCE!B414)</f>
        <v>0</v>
      </c>
      <c r="G414" s="136" t="e">
        <f t="shared" si="214"/>
        <v>#DIV/0!</v>
      </c>
      <c r="H414" s="11">
        <f>+SUMIFS('2024'!J:J,'2024'!D:D,CRUCE!A414,'2024'!AT:AT,CRUCE!B414)</f>
        <v>0</v>
      </c>
      <c r="I414" s="7" t="str">
        <f t="shared" si="223"/>
        <v>194Superávit Excedentes Aportes Patronales ESE del Departamento22221326,62</v>
      </c>
      <c r="J414" s="7" t="str">
        <f t="shared" si="224"/>
        <v>194Superávit Excedentes Aportes Patronales ESE del Departamento0</v>
      </c>
      <c r="K414" s="7" t="str">
        <f t="shared" si="225"/>
        <v>194Superávit Excedentes Aportes Patronales ESE del Departamento0</v>
      </c>
      <c r="L414" s="7" t="str">
        <f t="shared" si="226"/>
        <v>194Superávit Excedentes Aportes Patronales ESE del Departamento0</v>
      </c>
      <c r="M414" t="s">
        <v>1906</v>
      </c>
      <c r="N414" s="136" t="e">
        <f t="shared" si="218"/>
        <v>#DIV/0!</v>
      </c>
      <c r="O414" s="136"/>
      <c r="P414" s="20" t="e">
        <f t="shared" si="215"/>
        <v>#DIV/0!</v>
      </c>
      <c r="S414" s="20" t="e">
        <f t="shared" si="216"/>
        <v>#DIV/0!</v>
      </c>
      <c r="V414" s="20" t="e">
        <f t="shared" si="217"/>
        <v>#DIV/0!</v>
      </c>
    </row>
    <row r="415" spans="1:22" hidden="1" x14ac:dyDescent="0.3">
      <c r="A415" s="5">
        <v>195</v>
      </c>
      <c r="B415" s="8" t="s">
        <v>499</v>
      </c>
      <c r="C415" s="11">
        <f>+SUMIFS('2021'!Z:Z,'2021'!D:D,CRUCE!A415,'2021'!AT:AT,CRUCE!B415)</f>
        <v>655606585.65999997</v>
      </c>
      <c r="D415" s="11">
        <f>+SUMIFS('2022'!Y:Y,'2022'!D:D,CRUCE!A415,'2022'!AS:AS,CRUCE!B415)</f>
        <v>105606585.66</v>
      </c>
      <c r="E415" s="136">
        <f t="shared" si="213"/>
        <v>-0.83891774736569236</v>
      </c>
      <c r="F415" s="11">
        <f>+SUMIFS('2023'!Y:Y,'2023'!D:D,CRUCE!A415,'2023'!AS:AS,CRUCE!B415)</f>
        <v>0</v>
      </c>
      <c r="G415" s="136">
        <f t="shared" si="214"/>
        <v>-1</v>
      </c>
      <c r="H415" s="11">
        <f>+SUMIFS('2024'!J:J,'2024'!D:D,CRUCE!A415,'2024'!AT:AT,CRUCE!B415)</f>
        <v>0</v>
      </c>
      <c r="I415" s="7" t="str">
        <f t="shared" si="223"/>
        <v>195Superávit Reintegro Recursos del Credito655606585,66</v>
      </c>
      <c r="J415" s="7" t="str">
        <f t="shared" si="224"/>
        <v>195Superávit Reintegro Recursos del Credito105606585,66</v>
      </c>
      <c r="K415" s="7" t="str">
        <f t="shared" si="225"/>
        <v>195Superávit Reintegro Recursos del Credito0</v>
      </c>
      <c r="L415" s="7" t="str">
        <f t="shared" si="226"/>
        <v>195Superávit Reintegro Recursos del Credito0</v>
      </c>
      <c r="M415" t="s">
        <v>1906</v>
      </c>
      <c r="N415" s="136">
        <f t="shared" si="218"/>
        <v>-0.91945887368284618</v>
      </c>
      <c r="O415" s="136"/>
      <c r="P415" s="20">
        <f t="shared" si="215"/>
        <v>0</v>
      </c>
      <c r="S415" s="20">
        <f t="shared" si="216"/>
        <v>0</v>
      </c>
      <c r="V415" s="20">
        <f t="shared" si="217"/>
        <v>0</v>
      </c>
    </row>
    <row r="416" spans="1:22" hidden="1" x14ac:dyDescent="0.3">
      <c r="A416" s="5">
        <v>196</v>
      </c>
      <c r="B416" s="8" t="s">
        <v>275</v>
      </c>
      <c r="C416" s="11">
        <f>+SUMIFS('2021'!Z:Z,'2021'!D:D,CRUCE!A416,'2021'!AT:AT,CRUCE!B416)</f>
        <v>9672000</v>
      </c>
      <c r="D416" s="11">
        <f>+SUMIFS('2022'!Y:Y,'2022'!D:D,CRUCE!A416,'2022'!AS:AS,CRUCE!B416)</f>
        <v>0</v>
      </c>
      <c r="E416" s="136">
        <f t="shared" si="213"/>
        <v>-1</v>
      </c>
      <c r="F416" s="11">
        <f>+SUMIFS('2023'!Y:Y,'2023'!D:D,CRUCE!A416,'2023'!AS:AS,CRUCE!B416)</f>
        <v>0</v>
      </c>
      <c r="G416" s="136" t="e">
        <f t="shared" si="214"/>
        <v>#DIV/0!</v>
      </c>
      <c r="H416" s="11">
        <f>+SUMIFS('2024'!J:J,'2024'!D:D,CRUCE!A416,'2024'!AT:AT,CRUCE!B416)</f>
        <v>0</v>
      </c>
      <c r="I416" s="7" t="str">
        <f t="shared" si="223"/>
        <v>196Ministerio de la Cultura9672000</v>
      </c>
      <c r="J416" s="7" t="str">
        <f t="shared" si="224"/>
        <v>196Ministerio de la Cultura0</v>
      </c>
      <c r="K416" s="7" t="str">
        <f t="shared" si="225"/>
        <v>196Ministerio de la Cultura0</v>
      </c>
      <c r="L416" s="7" t="str">
        <f t="shared" si="226"/>
        <v>196Ministerio de la Cultura0</v>
      </c>
      <c r="M416" t="s">
        <v>1906</v>
      </c>
      <c r="N416" s="136" t="e">
        <f t="shared" si="218"/>
        <v>#DIV/0!</v>
      </c>
      <c r="O416" s="136"/>
      <c r="P416" s="20" t="e">
        <f t="shared" si="215"/>
        <v>#DIV/0!</v>
      </c>
      <c r="S416" s="20" t="e">
        <f t="shared" si="216"/>
        <v>#DIV/0!</v>
      </c>
      <c r="V416" s="20" t="e">
        <f t="shared" si="217"/>
        <v>#DIV/0!</v>
      </c>
    </row>
    <row r="417" spans="1:22" hidden="1" x14ac:dyDescent="0.3">
      <c r="A417" s="5">
        <v>197</v>
      </c>
      <c r="B417" s="8" t="s">
        <v>746</v>
      </c>
      <c r="C417" s="11">
        <f>+SUMIFS('2021'!Z:Z,'2021'!D:D,CRUCE!A417,'2021'!AT:AT,CRUCE!B417)</f>
        <v>0</v>
      </c>
      <c r="D417" s="11">
        <f>+SUMIFS('2022'!Y:Y,'2022'!D:D,CRUCE!A417,'2022'!AS:AS,CRUCE!B417)</f>
        <v>0</v>
      </c>
      <c r="E417" s="136" t="e">
        <f t="shared" si="213"/>
        <v>#DIV/0!</v>
      </c>
      <c r="F417" s="11">
        <f>+SUMIFS('2023'!Y:Y,'2023'!D:D,CRUCE!A417,'2023'!AS:AS,CRUCE!B417)</f>
        <v>0</v>
      </c>
      <c r="G417" s="136" t="e">
        <f t="shared" si="214"/>
        <v>#DIV/0!</v>
      </c>
      <c r="H417" s="11">
        <f>+SUMIFS('2024'!J:J,'2024'!D:D,CRUCE!A417,'2024'!AT:AT,CRUCE!B417)</f>
        <v>0</v>
      </c>
      <c r="I417" s="7" t="str">
        <f t="shared" si="223"/>
        <v>197Min. Salud - Resolucion No 196 de 20210</v>
      </c>
      <c r="J417" s="7" t="str">
        <f t="shared" si="224"/>
        <v>197Min. Salud - Resolucion No 196 de 20210</v>
      </c>
      <c r="K417" s="7" t="str">
        <f t="shared" si="225"/>
        <v>197Min. Salud - Resolucion No 196 de 20210</v>
      </c>
      <c r="L417" s="7" t="str">
        <f t="shared" si="226"/>
        <v>197Min. Salud - Resolucion No 196 de 20210</v>
      </c>
      <c r="M417" t="s">
        <v>1906</v>
      </c>
      <c r="N417" s="136" t="e">
        <f t="shared" si="218"/>
        <v>#DIV/0!</v>
      </c>
      <c r="O417" s="136"/>
      <c r="P417" s="20" t="e">
        <f t="shared" si="215"/>
        <v>#DIV/0!</v>
      </c>
      <c r="S417" s="20" t="e">
        <f t="shared" si="216"/>
        <v>#DIV/0!</v>
      </c>
      <c r="V417" s="20" t="e">
        <f t="shared" si="217"/>
        <v>#DIV/0!</v>
      </c>
    </row>
    <row r="418" spans="1:22" hidden="1" x14ac:dyDescent="0.3">
      <c r="A418" s="5">
        <v>198</v>
      </c>
      <c r="B418" s="8" t="s">
        <v>881</v>
      </c>
      <c r="C418" s="11">
        <f>+SUMIFS('2021'!Z:Z,'2021'!D:D,CRUCE!A418,'2021'!AT:AT,CRUCE!B418)</f>
        <v>468599154.12</v>
      </c>
      <c r="D418" s="11">
        <f>+SUMIFS('2022'!Y:Y,'2022'!D:D,CRUCE!A418,'2022'!AS:AS,CRUCE!B418)</f>
        <v>468599154.12</v>
      </c>
      <c r="E418" s="136">
        <f t="shared" si="213"/>
        <v>0</v>
      </c>
      <c r="F418" s="11">
        <f>+SUMIFS('2023'!Y:Y,'2023'!D:D,CRUCE!A418,'2023'!AS:AS,CRUCE!B418)</f>
        <v>0</v>
      </c>
      <c r="G418" s="136">
        <f t="shared" si="214"/>
        <v>-1</v>
      </c>
      <c r="H418" s="11">
        <f>+SUMIFS('2024'!J:J,'2024'!D:D,CRUCE!A418,'2024'!AT:AT,CRUCE!B418)</f>
        <v>0</v>
      </c>
      <c r="I418" s="7" t="str">
        <f t="shared" si="223"/>
        <v>198Superávit Fondo de SAlvamento y Grantias para la Salud FONSAET468599154,12</v>
      </c>
      <c r="J418" s="7" t="str">
        <f t="shared" si="224"/>
        <v>198Superávit Fondo de SAlvamento y Grantias para la Salud FONSAET468599154,12</v>
      </c>
      <c r="K418" s="7" t="str">
        <f t="shared" si="225"/>
        <v>198Superávit Fondo de SAlvamento y Grantias para la Salud FONSAET0</v>
      </c>
      <c r="L418" s="7" t="str">
        <f t="shared" si="226"/>
        <v>198Superávit Fondo de SAlvamento y Grantias para la Salud FONSAET0</v>
      </c>
      <c r="M418" t="s">
        <v>1906</v>
      </c>
      <c r="N418" s="136">
        <f t="shared" si="218"/>
        <v>-0.5</v>
      </c>
      <c r="O418" s="136"/>
      <c r="P418" s="20">
        <f t="shared" si="215"/>
        <v>0</v>
      </c>
      <c r="S418" s="20">
        <f t="shared" si="216"/>
        <v>0</v>
      </c>
      <c r="V418" s="20">
        <f t="shared" si="217"/>
        <v>0</v>
      </c>
    </row>
    <row r="419" spans="1:22" hidden="1" x14ac:dyDescent="0.3">
      <c r="A419" s="5">
        <v>199</v>
      </c>
      <c r="B419" s="8" t="s">
        <v>884</v>
      </c>
      <c r="C419" s="11">
        <f>+SUMIFS('2021'!Z:Z,'2021'!D:D,CRUCE!A419,'2021'!AT:AT,CRUCE!B419)</f>
        <v>0</v>
      </c>
      <c r="D419" s="11">
        <f>+SUMIFS('2022'!Y:Y,'2022'!D:D,CRUCE!A419,'2022'!AS:AS,CRUCE!B419)</f>
        <v>0</v>
      </c>
      <c r="E419" s="136" t="e">
        <f t="shared" si="213"/>
        <v>#DIV/0!</v>
      </c>
      <c r="F419" s="11">
        <f>+SUMIFS('2023'!Y:Y,'2023'!D:D,CRUCE!A419,'2023'!AS:AS,CRUCE!B419)</f>
        <v>780549861.13</v>
      </c>
      <c r="G419" s="136" t="e">
        <f t="shared" si="214"/>
        <v>#DIV/0!</v>
      </c>
      <c r="H419" s="11">
        <f>+SUMIFS('2024'!J:J,'2024'!D:D,CRUCE!A419,'2024'!AT:AT,CRUCE!B419)</f>
        <v>0</v>
      </c>
      <c r="I419" s="7" t="str">
        <f t="shared" si="223"/>
        <v>199Superávit Rentas Cedidas Subcuenta Otros Gastos en Salud0</v>
      </c>
      <c r="J419" s="7" t="str">
        <f t="shared" si="224"/>
        <v>199Superávit Rentas Cedidas Subcuenta Otros Gastos en Salud0</v>
      </c>
      <c r="K419" s="7" t="str">
        <f t="shared" si="225"/>
        <v>199Superávit Rentas Cedidas Subcuenta Otros Gastos en Salud780549861,13</v>
      </c>
      <c r="L419" s="7" t="str">
        <f t="shared" si="226"/>
        <v>199Superávit Rentas Cedidas Subcuenta Otros Gastos en Salud0</v>
      </c>
      <c r="M419" t="s">
        <v>1906</v>
      </c>
      <c r="N419" s="136" t="e">
        <f t="shared" si="218"/>
        <v>#DIV/0!</v>
      </c>
      <c r="O419" s="136"/>
      <c r="P419" s="20" t="e">
        <f t="shared" si="215"/>
        <v>#DIV/0!</v>
      </c>
      <c r="S419" s="20" t="e">
        <f t="shared" si="216"/>
        <v>#DIV/0!</v>
      </c>
      <c r="V419" s="20" t="e">
        <f t="shared" si="217"/>
        <v>#DIV/0!</v>
      </c>
    </row>
    <row r="420" spans="1:22" hidden="1" x14ac:dyDescent="0.3">
      <c r="A420" s="5">
        <v>200</v>
      </c>
      <c r="B420" s="8" t="s">
        <v>887</v>
      </c>
      <c r="C420" s="11">
        <f>+SUMIFS('2021'!Z:Z,'2021'!D:D,CRUCE!A420,'2021'!AT:AT,CRUCE!B420)</f>
        <v>772313.93</v>
      </c>
      <c r="D420" s="11">
        <f>+SUMIFS('2022'!Y:Y,'2022'!D:D,CRUCE!A420,'2022'!AS:AS,CRUCE!B420)</f>
        <v>2077416.68</v>
      </c>
      <c r="E420" s="136">
        <f t="shared" si="213"/>
        <v>1.6898604302009674</v>
      </c>
      <c r="F420" s="11">
        <f>+SUMIFS('2023'!Y:Y,'2023'!D:D,CRUCE!A420,'2023'!AS:AS,CRUCE!B420)</f>
        <v>4075229.73</v>
      </c>
      <c r="G420" s="136">
        <f t="shared" si="214"/>
        <v>0.96168143311528631</v>
      </c>
      <c r="H420" s="11">
        <f>+SUMIFS('2024'!J:J,'2024'!D:D,CRUCE!A420,'2024'!AT:AT,CRUCE!B420)</f>
        <v>0</v>
      </c>
      <c r="I420" s="7" t="str">
        <f t="shared" si="223"/>
        <v>200Superávit COLCIENCIAS772313,93</v>
      </c>
      <c r="J420" s="7" t="str">
        <f t="shared" si="224"/>
        <v>200Superávit COLCIENCIAS2077416,68</v>
      </c>
      <c r="K420" s="7" t="str">
        <f t="shared" si="225"/>
        <v>200Superávit COLCIENCIAS4075229,73</v>
      </c>
      <c r="L420" s="7" t="str">
        <f t="shared" si="226"/>
        <v>200Superávit COLCIENCIAS0</v>
      </c>
      <c r="M420" t="s">
        <v>1906</v>
      </c>
      <c r="N420" s="136">
        <f t="shared" si="218"/>
        <v>1.325770931658127</v>
      </c>
      <c r="O420" s="136"/>
      <c r="P420" s="20">
        <f t="shared" si="215"/>
        <v>0</v>
      </c>
      <c r="S420" s="20">
        <f t="shared" si="216"/>
        <v>0</v>
      </c>
      <c r="V420" s="20">
        <f t="shared" si="217"/>
        <v>0</v>
      </c>
    </row>
    <row r="421" spans="1:22" hidden="1" x14ac:dyDescent="0.3">
      <c r="A421" s="5">
        <v>201</v>
      </c>
      <c r="B421" s="8" t="s">
        <v>283</v>
      </c>
      <c r="C421" s="11">
        <f>+SUMIFS('2021'!Z:Z,'2021'!D:D,CRUCE!A421,'2021'!AT:AT,CRUCE!B421)</f>
        <v>0</v>
      </c>
      <c r="D421" s="11">
        <f>+SUMIFS('2022'!Y:Y,'2022'!D:D,CRUCE!A421,'2022'!AS:AS,CRUCE!B421)</f>
        <v>0</v>
      </c>
      <c r="E421" s="136" t="e">
        <f t="shared" si="213"/>
        <v>#DIV/0!</v>
      </c>
      <c r="F421" s="11">
        <f>+SUMIFS('2023'!Y:Y,'2023'!D:D,CRUCE!A421,'2023'!AS:AS,CRUCE!B421)</f>
        <v>0</v>
      </c>
      <c r="G421" s="136" t="e">
        <f t="shared" si="214"/>
        <v>#DIV/0!</v>
      </c>
      <c r="H421" s="11">
        <f>+SUMIFS('2024'!J:J,'2024'!D:D,CRUCE!A421,'2024'!AT:AT,CRUCE!B421)</f>
        <v>0</v>
      </c>
      <c r="I421" s="7" t="str">
        <f t="shared" si="223"/>
        <v>201Ministerio de Cutura Convenio 0894-2021 Quindío un corazon para leer0</v>
      </c>
      <c r="J421" s="7" t="str">
        <f t="shared" si="224"/>
        <v>201Ministerio de Cutura Convenio 0894-2021 Quindío un corazon para leer0</v>
      </c>
      <c r="K421" s="7" t="str">
        <f t="shared" si="225"/>
        <v>201Ministerio de Cutura Convenio 0894-2021 Quindío un corazon para leer0</v>
      </c>
      <c r="L421" s="7" t="str">
        <f t="shared" si="226"/>
        <v>201Ministerio de Cutura Convenio 0894-2021 Quindío un corazon para leer0</v>
      </c>
      <c r="M421" t="s">
        <v>1906</v>
      </c>
      <c r="N421" s="136" t="e">
        <f t="shared" si="218"/>
        <v>#DIV/0!</v>
      </c>
      <c r="O421" s="136"/>
      <c r="P421" s="20" t="e">
        <f t="shared" si="215"/>
        <v>#DIV/0!</v>
      </c>
      <c r="S421" s="20" t="e">
        <f t="shared" si="216"/>
        <v>#DIV/0!</v>
      </c>
      <c r="V421" s="20" t="e">
        <f t="shared" si="217"/>
        <v>#DIV/0!</v>
      </c>
    </row>
    <row r="422" spans="1:22" hidden="1" x14ac:dyDescent="0.3">
      <c r="A422" s="5">
        <v>202</v>
      </c>
      <c r="B422" s="8" t="s">
        <v>459</v>
      </c>
      <c r="C422" s="11">
        <f>+SUMIFS('2021'!Z:Z,'2021'!D:D,CRUCE!A422,'2021'!AT:AT,CRUCE!B422)</f>
        <v>551405237</v>
      </c>
      <c r="D422" s="11">
        <f>+SUMIFS('2022'!Y:Y,'2022'!D:D,CRUCE!A422,'2022'!AS:AS,CRUCE!B422)</f>
        <v>1496145993.8900001</v>
      </c>
      <c r="E422" s="136">
        <f t="shared" si="213"/>
        <v>1.7133329419031254</v>
      </c>
      <c r="F422" s="11">
        <f>+SUMIFS('2023'!Y:Y,'2023'!D:D,CRUCE!A422,'2023'!AS:AS,CRUCE!B422)</f>
        <v>408270300.94999999</v>
      </c>
      <c r="G422" s="136">
        <f t="shared" si="214"/>
        <v>-0.72711867517120332</v>
      </c>
      <c r="H422" s="11">
        <f>+SUMIFS('2024'!J:J,'2024'!D:D,CRUCE!A422,'2024'!AT:AT,CRUCE!B422)</f>
        <v>0</v>
      </c>
      <c r="I422" s="7" t="str">
        <f t="shared" si="223"/>
        <v>202Reintegros551405237</v>
      </c>
      <c r="J422" s="7" t="str">
        <f t="shared" si="224"/>
        <v>202Reintegros1496145993,89</v>
      </c>
      <c r="K422" s="7" t="str">
        <f t="shared" si="225"/>
        <v>202Reintegros408270300,95</v>
      </c>
      <c r="L422" s="7" t="str">
        <f t="shared" si="226"/>
        <v>202Reintegros0</v>
      </c>
      <c r="M422" t="s">
        <v>1906</v>
      </c>
      <c r="N422" s="136">
        <f t="shared" si="218"/>
        <v>0.49310713336596101</v>
      </c>
      <c r="O422" s="136"/>
      <c r="P422" s="20">
        <f t="shared" si="215"/>
        <v>0</v>
      </c>
      <c r="S422" s="20">
        <f t="shared" si="216"/>
        <v>0</v>
      </c>
      <c r="V422" s="20">
        <f t="shared" si="217"/>
        <v>0</v>
      </c>
    </row>
    <row r="423" spans="1:22" hidden="1" x14ac:dyDescent="0.3">
      <c r="A423" s="5">
        <v>203</v>
      </c>
      <c r="B423" s="8" t="s">
        <v>752</v>
      </c>
      <c r="C423" s="11">
        <f>+SUMIFS('2021'!Z:Z,'2021'!D:D,CRUCE!A423,'2021'!AT:AT,CRUCE!B423)</f>
        <v>548597644</v>
      </c>
      <c r="D423" s="11">
        <f>+SUMIFS('2022'!Y:Y,'2022'!D:D,CRUCE!A423,'2022'!AS:AS,CRUCE!B423)</f>
        <v>0</v>
      </c>
      <c r="E423" s="136">
        <f t="shared" si="213"/>
        <v>-1</v>
      </c>
      <c r="F423" s="11">
        <f>+SUMIFS('2023'!Y:Y,'2023'!D:D,CRUCE!A423,'2023'!AS:AS,CRUCE!B423)</f>
        <v>0</v>
      </c>
      <c r="G423" s="136" t="e">
        <f t="shared" si="214"/>
        <v>#DIV/0!</v>
      </c>
      <c r="H423" s="11">
        <f>+SUMIFS('2024'!J:J,'2024'!D:D,CRUCE!A423,'2024'!AT:AT,CRUCE!B423)</f>
        <v>0</v>
      </c>
      <c r="I423" s="7" t="str">
        <f t="shared" si="223"/>
        <v>203Min. Salud - Resolucion No 1831 de 2021 Implementación de Acciones en salud y prevención de enbferme548597644</v>
      </c>
      <c r="J423" s="7" t="str">
        <f t="shared" si="224"/>
        <v>203Min. Salud - Resolucion No 1831 de 2021 Implementación de Acciones en salud y prevención de enbferme0</v>
      </c>
      <c r="K423" s="7" t="str">
        <f t="shared" si="225"/>
        <v>203Min. Salud - Resolucion No 1831 de 2021 Implementación de Acciones en salud y prevención de enbferme0</v>
      </c>
      <c r="L423" s="7" t="str">
        <f t="shared" si="226"/>
        <v>203Min. Salud - Resolucion No 1831 de 2021 Implementación de Acciones en salud y prevención de enbferme0</v>
      </c>
      <c r="M423" t="s">
        <v>1906</v>
      </c>
      <c r="N423" s="136" t="e">
        <f t="shared" si="218"/>
        <v>#DIV/0!</v>
      </c>
      <c r="O423" s="136"/>
      <c r="P423" s="20" t="e">
        <f t="shared" si="215"/>
        <v>#DIV/0!</v>
      </c>
      <c r="S423" s="20" t="e">
        <f t="shared" si="216"/>
        <v>#DIV/0!</v>
      </c>
      <c r="V423" s="20" t="e">
        <f t="shared" si="217"/>
        <v>#DIV/0!</v>
      </c>
    </row>
    <row r="424" spans="1:22" hidden="1" x14ac:dyDescent="0.3">
      <c r="A424" s="5">
        <v>204</v>
      </c>
      <c r="B424" s="8" t="s">
        <v>459</v>
      </c>
      <c r="C424" s="11">
        <f>+SUMIFS('2021'!Z:Z,'2021'!D:D,CRUCE!A424,'2021'!AT:AT,CRUCE!B424)</f>
        <v>173619883</v>
      </c>
      <c r="D424" s="11">
        <f>+SUMIFS('2022'!Y:Y,'2022'!D:D,CRUCE!A424,'2022'!AS:AS,CRUCE!B424)</f>
        <v>23082837</v>
      </c>
      <c r="E424" s="136">
        <f t="shared" si="213"/>
        <v>-0.86704957634374169</v>
      </c>
      <c r="F424" s="11">
        <f>+SUMIFS('2023'!Y:Y,'2023'!D:D,CRUCE!A424,'2023'!AS:AS,CRUCE!B424)</f>
        <v>118437761</v>
      </c>
      <c r="G424" s="136">
        <f t="shared" si="214"/>
        <v>4.1309880583569516</v>
      </c>
      <c r="H424" s="11">
        <f>+SUMIFS('2024'!J:J,'2024'!D:D,CRUCE!A424,'2024'!AT:AT,CRUCE!B424)</f>
        <v>0</v>
      </c>
      <c r="I424" s="7" t="str">
        <f t="shared" si="223"/>
        <v>204Reintegros173619883</v>
      </c>
      <c r="J424" s="7" t="str">
        <f t="shared" si="224"/>
        <v>204Reintegros23082837</v>
      </c>
      <c r="K424" s="7" t="str">
        <f t="shared" si="225"/>
        <v>204Reintegros118437761</v>
      </c>
      <c r="L424" s="7" t="str">
        <f t="shared" si="226"/>
        <v>204Reintegros0</v>
      </c>
      <c r="M424" t="s">
        <v>1906</v>
      </c>
      <c r="N424" s="136">
        <f t="shared" si="218"/>
        <v>1.6319692410066049</v>
      </c>
      <c r="O424" s="136"/>
      <c r="P424" s="20">
        <f t="shared" si="215"/>
        <v>0</v>
      </c>
      <c r="S424" s="20">
        <f t="shared" si="216"/>
        <v>0</v>
      </c>
      <c r="V424" s="20">
        <f t="shared" si="217"/>
        <v>0</v>
      </c>
    </row>
    <row r="425" spans="1:22" x14ac:dyDescent="0.3">
      <c r="A425" s="5">
        <v>205</v>
      </c>
      <c r="B425" s="8" t="s">
        <v>1114</v>
      </c>
      <c r="C425" s="11">
        <f>+SUMIFS('2021'!Z:Z,'2021'!D:D,CRUCE!A425,'2021'!AT:AT,CRUCE!B425)</f>
        <v>0</v>
      </c>
      <c r="D425" s="11">
        <f>+SUMIFS('2022'!Y:Y,'2022'!D:D,CRUCE!A425,'2022'!AS:AS,CRUCE!B425)</f>
        <v>1950500</v>
      </c>
      <c r="E425" s="136" t="e">
        <f t="shared" si="213"/>
        <v>#DIV/0!</v>
      </c>
      <c r="F425" s="11">
        <f>+SUMIFS('2023'!Y:Y,'2023'!D:D,CRUCE!A425,'2023'!AS:AS,CRUCE!B425)</f>
        <v>1365560</v>
      </c>
      <c r="G425" s="136">
        <f t="shared" si="214"/>
        <v>-0.2998923352986414</v>
      </c>
      <c r="H425" s="11">
        <f>+SUMIFS('2024'!J:J,'2024'!D:D,CRUCE!A425,'2024'!AT:AT,CRUCE!B425)</f>
        <v>673000</v>
      </c>
      <c r="I425" s="7" t="str">
        <f t="shared" si="223"/>
        <v>205Participación por la utilización de alcohol potable producido0</v>
      </c>
      <c r="J425" s="7" t="str">
        <f t="shared" si="224"/>
        <v>205Participación por la utilización de alcohol potable producido1950500</v>
      </c>
      <c r="K425" s="7" t="str">
        <f t="shared" si="225"/>
        <v>205Participación por la utilización de alcohol potable producido1365560</v>
      </c>
      <c r="L425" s="7" t="str">
        <f t="shared" si="226"/>
        <v>205Participación por la utilización de alcohol potable producido673000</v>
      </c>
      <c r="M425" t="s">
        <v>1906</v>
      </c>
      <c r="N425" s="136">
        <v>0.05</v>
      </c>
      <c r="O425" s="136"/>
      <c r="P425" s="20">
        <f t="shared" si="215"/>
        <v>706650</v>
      </c>
      <c r="Q425" s="136">
        <f>+N425</f>
        <v>0.05</v>
      </c>
      <c r="R425" s="136">
        <f>+Q425</f>
        <v>0.05</v>
      </c>
      <c r="S425" s="20">
        <f t="shared" si="216"/>
        <v>741982.5</v>
      </c>
      <c r="U425" s="136">
        <f>+R425</f>
        <v>0.05</v>
      </c>
      <c r="V425" s="20">
        <f t="shared" si="217"/>
        <v>779081.625</v>
      </c>
    </row>
    <row r="426" spans="1:22" hidden="1" x14ac:dyDescent="0.3">
      <c r="A426" s="5">
        <v>206</v>
      </c>
      <c r="B426" s="8" t="s">
        <v>1315</v>
      </c>
      <c r="C426" s="11">
        <f>+SUMIFS('2021'!Z:Z,'2021'!D:D,CRUCE!A426,'2021'!AT:AT,CRUCE!B426)</f>
        <v>0</v>
      </c>
      <c r="D426" s="11">
        <f>+SUMIFS('2022'!Y:Y,'2022'!D:D,CRUCE!A426,'2022'!AS:AS,CRUCE!B426)</f>
        <v>131444376</v>
      </c>
      <c r="E426" s="136" t="e">
        <f t="shared" si="213"/>
        <v>#DIV/0!</v>
      </c>
      <c r="F426" s="11">
        <f>+SUMIFS('2023'!Y:Y,'2023'!D:D,CRUCE!A426,'2023'!AS:AS,CRUCE!B426)</f>
        <v>0</v>
      </c>
      <c r="G426" s="136">
        <f t="shared" si="214"/>
        <v>-1</v>
      </c>
      <c r="H426" s="11">
        <f>+SUMIFS('2024'!J:J,'2024'!D:D,CRUCE!A426,'2024'!AT:AT,CRUCE!B426)</f>
        <v>0</v>
      </c>
      <c r="I426" s="7" t="str">
        <f t="shared" si="223"/>
        <v>206Superávit Resoluciones Programa Inimputables0</v>
      </c>
      <c r="J426" s="7" t="str">
        <f t="shared" si="224"/>
        <v>206Superávit Resoluciones Programa Inimputables131444376</v>
      </c>
      <c r="K426" s="7" t="str">
        <f t="shared" si="225"/>
        <v>206Superávit Resoluciones Programa Inimputables0</v>
      </c>
      <c r="L426" s="7" t="str">
        <f t="shared" si="226"/>
        <v>206Superávit Resoluciones Programa Inimputables0</v>
      </c>
      <c r="M426" t="s">
        <v>1906</v>
      </c>
      <c r="N426" s="136" t="e">
        <f t="shared" si="218"/>
        <v>#DIV/0!</v>
      </c>
      <c r="O426" s="136"/>
      <c r="P426" s="20" t="e">
        <f t="shared" si="215"/>
        <v>#DIV/0!</v>
      </c>
      <c r="S426" s="20" t="e">
        <f t="shared" si="216"/>
        <v>#DIV/0!</v>
      </c>
      <c r="V426" s="20" t="e">
        <f t="shared" si="217"/>
        <v>#DIV/0!</v>
      </c>
    </row>
    <row r="427" spans="1:22" hidden="1" x14ac:dyDescent="0.3">
      <c r="A427" s="5">
        <v>207</v>
      </c>
      <c r="B427" s="8" t="s">
        <v>1173</v>
      </c>
      <c r="C427" s="11">
        <f>+SUMIFS('2021'!Z:Z,'2021'!D:D,CRUCE!A427,'2021'!AT:AT,CRUCE!B427)</f>
        <v>0</v>
      </c>
      <c r="D427" s="11">
        <f>+SUMIFS('2022'!Y:Y,'2022'!D:D,CRUCE!A427,'2022'!AS:AS,CRUCE!B427)</f>
        <v>401080689</v>
      </c>
      <c r="E427" s="136" t="e">
        <f t="shared" si="213"/>
        <v>#DIV/0!</v>
      </c>
      <c r="F427" s="11">
        <f>+SUMIFS('2023'!Y:Y,'2023'!D:D,CRUCE!A427,'2023'!AS:AS,CRUCE!B427)</f>
        <v>60254577</v>
      </c>
      <c r="G427" s="136">
        <f t="shared" si="214"/>
        <v>-0.84976943878741562</v>
      </c>
      <c r="H427" s="11">
        <f>+SUMIFS('2024'!J:J,'2024'!D:D,CRUCE!A427,'2024'!AT:AT,CRUCE!B427)</f>
        <v>0</v>
      </c>
      <c r="I427" s="7" t="str">
        <f t="shared" si="223"/>
        <v>207Superávit Convenio Invias Colombia Rural 0</v>
      </c>
      <c r="J427" s="7" t="str">
        <f t="shared" si="224"/>
        <v>207Superávit Convenio Invias Colombia Rural 401080689</v>
      </c>
      <c r="K427" s="7" t="str">
        <f t="shared" si="225"/>
        <v>207Superávit Convenio Invias Colombia Rural 60254577</v>
      </c>
      <c r="L427" s="7" t="str">
        <f t="shared" si="226"/>
        <v>207Superávit Convenio Invias Colombia Rural 0</v>
      </c>
      <c r="M427" t="s">
        <v>1906</v>
      </c>
      <c r="N427" s="136" t="e">
        <f t="shared" si="218"/>
        <v>#DIV/0!</v>
      </c>
      <c r="O427" s="136"/>
      <c r="P427" s="20" t="e">
        <f t="shared" si="215"/>
        <v>#DIV/0!</v>
      </c>
      <c r="S427" s="20" t="e">
        <f t="shared" si="216"/>
        <v>#DIV/0!</v>
      </c>
      <c r="V427" s="20" t="e">
        <f t="shared" si="217"/>
        <v>#DIV/0!</v>
      </c>
    </row>
    <row r="428" spans="1:22" hidden="1" x14ac:dyDescent="0.3">
      <c r="A428" s="5">
        <v>208</v>
      </c>
      <c r="B428" s="8" t="s">
        <v>516</v>
      </c>
      <c r="C428" s="11">
        <f>+SUMIFS('2021'!Z:Z,'2021'!D:D,CRUCE!A428,'2021'!AT:AT,CRUCE!B428)</f>
        <v>0</v>
      </c>
      <c r="D428" s="11">
        <f>+SUMIFS('2022'!Y:Y,'2022'!D:D,CRUCE!A428,'2022'!AS:AS,CRUCE!B428)</f>
        <v>161388461.13</v>
      </c>
      <c r="E428" s="136" t="e">
        <f t="shared" si="213"/>
        <v>#DIV/0!</v>
      </c>
      <c r="F428" s="11">
        <f>+SUMIFS('2023'!Y:Y,'2023'!D:D,CRUCE!A428,'2023'!AS:AS,CRUCE!B428)</f>
        <v>344419201.76999998</v>
      </c>
      <c r="G428" s="136">
        <f t="shared" si="214"/>
        <v>1.134100538281773</v>
      </c>
      <c r="H428" s="11">
        <f>+SUMIFS('2024'!J:J,'2024'!D:D,CRUCE!A428,'2024'!AT:AT,CRUCE!B428)</f>
        <v>0</v>
      </c>
      <c r="I428" s="7" t="str">
        <f t="shared" si="223"/>
        <v>208Superávit Impuesto al Consumo 3% Monopolio Indeportes0</v>
      </c>
      <c r="J428" s="7" t="str">
        <f t="shared" si="224"/>
        <v>208Superávit Impuesto al Consumo 3% Monopolio Indeportes161388461,13</v>
      </c>
      <c r="K428" s="7" t="str">
        <f t="shared" si="225"/>
        <v>208Superávit Impuesto al Consumo 3% Monopolio Indeportes344419201,77</v>
      </c>
      <c r="L428" s="7" t="str">
        <f t="shared" si="226"/>
        <v>208Superávit Impuesto al Consumo 3% Monopolio Indeportes0</v>
      </c>
      <c r="M428" t="s">
        <v>1906</v>
      </c>
      <c r="N428" s="136" t="e">
        <f t="shared" si="218"/>
        <v>#DIV/0!</v>
      </c>
      <c r="O428" s="136"/>
      <c r="P428" s="20" t="e">
        <f t="shared" si="215"/>
        <v>#DIV/0!</v>
      </c>
      <c r="S428" s="20" t="e">
        <f t="shared" si="216"/>
        <v>#DIV/0!</v>
      </c>
      <c r="V428" s="20" t="e">
        <f t="shared" si="217"/>
        <v>#DIV/0!</v>
      </c>
    </row>
    <row r="429" spans="1:22" hidden="1" x14ac:dyDescent="0.3">
      <c r="A429" s="5">
        <v>209</v>
      </c>
      <c r="B429" s="8" t="s">
        <v>1176</v>
      </c>
      <c r="C429" s="11">
        <f>+SUMIFS('2021'!Z:Z,'2021'!D:D,CRUCE!A429,'2021'!AT:AT,CRUCE!B429)</f>
        <v>0</v>
      </c>
      <c r="D429" s="11">
        <f>+SUMIFS('2022'!Y:Y,'2022'!D:D,CRUCE!A429,'2022'!AS:AS,CRUCE!B429)</f>
        <v>854834830.09000003</v>
      </c>
      <c r="E429" s="136" t="e">
        <f t="shared" si="213"/>
        <v>#DIV/0!</v>
      </c>
      <c r="F429" s="11">
        <f>+SUMIFS('2023'!Y:Y,'2023'!D:D,CRUCE!A429,'2023'!AS:AS,CRUCE!B429)</f>
        <v>0</v>
      </c>
      <c r="G429" s="136">
        <f t="shared" si="214"/>
        <v>-1</v>
      </c>
      <c r="H429" s="11">
        <f>+SUMIFS('2024'!J:J,'2024'!D:D,CRUCE!A429,'2024'!AT:AT,CRUCE!B429)</f>
        <v>0</v>
      </c>
      <c r="I429" s="7" t="str">
        <f t="shared" si="223"/>
        <v>209Superávit estampilla Pro-Desarrollo (20%) Pensiones0</v>
      </c>
      <c r="J429" s="7" t="str">
        <f t="shared" si="224"/>
        <v>209Superávit estampilla Pro-Desarrollo (20%) Pensiones854834830,09</v>
      </c>
      <c r="K429" s="7" t="str">
        <f t="shared" si="225"/>
        <v>209Superávit estampilla Pro-Desarrollo (20%) Pensiones0</v>
      </c>
      <c r="L429" s="7" t="str">
        <f t="shared" si="226"/>
        <v>209Superávit estampilla Pro-Desarrollo (20%) Pensiones0</v>
      </c>
      <c r="M429" t="s">
        <v>1906</v>
      </c>
      <c r="N429" s="136" t="e">
        <f t="shared" si="218"/>
        <v>#DIV/0!</v>
      </c>
      <c r="O429" s="136"/>
      <c r="P429" s="20" t="e">
        <f t="shared" si="215"/>
        <v>#DIV/0!</v>
      </c>
      <c r="S429" s="20" t="e">
        <f t="shared" si="216"/>
        <v>#DIV/0!</v>
      </c>
      <c r="V429" s="20" t="e">
        <f t="shared" si="217"/>
        <v>#DIV/0!</v>
      </c>
    </row>
    <row r="430" spans="1:22" hidden="1" x14ac:dyDescent="0.3">
      <c r="A430" s="5">
        <v>210</v>
      </c>
      <c r="B430" s="8" t="s">
        <v>1179</v>
      </c>
      <c r="C430" s="11">
        <f>+SUMIFS('2021'!Z:Z,'2021'!D:D,CRUCE!A430,'2021'!AT:AT,CRUCE!B430)</f>
        <v>0</v>
      </c>
      <c r="D430" s="11">
        <f>+SUMIFS('2022'!Y:Y,'2022'!D:D,CRUCE!A430,'2022'!AS:AS,CRUCE!B430)</f>
        <v>74807488.079999998</v>
      </c>
      <c r="E430" s="136" t="e">
        <f t="shared" si="213"/>
        <v>#DIV/0!</v>
      </c>
      <c r="F430" s="11">
        <f>+SUMIFS('2023'!Y:Y,'2023'!D:D,CRUCE!A430,'2023'!AS:AS,CRUCE!B430)</f>
        <v>705559500.57000005</v>
      </c>
      <c r="G430" s="136">
        <f t="shared" si="214"/>
        <v>8.4316694582160867</v>
      </c>
      <c r="H430" s="11">
        <f>+SUMIFS('2024'!J:J,'2024'!D:D,CRUCE!A430,'2024'!AT:AT,CRUCE!B430)</f>
        <v>0</v>
      </c>
      <c r="I430" s="7" t="str">
        <f t="shared" si="223"/>
        <v>210Superávit estampilla Pro-Desarrollo (30%) Proyecta0</v>
      </c>
      <c r="J430" s="7" t="str">
        <f t="shared" si="224"/>
        <v>210Superávit estampilla Pro-Desarrollo (30%) Proyecta74807488,08</v>
      </c>
      <c r="K430" s="7" t="str">
        <f t="shared" si="225"/>
        <v>210Superávit estampilla Pro-Desarrollo (30%) Proyecta705559500,57</v>
      </c>
      <c r="L430" s="7" t="str">
        <f t="shared" si="226"/>
        <v>210Superávit estampilla Pro-Desarrollo (30%) Proyecta0</v>
      </c>
      <c r="M430" t="s">
        <v>1906</v>
      </c>
      <c r="N430" s="136" t="e">
        <f t="shared" si="218"/>
        <v>#DIV/0!</v>
      </c>
      <c r="O430" s="136"/>
      <c r="P430" s="20" t="e">
        <f t="shared" si="215"/>
        <v>#DIV/0!</v>
      </c>
      <c r="S430" s="20" t="e">
        <f t="shared" si="216"/>
        <v>#DIV/0!</v>
      </c>
      <c r="V430" s="20" t="e">
        <f t="shared" si="217"/>
        <v>#DIV/0!</v>
      </c>
    </row>
    <row r="431" spans="1:22" hidden="1" x14ac:dyDescent="0.3">
      <c r="A431" s="5">
        <v>211</v>
      </c>
      <c r="B431" s="8" t="s">
        <v>1182</v>
      </c>
      <c r="C431" s="11">
        <f>+SUMIFS('2021'!Z:Z,'2021'!D:D,CRUCE!A431,'2021'!AT:AT,CRUCE!B431)</f>
        <v>0</v>
      </c>
      <c r="D431" s="11">
        <f>+SUMIFS('2022'!Y:Y,'2022'!D:D,CRUCE!A431,'2022'!AS:AS,CRUCE!B431)</f>
        <v>311025523.94999999</v>
      </c>
      <c r="E431" s="136" t="e">
        <f t="shared" si="213"/>
        <v>#DIV/0!</v>
      </c>
      <c r="F431" s="11">
        <f>+SUMIFS('2023'!Y:Y,'2023'!D:D,CRUCE!A431,'2023'!AS:AS,CRUCE!B431)</f>
        <v>45325599.490000002</v>
      </c>
      <c r="G431" s="136">
        <f t="shared" si="214"/>
        <v>-0.85427048264602723</v>
      </c>
      <c r="H431" s="11">
        <f>+SUMIFS('2024'!J:J,'2024'!D:D,CRUCE!A431,'2024'!AT:AT,CRUCE!B431)</f>
        <v>0</v>
      </c>
      <c r="I431" s="7" t="str">
        <f t="shared" si="223"/>
        <v>211Superávit estampilla Procultura 20% Pensiones0</v>
      </c>
      <c r="J431" s="7" t="str">
        <f t="shared" si="224"/>
        <v>211Superávit estampilla Procultura 20% Pensiones311025523,95</v>
      </c>
      <c r="K431" s="7" t="str">
        <f t="shared" si="225"/>
        <v>211Superávit estampilla Procultura 20% Pensiones45325599,49</v>
      </c>
      <c r="L431" s="7" t="str">
        <f t="shared" si="226"/>
        <v>211Superávit estampilla Procultura 20% Pensiones0</v>
      </c>
      <c r="M431" t="s">
        <v>1906</v>
      </c>
      <c r="N431" s="136" t="e">
        <f t="shared" si="218"/>
        <v>#DIV/0!</v>
      </c>
      <c r="O431" s="136"/>
      <c r="P431" s="20" t="e">
        <f t="shared" si="215"/>
        <v>#DIV/0!</v>
      </c>
      <c r="S431" s="20" t="e">
        <f t="shared" si="216"/>
        <v>#DIV/0!</v>
      </c>
      <c r="V431" s="20" t="e">
        <f t="shared" si="217"/>
        <v>#DIV/0!</v>
      </c>
    </row>
    <row r="432" spans="1:22" hidden="1" x14ac:dyDescent="0.3">
      <c r="A432" s="5">
        <v>212</v>
      </c>
      <c r="B432" s="8" t="s">
        <v>1195</v>
      </c>
      <c r="C432" s="11">
        <f>+SUMIFS('2021'!Z:Z,'2021'!D:D,CRUCE!A432,'2021'!AT:AT,CRUCE!B432)</f>
        <v>0</v>
      </c>
      <c r="D432" s="11">
        <f>+SUMIFS('2022'!Y:Y,'2022'!D:D,CRUCE!A432,'2022'!AS:AS,CRUCE!B432)</f>
        <v>252294235.72999999</v>
      </c>
      <c r="E432" s="136" t="e">
        <f t="shared" si="213"/>
        <v>#DIV/0!</v>
      </c>
      <c r="F432" s="11">
        <f>+SUMIFS('2023'!Y:Y,'2023'!D:D,CRUCE!A432,'2023'!AS:AS,CRUCE!B432)</f>
        <v>99878270.549999997</v>
      </c>
      <c r="G432" s="136">
        <f t="shared" si="214"/>
        <v>-0.60411988700016273</v>
      </c>
      <c r="H432" s="11">
        <f>+SUMIFS('2024'!J:J,'2024'!D:D,CRUCE!A432,'2024'!AT:AT,CRUCE!B432)</f>
        <v>0</v>
      </c>
      <c r="I432" s="7" t="str">
        <f t="shared" si="223"/>
        <v>212Superávit estampilla Procultura 10% Seguridad Social0</v>
      </c>
      <c r="J432" s="7" t="str">
        <f t="shared" si="224"/>
        <v>212Superávit estampilla Procultura 10% Seguridad Social252294235,73</v>
      </c>
      <c r="K432" s="7" t="str">
        <f t="shared" si="225"/>
        <v>212Superávit estampilla Procultura 10% Seguridad Social99878270,55</v>
      </c>
      <c r="L432" s="7" t="str">
        <f t="shared" si="226"/>
        <v>212Superávit estampilla Procultura 10% Seguridad Social0</v>
      </c>
      <c r="M432" t="s">
        <v>1906</v>
      </c>
      <c r="N432" s="136" t="e">
        <f t="shared" si="218"/>
        <v>#DIV/0!</v>
      </c>
      <c r="O432" s="136"/>
      <c r="P432" s="20" t="e">
        <f t="shared" si="215"/>
        <v>#DIV/0!</v>
      </c>
      <c r="S432" s="20" t="e">
        <f t="shared" si="216"/>
        <v>#DIV/0!</v>
      </c>
      <c r="V432" s="20" t="e">
        <f t="shared" si="217"/>
        <v>#DIV/0!</v>
      </c>
    </row>
    <row r="433" spans="1:22" hidden="1" x14ac:dyDescent="0.3">
      <c r="A433" s="5">
        <v>213</v>
      </c>
      <c r="B433" s="8" t="s">
        <v>1192</v>
      </c>
      <c r="C433" s="11">
        <f>+SUMIFS('2021'!Z:Z,'2021'!D:D,CRUCE!A433,'2021'!AT:AT,CRUCE!B433)</f>
        <v>0</v>
      </c>
      <c r="D433" s="11">
        <f>+SUMIFS('2022'!Y:Y,'2022'!D:D,CRUCE!A433,'2022'!AS:AS,CRUCE!B433)</f>
        <v>108238766.06</v>
      </c>
      <c r="E433" s="136" t="e">
        <f t="shared" si="213"/>
        <v>#DIV/0!</v>
      </c>
      <c r="F433" s="11">
        <f>+SUMIFS('2023'!Y:Y,'2023'!D:D,CRUCE!A433,'2023'!AS:AS,CRUCE!B433)</f>
        <v>73048930.180000007</v>
      </c>
      <c r="G433" s="136">
        <f t="shared" si="214"/>
        <v>-0.32511305478568753</v>
      </c>
      <c r="H433" s="11">
        <f>+SUMIFS('2024'!J:J,'2024'!D:D,CRUCE!A433,'2024'!AT:AT,CRUCE!B433)</f>
        <v>0</v>
      </c>
      <c r="I433" s="7" t="str">
        <f t="shared" si="223"/>
        <v>213Superávit estampilla Procultura 10% Bibliotecas0</v>
      </c>
      <c r="J433" s="7" t="str">
        <f t="shared" si="224"/>
        <v>213Superávit estampilla Procultura 10% Bibliotecas108238766,06</v>
      </c>
      <c r="K433" s="7" t="str">
        <f t="shared" si="225"/>
        <v>213Superávit estampilla Procultura 10% Bibliotecas73048930,18</v>
      </c>
      <c r="L433" s="7" t="str">
        <f t="shared" si="226"/>
        <v>213Superávit estampilla Procultura 10% Bibliotecas0</v>
      </c>
      <c r="M433" t="s">
        <v>1906</v>
      </c>
      <c r="N433" s="136" t="e">
        <f t="shared" si="218"/>
        <v>#DIV/0!</v>
      </c>
      <c r="O433" s="136"/>
      <c r="P433" s="20" t="e">
        <f t="shared" si="215"/>
        <v>#DIV/0!</v>
      </c>
      <c r="S433" s="20" t="e">
        <f t="shared" si="216"/>
        <v>#DIV/0!</v>
      </c>
      <c r="V433" s="20" t="e">
        <f t="shared" si="217"/>
        <v>#DIV/0!</v>
      </c>
    </row>
    <row r="434" spans="1:22" hidden="1" x14ac:dyDescent="0.3">
      <c r="A434" s="5">
        <v>214</v>
      </c>
      <c r="B434" s="8" t="s">
        <v>1198</v>
      </c>
      <c r="C434" s="11">
        <f>+SUMIFS('2021'!Z:Z,'2021'!D:D,CRUCE!A434,'2021'!AT:AT,CRUCE!B434)</f>
        <v>0</v>
      </c>
      <c r="D434" s="11">
        <f>+SUMIFS('2022'!Y:Y,'2022'!D:D,CRUCE!A434,'2022'!AS:AS,CRUCE!B434)</f>
        <v>67688898.989999995</v>
      </c>
      <c r="E434" s="136" t="e">
        <f t="shared" si="213"/>
        <v>#DIV/0!</v>
      </c>
      <c r="F434" s="11">
        <f>+SUMIFS('2023'!Y:Y,'2023'!D:D,CRUCE!A434,'2023'!AS:AS,CRUCE!B434)</f>
        <v>405865979.32999998</v>
      </c>
      <c r="G434" s="136">
        <f t="shared" si="214"/>
        <v>4.9960493579598699</v>
      </c>
      <c r="H434" s="11">
        <f>+SUMIFS('2024'!J:J,'2024'!D:D,CRUCE!A434,'2024'!AT:AT,CRUCE!B434)</f>
        <v>0</v>
      </c>
      <c r="I434" s="7" t="str">
        <f t="shared" si="223"/>
        <v>214Superávit estampilla Procultura 50% Concertación0</v>
      </c>
      <c r="J434" s="7" t="str">
        <f t="shared" si="224"/>
        <v>214Superávit estampilla Procultura 50% Concertación67688898,99</v>
      </c>
      <c r="K434" s="7" t="str">
        <f t="shared" si="225"/>
        <v>214Superávit estampilla Procultura 50% Concertación405865979,33</v>
      </c>
      <c r="L434" s="7" t="str">
        <f t="shared" si="226"/>
        <v>214Superávit estampilla Procultura 50% Concertación0</v>
      </c>
      <c r="M434" t="s">
        <v>1906</v>
      </c>
      <c r="N434" s="136" t="e">
        <f t="shared" si="218"/>
        <v>#DIV/0!</v>
      </c>
      <c r="O434" s="136"/>
      <c r="P434" s="20" t="e">
        <f t="shared" si="215"/>
        <v>#DIV/0!</v>
      </c>
      <c r="S434" s="20" t="e">
        <f t="shared" si="216"/>
        <v>#DIV/0!</v>
      </c>
      <c r="V434" s="20" t="e">
        <f t="shared" si="217"/>
        <v>#DIV/0!</v>
      </c>
    </row>
    <row r="435" spans="1:22" hidden="1" x14ac:dyDescent="0.3">
      <c r="A435" s="5">
        <v>215</v>
      </c>
      <c r="B435" s="8" t="s">
        <v>1201</v>
      </c>
      <c r="C435" s="11">
        <f>+SUMIFS('2021'!Z:Z,'2021'!D:D,CRUCE!A435,'2021'!AT:AT,CRUCE!B435)</f>
        <v>0</v>
      </c>
      <c r="D435" s="11">
        <f>+SUMIFS('2022'!Y:Y,'2022'!D:D,CRUCE!A435,'2022'!AS:AS,CRUCE!B435)</f>
        <v>16044780.800000001</v>
      </c>
      <c r="E435" s="136" t="e">
        <f t="shared" si="213"/>
        <v>#DIV/0!</v>
      </c>
      <c r="F435" s="11">
        <f>+SUMIFS('2023'!Y:Y,'2023'!D:D,CRUCE!A435,'2023'!AS:AS,CRUCE!B435)</f>
        <v>71938618.980000004</v>
      </c>
      <c r="G435" s="136">
        <f t="shared" si="214"/>
        <v>3.4836149447426545</v>
      </c>
      <c r="H435" s="11">
        <f>+SUMIFS('2024'!J:J,'2024'!D:D,CRUCE!A435,'2024'!AT:AT,CRUCE!B435)</f>
        <v>0</v>
      </c>
      <c r="I435" s="7" t="str">
        <f t="shared" si="223"/>
        <v>215Superávit estampilla Procultura 10% Estimulos0</v>
      </c>
      <c r="J435" s="7" t="str">
        <f t="shared" si="224"/>
        <v>215Superávit estampilla Procultura 10% Estimulos16044780,8</v>
      </c>
      <c r="K435" s="7" t="str">
        <f t="shared" si="225"/>
        <v>215Superávit estampilla Procultura 10% Estimulos71938618,98</v>
      </c>
      <c r="L435" s="7" t="str">
        <f t="shared" si="226"/>
        <v>215Superávit estampilla Procultura 10% Estimulos0</v>
      </c>
      <c r="M435" t="s">
        <v>1906</v>
      </c>
      <c r="N435" s="136" t="e">
        <f t="shared" si="218"/>
        <v>#DIV/0!</v>
      </c>
      <c r="O435" s="136"/>
      <c r="P435" s="20" t="e">
        <f t="shared" si="215"/>
        <v>#DIV/0!</v>
      </c>
      <c r="S435" s="20" t="e">
        <f t="shared" si="216"/>
        <v>#DIV/0!</v>
      </c>
      <c r="V435" s="20" t="e">
        <f t="shared" si="217"/>
        <v>#DIV/0!</v>
      </c>
    </row>
    <row r="436" spans="1:22" hidden="1" x14ac:dyDescent="0.3">
      <c r="A436" s="5">
        <v>216</v>
      </c>
      <c r="B436" s="8" t="s">
        <v>1185</v>
      </c>
      <c r="C436" s="11">
        <f>+SUMIFS('2021'!Z:Z,'2021'!D:D,CRUCE!A436,'2021'!AT:AT,CRUCE!B436)</f>
        <v>0</v>
      </c>
      <c r="D436" s="11">
        <f>+SUMIFS('2022'!Y:Y,'2022'!D:D,CRUCE!A436,'2022'!AS:AS,CRUCE!B436)</f>
        <v>435999905.50999999</v>
      </c>
      <c r="E436" s="136" t="e">
        <f t="shared" si="213"/>
        <v>#DIV/0!</v>
      </c>
      <c r="F436" s="11">
        <f>+SUMIFS('2023'!Y:Y,'2023'!D:D,CRUCE!A436,'2023'!AS:AS,CRUCE!B436)</f>
        <v>0</v>
      </c>
      <c r="G436" s="136">
        <f t="shared" si="214"/>
        <v>-1</v>
      </c>
      <c r="H436" s="11">
        <f>+SUMIFS('2024'!J:J,'2024'!D:D,CRUCE!A436,'2024'!AT:AT,CRUCE!B436)</f>
        <v>0</v>
      </c>
      <c r="I436" s="7" t="str">
        <f t="shared" si="223"/>
        <v>216Superávit estampilla Pro-adulto mayor (20%) Pensión0</v>
      </c>
      <c r="J436" s="7" t="str">
        <f t="shared" si="224"/>
        <v>216Superávit estampilla Pro-adulto mayor (20%) Pensión435999905,51</v>
      </c>
      <c r="K436" s="7" t="str">
        <f t="shared" si="225"/>
        <v>216Superávit estampilla Pro-adulto mayor (20%) Pensión0</v>
      </c>
      <c r="L436" s="7" t="str">
        <f t="shared" si="226"/>
        <v>216Superávit estampilla Pro-adulto mayor (20%) Pensión0</v>
      </c>
      <c r="M436" t="s">
        <v>1906</v>
      </c>
      <c r="N436" s="136" t="e">
        <f t="shared" si="218"/>
        <v>#DIV/0!</v>
      </c>
      <c r="O436" s="136"/>
      <c r="P436" s="20" t="e">
        <f t="shared" si="215"/>
        <v>#DIV/0!</v>
      </c>
      <c r="S436" s="20" t="e">
        <f t="shared" si="216"/>
        <v>#DIV/0!</v>
      </c>
      <c r="V436" s="20" t="e">
        <f t="shared" si="217"/>
        <v>#DIV/0!</v>
      </c>
    </row>
    <row r="437" spans="1:22" hidden="1" x14ac:dyDescent="0.3">
      <c r="A437" s="5">
        <v>217</v>
      </c>
      <c r="B437" s="8" t="s">
        <v>1166</v>
      </c>
      <c r="C437" s="11">
        <f>+SUMIFS('2021'!Z:Z,'2021'!D:D,CRUCE!A437,'2021'!AT:AT,CRUCE!B437)</f>
        <v>0</v>
      </c>
      <c r="D437" s="11">
        <f>+SUMIFS('2022'!Y:Y,'2022'!D:D,CRUCE!A437,'2022'!AS:AS,CRUCE!B437)</f>
        <v>138533774.16</v>
      </c>
      <c r="E437" s="136" t="e">
        <f t="shared" si="213"/>
        <v>#DIV/0!</v>
      </c>
      <c r="F437" s="11">
        <f>+SUMIFS('2023'!Y:Y,'2023'!D:D,CRUCE!A437,'2023'!AS:AS,CRUCE!B437)</f>
        <v>84050667</v>
      </c>
      <c r="G437" s="136">
        <f t="shared" si="214"/>
        <v>-0.39328393014886442</v>
      </c>
      <c r="H437" s="11">
        <f>+SUMIFS('2024'!J:J,'2024'!D:D,CRUCE!A437,'2024'!AT:AT,CRUCE!B437)</f>
        <v>0</v>
      </c>
      <c r="I437" s="7" t="str">
        <f t="shared" si="223"/>
        <v>217Superavít Convenios Interadministrativos 0</v>
      </c>
      <c r="J437" s="7" t="str">
        <f t="shared" si="224"/>
        <v>217Superavít Convenios Interadministrativos 138533774,16</v>
      </c>
      <c r="K437" s="7" t="str">
        <f t="shared" si="225"/>
        <v>217Superavít Convenios Interadministrativos 84050667</v>
      </c>
      <c r="L437" s="7" t="str">
        <f t="shared" si="226"/>
        <v>217Superavít Convenios Interadministrativos 0</v>
      </c>
      <c r="M437" t="s">
        <v>1906</v>
      </c>
      <c r="N437" s="136" t="e">
        <f t="shared" si="218"/>
        <v>#DIV/0!</v>
      </c>
      <c r="O437" s="136"/>
      <c r="P437" s="20" t="e">
        <f t="shared" si="215"/>
        <v>#DIV/0!</v>
      </c>
      <c r="S437" s="20" t="e">
        <f t="shared" si="216"/>
        <v>#DIV/0!</v>
      </c>
      <c r="V437" s="20" t="e">
        <f t="shared" si="217"/>
        <v>#DIV/0!</v>
      </c>
    </row>
    <row r="438" spans="1:22" hidden="1" x14ac:dyDescent="0.3">
      <c r="A438" s="5">
        <v>218</v>
      </c>
      <c r="B438" s="8" t="s">
        <v>281</v>
      </c>
      <c r="C438" s="11">
        <f>+SUMIFS('2021'!Z:Z,'2021'!D:D,CRUCE!A438,'2021'!AT:AT,CRUCE!B438)</f>
        <v>0</v>
      </c>
      <c r="D438" s="11">
        <f>+SUMIFS('2022'!Y:Y,'2022'!D:D,CRUCE!A438,'2022'!AS:AS,CRUCE!B438)</f>
        <v>10000000000</v>
      </c>
      <c r="E438" s="136" t="e">
        <f t="shared" si="213"/>
        <v>#DIV/0!</v>
      </c>
      <c r="F438" s="11">
        <f>+SUMIFS('2023'!Y:Y,'2023'!D:D,CRUCE!A438,'2023'!AS:AS,CRUCE!B438)</f>
        <v>0</v>
      </c>
      <c r="G438" s="136">
        <f t="shared" si="214"/>
        <v>-1</v>
      </c>
      <c r="H438" s="11">
        <f>+SUMIFS('2024'!J:J,'2024'!D:D,CRUCE!A438,'2024'!AT:AT,CRUCE!B438)</f>
        <v>0</v>
      </c>
      <c r="I438" s="7" t="str">
        <f t="shared" si="223"/>
        <v>218Instituto Nacional de Vías0</v>
      </c>
      <c r="J438" s="7" t="str">
        <f t="shared" si="224"/>
        <v>218Instituto Nacional de Vías10000000000</v>
      </c>
      <c r="K438" s="7" t="str">
        <f t="shared" si="225"/>
        <v>218Instituto Nacional de Vías0</v>
      </c>
      <c r="L438" s="7" t="str">
        <f t="shared" si="226"/>
        <v>218Instituto Nacional de Vías0</v>
      </c>
      <c r="M438" t="s">
        <v>1906</v>
      </c>
      <c r="N438" s="136" t="e">
        <f t="shared" si="218"/>
        <v>#DIV/0!</v>
      </c>
      <c r="O438" s="136"/>
      <c r="P438" s="20" t="e">
        <f t="shared" si="215"/>
        <v>#DIV/0!</v>
      </c>
      <c r="S438" s="20" t="e">
        <f t="shared" si="216"/>
        <v>#DIV/0!</v>
      </c>
      <c r="V438" s="20" t="e">
        <f t="shared" si="217"/>
        <v>#DIV/0!</v>
      </c>
    </row>
    <row r="439" spans="1:22" hidden="1" x14ac:dyDescent="0.3">
      <c r="A439" s="5">
        <v>219</v>
      </c>
      <c r="B439" s="8" t="s">
        <v>281</v>
      </c>
      <c r="C439" s="11">
        <f>+SUMIFS('2021'!Z:Z,'2021'!D:D,CRUCE!A439,'2021'!AT:AT,CRUCE!B439)</f>
        <v>0</v>
      </c>
      <c r="D439" s="11">
        <f>+SUMIFS('2022'!Y:Y,'2022'!D:D,CRUCE!A439,'2022'!AS:AS,CRUCE!B439)</f>
        <v>3798323517</v>
      </c>
      <c r="E439" s="136" t="e">
        <f t="shared" si="213"/>
        <v>#DIV/0!</v>
      </c>
      <c r="F439" s="11">
        <f>+SUMIFS('2023'!Y:Y,'2023'!D:D,CRUCE!A439,'2023'!AS:AS,CRUCE!B439)</f>
        <v>0</v>
      </c>
      <c r="G439" s="136">
        <f t="shared" si="214"/>
        <v>-1</v>
      </c>
      <c r="H439" s="11">
        <f>+SUMIFS('2024'!J:J,'2024'!D:D,CRUCE!A439,'2024'!AT:AT,CRUCE!B439)</f>
        <v>0</v>
      </c>
      <c r="I439" s="7" t="str">
        <f t="shared" si="223"/>
        <v>219Instituto Nacional de Vías0</v>
      </c>
      <c r="J439" s="7" t="str">
        <f t="shared" si="224"/>
        <v>219Instituto Nacional de Vías3798323517</v>
      </c>
      <c r="K439" s="7" t="str">
        <f t="shared" si="225"/>
        <v>219Instituto Nacional de Vías0</v>
      </c>
      <c r="L439" s="7" t="str">
        <f t="shared" si="226"/>
        <v>219Instituto Nacional de Vías0</v>
      </c>
      <c r="M439" t="s">
        <v>1906</v>
      </c>
      <c r="N439" s="136" t="e">
        <f t="shared" si="218"/>
        <v>#DIV/0!</v>
      </c>
      <c r="O439" s="136"/>
      <c r="P439" s="20" t="e">
        <f t="shared" si="215"/>
        <v>#DIV/0!</v>
      </c>
      <c r="S439" s="20" t="e">
        <f t="shared" si="216"/>
        <v>#DIV/0!</v>
      </c>
      <c r="V439" s="20" t="e">
        <f t="shared" si="217"/>
        <v>#DIV/0!</v>
      </c>
    </row>
    <row r="440" spans="1:22" hidden="1" x14ac:dyDescent="0.3">
      <c r="A440" s="5">
        <v>220</v>
      </c>
      <c r="B440" s="8" t="s">
        <v>459</v>
      </c>
      <c r="C440" s="11">
        <f>+SUMIFS('2021'!Z:Z,'2021'!D:D,CRUCE!A440,'2021'!AT:AT,CRUCE!B440)</f>
        <v>0</v>
      </c>
      <c r="D440" s="11">
        <f>+SUMIFS('2022'!Y:Y,'2022'!D:D,CRUCE!A440,'2022'!AS:AS,CRUCE!B440)</f>
        <v>0</v>
      </c>
      <c r="E440" s="136" t="e">
        <f t="shared" si="213"/>
        <v>#DIV/0!</v>
      </c>
      <c r="F440" s="11">
        <f>+SUMIFS('2023'!Y:Y,'2023'!D:D,CRUCE!A440,'2023'!AS:AS,CRUCE!B440)</f>
        <v>0</v>
      </c>
      <c r="G440" s="136" t="e">
        <f t="shared" si="214"/>
        <v>#DIV/0!</v>
      </c>
      <c r="H440" s="11">
        <f>+SUMIFS('2024'!J:J,'2024'!D:D,CRUCE!A440,'2024'!AT:AT,CRUCE!B440)</f>
        <v>0</v>
      </c>
      <c r="I440" s="7" t="str">
        <f t="shared" si="223"/>
        <v>220Reintegros0</v>
      </c>
      <c r="J440" s="7" t="str">
        <f t="shared" si="224"/>
        <v>220Reintegros0</v>
      </c>
      <c r="K440" s="7" t="str">
        <f t="shared" si="225"/>
        <v>220Reintegros0</v>
      </c>
      <c r="L440" s="7" t="str">
        <f t="shared" si="226"/>
        <v>220Reintegros0</v>
      </c>
      <c r="M440" t="s">
        <v>1906</v>
      </c>
      <c r="N440" s="136" t="e">
        <f t="shared" si="218"/>
        <v>#DIV/0!</v>
      </c>
      <c r="O440" s="136"/>
      <c r="P440" s="20" t="e">
        <f t="shared" si="215"/>
        <v>#DIV/0!</v>
      </c>
      <c r="S440" s="20" t="e">
        <f t="shared" si="216"/>
        <v>#DIV/0!</v>
      </c>
      <c r="V440" s="20" t="e">
        <f t="shared" si="217"/>
        <v>#DIV/0!</v>
      </c>
    </row>
    <row r="441" spans="1:22" hidden="1" x14ac:dyDescent="0.3">
      <c r="A441" s="5">
        <v>220</v>
      </c>
      <c r="B441" s="8" t="s">
        <v>1220</v>
      </c>
      <c r="C441" s="11">
        <f>+SUMIFS('2021'!Z:Z,'2021'!D:D,CRUCE!A441,'2021'!AT:AT,CRUCE!B441)</f>
        <v>0</v>
      </c>
      <c r="D441" s="11">
        <f>+SUMIFS('2022'!Y:Y,'2022'!D:D,CRUCE!A441,'2022'!AS:AS,CRUCE!B441)</f>
        <v>88964098</v>
      </c>
      <c r="E441" s="136" t="e">
        <f t="shared" si="213"/>
        <v>#DIV/0!</v>
      </c>
      <c r="F441" s="11">
        <f>+SUMIFS('2023'!Y:Y,'2023'!D:D,CRUCE!A441,'2023'!AS:AS,CRUCE!B441)</f>
        <v>0</v>
      </c>
      <c r="G441" s="136">
        <f t="shared" si="214"/>
        <v>-1</v>
      </c>
      <c r="H441" s="11">
        <f>+SUMIFS('2024'!J:J,'2024'!D:D,CRUCE!A441,'2024'!AT:AT,CRUCE!B441)</f>
        <v>0</v>
      </c>
      <c r="I441" s="7" t="str">
        <f t="shared" si="223"/>
        <v>220Superávit Reintegro Cuentas Por pagar 0</v>
      </c>
      <c r="J441" s="7" t="str">
        <f t="shared" si="224"/>
        <v>220Superávit Reintegro Cuentas Por pagar 88964098</v>
      </c>
      <c r="K441" s="7" t="str">
        <f t="shared" si="225"/>
        <v>220Superávit Reintegro Cuentas Por pagar 0</v>
      </c>
      <c r="L441" s="7" t="str">
        <f t="shared" si="226"/>
        <v>220Superávit Reintegro Cuentas Por pagar 0</v>
      </c>
      <c r="M441" t="s">
        <v>1906</v>
      </c>
      <c r="N441" s="136" t="e">
        <f t="shared" si="218"/>
        <v>#DIV/0!</v>
      </c>
      <c r="O441" s="136"/>
      <c r="P441" s="20" t="e">
        <f t="shared" si="215"/>
        <v>#DIV/0!</v>
      </c>
      <c r="S441" s="20" t="e">
        <f t="shared" si="216"/>
        <v>#DIV/0!</v>
      </c>
      <c r="V441" s="20" t="e">
        <f t="shared" si="217"/>
        <v>#DIV/0!</v>
      </c>
    </row>
    <row r="442" spans="1:22" hidden="1" x14ac:dyDescent="0.3">
      <c r="A442" s="5">
        <v>221</v>
      </c>
      <c r="B442" s="8" t="s">
        <v>1305</v>
      </c>
      <c r="C442" s="11">
        <f>+SUMIFS('2021'!Z:Z,'2021'!D:D,CRUCE!A442,'2021'!AT:AT,CRUCE!B442)</f>
        <v>0</v>
      </c>
      <c r="D442" s="11">
        <f>+SUMIFS('2022'!Y:Y,'2022'!D:D,CRUCE!A442,'2022'!AS:AS,CRUCE!B442)</f>
        <v>548597644</v>
      </c>
      <c r="E442" s="136" t="e">
        <f t="shared" si="213"/>
        <v>#DIV/0!</v>
      </c>
      <c r="F442" s="11">
        <f>+SUMIFS('2023'!Y:Y,'2023'!D:D,CRUCE!A442,'2023'!AS:AS,CRUCE!B442)</f>
        <v>0</v>
      </c>
      <c r="G442" s="136">
        <f t="shared" si="214"/>
        <v>-1</v>
      </c>
      <c r="H442" s="11">
        <f>+SUMIFS('2024'!J:J,'2024'!D:D,CRUCE!A442,'2024'!AT:AT,CRUCE!B442)</f>
        <v>0</v>
      </c>
      <c r="I442" s="7" t="str">
        <f t="shared" si="223"/>
        <v>221Superávit proyecto FRISCO consumo sustancias sicoactivas0</v>
      </c>
      <c r="J442" s="7" t="str">
        <f t="shared" si="224"/>
        <v>221Superávit proyecto FRISCO consumo sustancias sicoactivas548597644</v>
      </c>
      <c r="K442" s="7" t="str">
        <f t="shared" si="225"/>
        <v>221Superávit proyecto FRISCO consumo sustancias sicoactivas0</v>
      </c>
      <c r="L442" s="7" t="str">
        <f t="shared" si="226"/>
        <v>221Superávit proyecto FRISCO consumo sustancias sicoactivas0</v>
      </c>
      <c r="M442" t="s">
        <v>1906</v>
      </c>
      <c r="N442" s="136" t="e">
        <f t="shared" si="218"/>
        <v>#DIV/0!</v>
      </c>
      <c r="O442" s="136"/>
      <c r="P442" s="20" t="e">
        <f t="shared" si="215"/>
        <v>#DIV/0!</v>
      </c>
      <c r="S442" s="20" t="e">
        <f t="shared" si="216"/>
        <v>#DIV/0!</v>
      </c>
      <c r="V442" s="20" t="e">
        <f t="shared" si="217"/>
        <v>#DIV/0!</v>
      </c>
    </row>
    <row r="443" spans="1:22" hidden="1" x14ac:dyDescent="0.3">
      <c r="A443" s="5">
        <v>222</v>
      </c>
      <c r="B443" s="8" t="s">
        <v>1247</v>
      </c>
      <c r="C443" s="11">
        <f>+SUMIFS('2021'!Z:Z,'2021'!D:D,CRUCE!A443,'2021'!AT:AT,CRUCE!B443)</f>
        <v>0</v>
      </c>
      <c r="D443" s="11">
        <f>+SUMIFS('2022'!Y:Y,'2022'!D:D,CRUCE!A443,'2022'!AS:AS,CRUCE!B443)</f>
        <v>112500000</v>
      </c>
      <c r="E443" s="136" t="e">
        <f t="shared" si="213"/>
        <v>#DIV/0!</v>
      </c>
      <c r="F443" s="11">
        <f>+SUMIFS('2023'!Y:Y,'2023'!D:D,CRUCE!A443,'2023'!AS:AS,CRUCE!B443)</f>
        <v>0</v>
      </c>
      <c r="G443" s="136">
        <f t="shared" si="214"/>
        <v>-1</v>
      </c>
      <c r="H443" s="11">
        <f>+SUMIFS('2024'!J:J,'2024'!D:D,CRUCE!A443,'2024'!AT:AT,CRUCE!B443)</f>
        <v>0</v>
      </c>
      <c r="I443" s="7" t="str">
        <f t="shared" si="223"/>
        <v>222Convenio Interadminstrativo Fondo de Estupefacientes0</v>
      </c>
      <c r="J443" s="7" t="str">
        <f t="shared" si="224"/>
        <v>222Convenio Interadminstrativo Fondo de Estupefacientes112500000</v>
      </c>
      <c r="K443" s="7" t="str">
        <f t="shared" si="225"/>
        <v>222Convenio Interadminstrativo Fondo de Estupefacientes0</v>
      </c>
      <c r="L443" s="7" t="str">
        <f t="shared" si="226"/>
        <v>222Convenio Interadminstrativo Fondo de Estupefacientes0</v>
      </c>
      <c r="M443" t="s">
        <v>1906</v>
      </c>
      <c r="N443" s="136" t="e">
        <f t="shared" si="218"/>
        <v>#DIV/0!</v>
      </c>
      <c r="O443" s="136"/>
      <c r="P443" s="20" t="e">
        <f t="shared" si="215"/>
        <v>#DIV/0!</v>
      </c>
      <c r="S443" s="20" t="e">
        <f t="shared" si="216"/>
        <v>#DIV/0!</v>
      </c>
      <c r="V443" s="20" t="e">
        <f t="shared" si="217"/>
        <v>#DIV/0!</v>
      </c>
    </row>
    <row r="444" spans="1:22" hidden="1" x14ac:dyDescent="0.3">
      <c r="A444" s="5">
        <v>223</v>
      </c>
      <c r="B444" s="8" t="s">
        <v>459</v>
      </c>
      <c r="C444" s="11">
        <f>+SUMIFS('2021'!Z:Z,'2021'!D:D,CRUCE!A444,'2021'!AT:AT,CRUCE!B444)</f>
        <v>0</v>
      </c>
      <c r="D444" s="11">
        <f>+SUMIFS('2022'!Y:Y,'2022'!D:D,CRUCE!A444,'2022'!AS:AS,CRUCE!B444)</f>
        <v>0</v>
      </c>
      <c r="E444" s="136" t="e">
        <f t="shared" si="213"/>
        <v>#DIV/0!</v>
      </c>
      <c r="F444" s="11">
        <f>+SUMIFS('2023'!Y:Y,'2023'!D:D,CRUCE!A444,'2023'!AS:AS,CRUCE!B444)</f>
        <v>0</v>
      </c>
      <c r="G444" s="136" t="e">
        <f t="shared" si="214"/>
        <v>#DIV/0!</v>
      </c>
      <c r="H444" s="11">
        <f>+SUMIFS('2024'!J:J,'2024'!D:D,CRUCE!A444,'2024'!AT:AT,CRUCE!B444)</f>
        <v>0</v>
      </c>
      <c r="I444" s="7" t="str">
        <f t="shared" si="223"/>
        <v>223Reintegros0</v>
      </c>
      <c r="J444" s="7" t="str">
        <f t="shared" si="224"/>
        <v>223Reintegros0</v>
      </c>
      <c r="K444" s="7" t="str">
        <f t="shared" si="225"/>
        <v>223Reintegros0</v>
      </c>
      <c r="L444" s="7" t="str">
        <f t="shared" si="226"/>
        <v>223Reintegros0</v>
      </c>
      <c r="M444" t="s">
        <v>1906</v>
      </c>
      <c r="N444" s="136" t="e">
        <f t="shared" si="218"/>
        <v>#DIV/0!</v>
      </c>
      <c r="O444" s="136"/>
      <c r="P444" s="20" t="e">
        <f t="shared" si="215"/>
        <v>#DIV/0!</v>
      </c>
      <c r="S444" s="20" t="e">
        <f t="shared" si="216"/>
        <v>#DIV/0!</v>
      </c>
      <c r="V444" s="20" t="e">
        <f t="shared" si="217"/>
        <v>#DIV/0!</v>
      </c>
    </row>
    <row r="445" spans="1:22" hidden="1" x14ac:dyDescent="0.3">
      <c r="A445" s="5">
        <v>224</v>
      </c>
      <c r="B445" s="8" t="s">
        <v>1250</v>
      </c>
      <c r="C445" s="11">
        <f>+SUMIFS('2021'!Z:Z,'2021'!D:D,CRUCE!A445,'2021'!AT:AT,CRUCE!B445)</f>
        <v>0</v>
      </c>
      <c r="D445" s="11">
        <f>+SUMIFS('2022'!Y:Y,'2022'!D:D,CRUCE!A445,'2022'!AS:AS,CRUCE!B445)</f>
        <v>332594127</v>
      </c>
      <c r="E445" s="136" t="e">
        <f t="shared" si="213"/>
        <v>#DIV/0!</v>
      </c>
      <c r="F445" s="11">
        <f>+SUMIFS('2023'!Y:Y,'2023'!D:D,CRUCE!A445,'2023'!AS:AS,CRUCE!B445)</f>
        <v>883296840</v>
      </c>
      <c r="G445" s="136">
        <f t="shared" si="214"/>
        <v>1.6557800282504689</v>
      </c>
      <c r="H445" s="11">
        <f>+SUMIFS('2024'!J:J,'2024'!D:D,CRUCE!A445,'2024'!AT:AT,CRUCE!B445)</f>
        <v>0</v>
      </c>
      <c r="I445" s="7" t="str">
        <f t="shared" si="223"/>
        <v>224Min. Salud - Resolucion 1199 de 2022 Urgencias Poblacion Migrante0</v>
      </c>
      <c r="J445" s="7" t="str">
        <f t="shared" si="224"/>
        <v>224Min. Salud - Resolucion 1199 de 2022 Urgencias Poblacion Migrante332594127</v>
      </c>
      <c r="K445" s="7" t="str">
        <f t="shared" si="225"/>
        <v>224Min. Salud - Resolucion 1199 de 2022 Urgencias Poblacion Migrante883296840</v>
      </c>
      <c r="L445" s="7" t="str">
        <f t="shared" si="226"/>
        <v>224Min. Salud - Resolucion 1199 de 2022 Urgencias Poblacion Migrante0</v>
      </c>
      <c r="M445" t="s">
        <v>1906</v>
      </c>
      <c r="N445" s="136" t="e">
        <f t="shared" si="218"/>
        <v>#DIV/0!</v>
      </c>
      <c r="O445" s="136"/>
      <c r="P445" s="20" t="e">
        <f t="shared" si="215"/>
        <v>#DIV/0!</v>
      </c>
      <c r="S445" s="20" t="e">
        <f t="shared" si="216"/>
        <v>#DIV/0!</v>
      </c>
      <c r="V445" s="20" t="e">
        <f t="shared" si="217"/>
        <v>#DIV/0!</v>
      </c>
    </row>
    <row r="446" spans="1:22" hidden="1" x14ac:dyDescent="0.3">
      <c r="A446" s="5">
        <v>225</v>
      </c>
      <c r="B446" s="8" t="s">
        <v>1080</v>
      </c>
      <c r="C446" s="11">
        <f>+SUMIFS('2021'!Z:Z,'2021'!D:D,CRUCE!A446,'2021'!AT:AT,CRUCE!B446)</f>
        <v>0</v>
      </c>
      <c r="D446" s="11">
        <f>+SUMIFS('2022'!Y:Y,'2022'!D:D,CRUCE!A446,'2022'!AS:AS,CRUCE!B446)</f>
        <v>15612200000</v>
      </c>
      <c r="E446" s="136" t="e">
        <f t="shared" si="213"/>
        <v>#DIV/0!</v>
      </c>
      <c r="F446" s="11">
        <f>+SUMIFS('2023'!Y:Y,'2023'!D:D,CRUCE!A446,'2023'!AS:AS,CRUCE!B446)</f>
        <v>0</v>
      </c>
      <c r="G446" s="136">
        <f t="shared" si="214"/>
        <v>-1</v>
      </c>
      <c r="H446" s="11">
        <f>+SUMIFS('2024'!J:J,'2024'!D:D,CRUCE!A446,'2024'!AT:AT,CRUCE!B446)</f>
        <v>0</v>
      </c>
      <c r="I446" s="7" t="str">
        <f t="shared" si="223"/>
        <v>225Ministerio de Salud y Protección Social0</v>
      </c>
      <c r="J446" s="7" t="str">
        <f t="shared" si="224"/>
        <v>225Ministerio de Salud y Protección Social15612200000</v>
      </c>
      <c r="K446" s="7" t="str">
        <f t="shared" si="225"/>
        <v>225Ministerio de Salud y Protección Social0</v>
      </c>
      <c r="L446" s="7" t="str">
        <f t="shared" si="226"/>
        <v>225Ministerio de Salud y Protección Social0</v>
      </c>
      <c r="M446" t="s">
        <v>1906</v>
      </c>
      <c r="N446" s="136" t="e">
        <f t="shared" si="218"/>
        <v>#DIV/0!</v>
      </c>
      <c r="O446" s="136"/>
      <c r="P446" s="20" t="e">
        <f t="shared" si="215"/>
        <v>#DIV/0!</v>
      </c>
      <c r="S446" s="20" t="e">
        <f t="shared" si="216"/>
        <v>#DIV/0!</v>
      </c>
      <c r="V446" s="20" t="e">
        <f t="shared" si="217"/>
        <v>#DIV/0!</v>
      </c>
    </row>
    <row r="447" spans="1:22" hidden="1" x14ac:dyDescent="0.3">
      <c r="A447" s="5">
        <v>226</v>
      </c>
      <c r="B447" s="8" t="s">
        <v>281</v>
      </c>
      <c r="C447" s="11">
        <f>+SUMIFS('2021'!Z:Z,'2021'!D:D,CRUCE!A447,'2021'!AT:AT,CRUCE!B447)</f>
        <v>0</v>
      </c>
      <c r="D447" s="11">
        <f>+SUMIFS('2022'!Y:Y,'2022'!D:D,CRUCE!A447,'2022'!AS:AS,CRUCE!B447)</f>
        <v>19788720416</v>
      </c>
      <c r="E447" s="136" t="e">
        <f t="shared" si="213"/>
        <v>#DIV/0!</v>
      </c>
      <c r="F447" s="11">
        <f>+SUMIFS('2023'!Y:Y,'2023'!D:D,CRUCE!A447,'2023'!AS:AS,CRUCE!B447)</f>
        <v>0</v>
      </c>
      <c r="G447" s="136">
        <f t="shared" si="214"/>
        <v>-1</v>
      </c>
      <c r="H447" s="11">
        <f>+SUMIFS('2024'!J:J,'2024'!D:D,CRUCE!A447,'2024'!AT:AT,CRUCE!B447)</f>
        <v>0</v>
      </c>
      <c r="I447" s="7" t="str">
        <f t="shared" ref="I447:I450" si="227">+$A447&amp;$B447&amp;C447</f>
        <v>226Instituto Nacional de Vías0</v>
      </c>
      <c r="J447" s="7" t="str">
        <f t="shared" ref="J447:J450" si="228">+$A447&amp;$B447&amp;D447</f>
        <v>226Instituto Nacional de Vías19788720416</v>
      </c>
      <c r="K447" s="7" t="str">
        <f t="shared" ref="K447:K450" si="229">+$A447&amp;$B447&amp;F447</f>
        <v>226Instituto Nacional de Vías0</v>
      </c>
      <c r="L447" s="7" t="str">
        <f t="shared" ref="L447:L450" si="230">+$A447&amp;$B447&amp;H447</f>
        <v>226Instituto Nacional de Vías0</v>
      </c>
      <c r="M447" t="s">
        <v>1906</v>
      </c>
      <c r="N447" s="136" t="e">
        <f t="shared" si="218"/>
        <v>#DIV/0!</v>
      </c>
      <c r="O447" s="136"/>
      <c r="P447" s="20" t="e">
        <f t="shared" si="215"/>
        <v>#DIV/0!</v>
      </c>
      <c r="S447" s="20" t="e">
        <f t="shared" si="216"/>
        <v>#DIV/0!</v>
      </c>
      <c r="V447" s="20" t="e">
        <f t="shared" si="217"/>
        <v>#DIV/0!</v>
      </c>
    </row>
    <row r="448" spans="1:22" hidden="1" x14ac:dyDescent="0.3">
      <c r="A448" s="5">
        <v>227</v>
      </c>
      <c r="B448" s="8" t="s">
        <v>459</v>
      </c>
      <c r="C448" s="11">
        <f>+SUMIFS('2021'!Z:Z,'2021'!D:D,CRUCE!A448,'2021'!AT:AT,CRUCE!B448)</f>
        <v>0</v>
      </c>
      <c r="D448" s="11">
        <f>+SUMIFS('2022'!Y:Y,'2022'!D:D,CRUCE!A448,'2022'!AS:AS,CRUCE!B448)</f>
        <v>58724</v>
      </c>
      <c r="E448" s="136" t="e">
        <f t="shared" si="213"/>
        <v>#DIV/0!</v>
      </c>
      <c r="F448" s="11">
        <f>+SUMIFS('2023'!Y:Y,'2023'!D:D,CRUCE!A448,'2023'!AS:AS,CRUCE!B448)</f>
        <v>0</v>
      </c>
      <c r="G448" s="136">
        <f t="shared" si="214"/>
        <v>-1</v>
      </c>
      <c r="H448" s="11">
        <f>+SUMIFS('2024'!J:J,'2024'!D:D,CRUCE!A448,'2024'!AT:AT,CRUCE!B448)</f>
        <v>0</v>
      </c>
      <c r="I448" s="7" t="str">
        <f t="shared" si="227"/>
        <v>227Reintegros0</v>
      </c>
      <c r="J448" s="7" t="str">
        <f t="shared" si="228"/>
        <v>227Reintegros58724</v>
      </c>
      <c r="K448" s="7" t="str">
        <f t="shared" si="229"/>
        <v>227Reintegros0</v>
      </c>
      <c r="L448" s="7" t="str">
        <f t="shared" si="230"/>
        <v>227Reintegros0</v>
      </c>
      <c r="M448" t="s">
        <v>1906</v>
      </c>
      <c r="N448" s="136" t="e">
        <f t="shared" si="218"/>
        <v>#DIV/0!</v>
      </c>
      <c r="O448" s="136"/>
      <c r="P448" s="20" t="e">
        <f t="shared" si="215"/>
        <v>#DIV/0!</v>
      </c>
      <c r="S448" s="20" t="e">
        <f t="shared" si="216"/>
        <v>#DIV/0!</v>
      </c>
      <c r="V448" s="20" t="e">
        <f t="shared" si="217"/>
        <v>#DIV/0!</v>
      </c>
    </row>
    <row r="449" spans="1:22" hidden="1" x14ac:dyDescent="0.3">
      <c r="A449" s="5">
        <v>227</v>
      </c>
      <c r="B449" s="8" t="s">
        <v>1389</v>
      </c>
      <c r="C449" s="11">
        <f>+SUMIFS('2021'!Z:Z,'2021'!D:D,CRUCE!A449,'2021'!AT:AT,CRUCE!B449)</f>
        <v>0</v>
      </c>
      <c r="D449" s="11">
        <f>+SUMIFS('2022'!Y:Y,'2022'!D:D,CRUCE!A449,'2022'!AS:AS,CRUCE!B449)</f>
        <v>0</v>
      </c>
      <c r="E449" s="136" t="e">
        <f t="shared" si="213"/>
        <v>#DIV/0!</v>
      </c>
      <c r="F449" s="11">
        <f>+SUMIFS('2023'!Y:Y,'2023'!D:D,CRUCE!A449,'2023'!AS:AS,CRUCE!B449)</f>
        <v>19788720416</v>
      </c>
      <c r="G449" s="136" t="e">
        <f t="shared" si="214"/>
        <v>#DIV/0!</v>
      </c>
      <c r="H449" s="11">
        <f>+SUMIFS('2024'!J:J,'2024'!D:D,CRUCE!A449,'2024'!AT:AT,CRUCE!B449)</f>
        <v>0</v>
      </c>
      <c r="I449" s="7" t="str">
        <f t="shared" si="227"/>
        <v>227Superávit Convenio Invias 1274/22 Puntos Críticos0</v>
      </c>
      <c r="J449" s="7" t="str">
        <f t="shared" si="228"/>
        <v>227Superávit Convenio Invias 1274/22 Puntos Críticos0</v>
      </c>
      <c r="K449" s="7" t="str">
        <f t="shared" si="229"/>
        <v>227Superávit Convenio Invias 1274/22 Puntos Críticos19788720416</v>
      </c>
      <c r="L449" s="7" t="str">
        <f t="shared" si="230"/>
        <v>227Superávit Convenio Invias 1274/22 Puntos Críticos0</v>
      </c>
      <c r="M449" t="s">
        <v>1906</v>
      </c>
      <c r="N449" s="136" t="e">
        <f t="shared" si="218"/>
        <v>#DIV/0!</v>
      </c>
      <c r="O449" s="136"/>
      <c r="P449" s="20" t="e">
        <f t="shared" si="215"/>
        <v>#DIV/0!</v>
      </c>
      <c r="S449" s="20" t="e">
        <f t="shared" si="216"/>
        <v>#DIV/0!</v>
      </c>
      <c r="V449" s="20" t="e">
        <f t="shared" si="217"/>
        <v>#DIV/0!</v>
      </c>
    </row>
    <row r="450" spans="1:22" hidden="1" x14ac:dyDescent="0.3">
      <c r="A450" s="5">
        <v>228</v>
      </c>
      <c r="B450" s="8" t="s">
        <v>459</v>
      </c>
      <c r="C450" s="11">
        <f>+SUMIFS('2021'!Z:Z,'2021'!D:D,CRUCE!A450,'2021'!AT:AT,CRUCE!B450)</f>
        <v>0</v>
      </c>
      <c r="D450" s="11">
        <f>+SUMIFS('2022'!Y:Y,'2022'!D:D,CRUCE!A450,'2022'!AS:AS,CRUCE!B450)</f>
        <v>1696322</v>
      </c>
      <c r="E450" s="136" t="e">
        <f t="shared" si="213"/>
        <v>#DIV/0!</v>
      </c>
      <c r="F450" s="11">
        <f>+SUMIFS('2023'!Y:Y,'2023'!D:D,CRUCE!A450,'2023'!AS:AS,CRUCE!B450)</f>
        <v>0</v>
      </c>
      <c r="G450" s="136">
        <f t="shared" si="214"/>
        <v>-1</v>
      </c>
      <c r="H450" s="11">
        <f>+SUMIFS('2024'!J:J,'2024'!D:D,CRUCE!A450,'2024'!AT:AT,CRUCE!B450)</f>
        <v>0</v>
      </c>
      <c r="I450" s="7" t="str">
        <f t="shared" si="227"/>
        <v>228Reintegros0</v>
      </c>
      <c r="J450" s="7" t="str">
        <f t="shared" si="228"/>
        <v>228Reintegros1696322</v>
      </c>
      <c r="K450" s="7" t="str">
        <f t="shared" si="229"/>
        <v>228Reintegros0</v>
      </c>
      <c r="L450" s="7" t="str">
        <f t="shared" si="230"/>
        <v>228Reintegros0</v>
      </c>
      <c r="M450" t="s">
        <v>1906</v>
      </c>
      <c r="N450" s="136" t="e">
        <f t="shared" si="218"/>
        <v>#DIV/0!</v>
      </c>
      <c r="O450" s="136"/>
      <c r="P450" s="20" t="e">
        <f t="shared" si="215"/>
        <v>#DIV/0!</v>
      </c>
      <c r="S450" s="20" t="e">
        <f t="shared" si="216"/>
        <v>#DIV/0!</v>
      </c>
      <c r="V450" s="20" t="e">
        <f t="shared" si="217"/>
        <v>#DIV/0!</v>
      </c>
    </row>
    <row r="451" spans="1:22" hidden="1" x14ac:dyDescent="0.3">
      <c r="A451" s="5">
        <v>228</v>
      </c>
      <c r="B451" s="8" t="s">
        <v>1392</v>
      </c>
      <c r="C451" s="11">
        <f>+SUMIFS('2021'!Z:Z,'2021'!D:D,CRUCE!A451,'2021'!AT:AT,CRUCE!B451)</f>
        <v>0</v>
      </c>
      <c r="D451" s="11">
        <f>+SUMIFS('2022'!Y:Y,'2022'!D:D,CRUCE!A451,'2022'!AS:AS,CRUCE!B451)</f>
        <v>0</v>
      </c>
      <c r="E451" s="136" t="e">
        <f t="shared" si="213"/>
        <v>#DIV/0!</v>
      </c>
      <c r="F451" s="11">
        <f>+SUMIFS('2023'!Y:Y,'2023'!D:D,CRUCE!A451,'2023'!AS:AS,CRUCE!B451)</f>
        <v>9115200000</v>
      </c>
      <c r="G451" s="136" t="e">
        <f t="shared" si="214"/>
        <v>#DIV/0!</v>
      </c>
      <c r="H451" s="11">
        <f>+SUMIFS('2024'!J:J,'2024'!D:D,CRUCE!A451,'2024'!AT:AT,CRUCE!B451)</f>
        <v>0</v>
      </c>
      <c r="I451" s="7" t="str">
        <f t="shared" ref="I451:I458" si="231">+$A451&amp;$B451&amp;C451</f>
        <v>228Superávit convenio invias 1609 de 2020 vías terciarias0</v>
      </c>
      <c r="J451" s="7" t="str">
        <f t="shared" ref="J451:J458" si="232">+$A451&amp;$B451&amp;D451</f>
        <v>228Superávit convenio invias 1609 de 2020 vías terciarias0</v>
      </c>
      <c r="K451" s="7" t="str">
        <f t="shared" ref="K451:K458" si="233">+$A451&amp;$B451&amp;F451</f>
        <v>228Superávit convenio invias 1609 de 2020 vías terciarias9115200000</v>
      </c>
      <c r="L451" s="7" t="str">
        <f t="shared" ref="L451:L458" si="234">+$A451&amp;$B451&amp;H451</f>
        <v>228Superávit convenio invias 1609 de 2020 vías terciarias0</v>
      </c>
      <c r="M451" t="s">
        <v>1906</v>
      </c>
      <c r="N451" s="136" t="e">
        <f t="shared" si="218"/>
        <v>#DIV/0!</v>
      </c>
      <c r="O451" s="136"/>
      <c r="P451" s="20" t="e">
        <f t="shared" si="215"/>
        <v>#DIV/0!</v>
      </c>
      <c r="S451" s="20" t="e">
        <f t="shared" si="216"/>
        <v>#DIV/0!</v>
      </c>
      <c r="V451" s="20" t="e">
        <f t="shared" si="217"/>
        <v>#DIV/0!</v>
      </c>
    </row>
    <row r="452" spans="1:22" hidden="1" x14ac:dyDescent="0.3">
      <c r="A452" s="5">
        <v>229</v>
      </c>
      <c r="B452" s="8" t="s">
        <v>1398</v>
      </c>
      <c r="C452" s="11">
        <f>+SUMIFS('2021'!Z:Z,'2021'!D:D,CRUCE!A452,'2021'!AT:AT,CRUCE!B452)</f>
        <v>0</v>
      </c>
      <c r="D452" s="11">
        <f>+SUMIFS('2022'!Y:Y,'2022'!D:D,CRUCE!A452,'2022'!AS:AS,CRUCE!B452)</f>
        <v>0</v>
      </c>
      <c r="E452" s="136" t="e">
        <f t="shared" ref="E452:E513" si="235">+(D452-C452)/C452</f>
        <v>#DIV/0!</v>
      </c>
      <c r="F452" s="11">
        <f>+SUMIFS('2023'!Y:Y,'2023'!D:D,CRUCE!A452,'2023'!AS:AS,CRUCE!B452)</f>
        <v>151323517</v>
      </c>
      <c r="G452" s="136" t="e">
        <f t="shared" ref="G452:G512" si="236">+(F452-D452)/D452</f>
        <v>#DIV/0!</v>
      </c>
      <c r="H452" s="11">
        <f>+SUMIFS('2024'!J:J,'2024'!D:D,CRUCE!A452,'2024'!AT:AT,CRUCE!B452)</f>
        <v>0</v>
      </c>
      <c r="I452" s="7" t="str">
        <f t="shared" si="231"/>
        <v>229Superávit convenio Invias 1645 de 2021 Salento Arrayanel0</v>
      </c>
      <c r="J452" s="7" t="str">
        <f t="shared" si="232"/>
        <v>229Superávit convenio Invias 1645 de 2021 Salento Arrayanel0</v>
      </c>
      <c r="K452" s="7" t="str">
        <f t="shared" si="233"/>
        <v>229Superávit convenio Invias 1645 de 2021 Salento Arrayanel151323517</v>
      </c>
      <c r="L452" s="7" t="str">
        <f t="shared" si="234"/>
        <v>229Superávit convenio Invias 1645 de 2021 Salento Arrayanel0</v>
      </c>
      <c r="M452" t="s">
        <v>1906</v>
      </c>
      <c r="N452" s="136" t="e">
        <f t="shared" si="218"/>
        <v>#DIV/0!</v>
      </c>
      <c r="O452" s="136"/>
      <c r="P452" s="20" t="e">
        <f t="shared" ref="P452:P512" si="237">+H452+(H452*N452)</f>
        <v>#DIV/0!</v>
      </c>
      <c r="S452" s="20" t="e">
        <f t="shared" ref="S452:S512" si="238">+P452+(P452*R452)</f>
        <v>#DIV/0!</v>
      </c>
      <c r="V452" s="20" t="e">
        <f t="shared" ref="V452:V512" si="239">+S452+(S452*U452)</f>
        <v>#DIV/0!</v>
      </c>
    </row>
    <row r="453" spans="1:22" hidden="1" x14ac:dyDescent="0.3">
      <c r="A453" s="5">
        <v>230</v>
      </c>
      <c r="B453" s="8" t="s">
        <v>1395</v>
      </c>
      <c r="C453" s="11">
        <f>+SUMIFS('2021'!Z:Z,'2021'!D:D,CRUCE!A453,'2021'!AT:AT,CRUCE!B453)</f>
        <v>0</v>
      </c>
      <c r="D453" s="11">
        <f>+SUMIFS('2022'!Y:Y,'2022'!D:D,CRUCE!A453,'2022'!AS:AS,CRUCE!B453)</f>
        <v>0</v>
      </c>
      <c r="E453" s="136" t="e">
        <f t="shared" si="235"/>
        <v>#DIV/0!</v>
      </c>
      <c r="F453" s="11">
        <f>+SUMIFS('2023'!Y:Y,'2023'!D:D,CRUCE!A453,'2023'!AS:AS,CRUCE!B453)</f>
        <v>15612200000</v>
      </c>
      <c r="G453" s="136" t="e">
        <f t="shared" si="236"/>
        <v>#DIV/0!</v>
      </c>
      <c r="H453" s="11">
        <f>+SUMIFS('2024'!J:J,'2024'!D:D,CRUCE!A453,'2024'!AT:AT,CRUCE!B453)</f>
        <v>0</v>
      </c>
      <c r="I453" s="7" t="str">
        <f t="shared" si="231"/>
        <v>230Superávit Resolucion 1293 de 2022 Minsalud Laboratorio de Salud Pública0</v>
      </c>
      <c r="J453" s="7" t="str">
        <f t="shared" si="232"/>
        <v>230Superávit Resolucion 1293 de 2022 Minsalud Laboratorio de Salud Pública0</v>
      </c>
      <c r="K453" s="7" t="str">
        <f t="shared" si="233"/>
        <v>230Superávit Resolucion 1293 de 2022 Minsalud Laboratorio de Salud Pública15612200000</v>
      </c>
      <c r="L453" s="7" t="str">
        <f t="shared" si="234"/>
        <v>230Superávit Resolucion 1293 de 2022 Minsalud Laboratorio de Salud Pública0</v>
      </c>
      <c r="M453" t="s">
        <v>1906</v>
      </c>
      <c r="N453" s="136" t="e">
        <f t="shared" si="218"/>
        <v>#DIV/0!</v>
      </c>
      <c r="O453" s="136"/>
      <c r="P453" s="20" t="e">
        <f t="shared" si="237"/>
        <v>#DIV/0!</v>
      </c>
      <c r="S453" s="20" t="e">
        <f t="shared" si="238"/>
        <v>#DIV/0!</v>
      </c>
      <c r="V453" s="20" t="e">
        <f t="shared" si="239"/>
        <v>#DIV/0!</v>
      </c>
    </row>
    <row r="454" spans="1:22" hidden="1" x14ac:dyDescent="0.3">
      <c r="A454" s="5">
        <v>231</v>
      </c>
      <c r="B454" s="8" t="s">
        <v>1401</v>
      </c>
      <c r="C454" s="11">
        <f>+SUMIFS('2021'!Z:Z,'2021'!D:D,CRUCE!A454,'2021'!AT:AT,CRUCE!B454)</f>
        <v>0</v>
      </c>
      <c r="D454" s="11">
        <f>+SUMIFS('2022'!Y:Y,'2022'!D:D,CRUCE!A454,'2022'!AS:AS,CRUCE!B454)</f>
        <v>0</v>
      </c>
      <c r="E454" s="136" t="e">
        <f t="shared" si="235"/>
        <v>#DIV/0!</v>
      </c>
      <c r="F454" s="11">
        <f>+SUMIFS('2023'!Y:Y,'2023'!D:D,CRUCE!A454,'2023'!AS:AS,CRUCE!B454)</f>
        <v>1462010</v>
      </c>
      <c r="G454" s="136" t="e">
        <f t="shared" si="236"/>
        <v>#DIV/0!</v>
      </c>
      <c r="H454" s="11">
        <f>+SUMIFS('2024'!J:J,'2024'!D:D,CRUCE!A454,'2024'!AT:AT,CRUCE!B454)</f>
        <v>0</v>
      </c>
      <c r="I454" s="7" t="str">
        <f t="shared" si="231"/>
        <v>231Superávit Monopolio Deporte Alcohol Potable 0</v>
      </c>
      <c r="J454" s="7" t="str">
        <f t="shared" si="232"/>
        <v>231Superávit Monopolio Deporte Alcohol Potable 0</v>
      </c>
      <c r="K454" s="7" t="str">
        <f t="shared" si="233"/>
        <v>231Superávit Monopolio Deporte Alcohol Potable 1462010</v>
      </c>
      <c r="L454" s="7" t="str">
        <f t="shared" si="234"/>
        <v>231Superávit Monopolio Deporte Alcohol Potable 0</v>
      </c>
      <c r="M454" t="s">
        <v>1906</v>
      </c>
      <c r="N454" s="136" t="e">
        <f t="shared" si="218"/>
        <v>#DIV/0!</v>
      </c>
      <c r="O454" s="136"/>
      <c r="P454" s="20" t="e">
        <f t="shared" si="237"/>
        <v>#DIV/0!</v>
      </c>
      <c r="S454" s="20" t="e">
        <f t="shared" si="238"/>
        <v>#DIV/0!</v>
      </c>
      <c r="V454" s="20" t="e">
        <f t="shared" si="239"/>
        <v>#DIV/0!</v>
      </c>
    </row>
    <row r="455" spans="1:22" hidden="1" x14ac:dyDescent="0.3">
      <c r="A455" s="5">
        <v>232</v>
      </c>
      <c r="B455" s="8" t="s">
        <v>1439</v>
      </c>
      <c r="C455" s="11">
        <f>+SUMIFS('2021'!Z:Z,'2021'!D:D,CRUCE!A455,'2021'!AT:AT,CRUCE!B455)</f>
        <v>0</v>
      </c>
      <c r="D455" s="11">
        <f>+SUMIFS('2022'!Y:Y,'2022'!D:D,CRUCE!A455,'2022'!AS:AS,CRUCE!B455)</f>
        <v>0</v>
      </c>
      <c r="E455" s="136" t="e">
        <f t="shared" si="235"/>
        <v>#DIV/0!</v>
      </c>
      <c r="F455" s="11">
        <f>+SUMIFS('2023'!Y:Y,'2023'!D:D,CRUCE!A455,'2023'!AS:AS,CRUCE!B455)</f>
        <v>138821.76000000001</v>
      </c>
      <c r="G455" s="136" t="e">
        <f t="shared" si="236"/>
        <v>#DIV/0!</v>
      </c>
      <c r="H455" s="11">
        <f>+SUMIFS('2024'!J:J,'2024'!D:D,CRUCE!A455,'2024'!AT:AT,CRUCE!B455)</f>
        <v>0</v>
      </c>
      <c r="I455" s="7" t="str">
        <f t="shared" si="231"/>
        <v>232Superavít Rendimientos Adres Res 2359/20190</v>
      </c>
      <c r="J455" s="7" t="str">
        <f t="shared" si="232"/>
        <v>232Superavít Rendimientos Adres Res 2359/20190</v>
      </c>
      <c r="K455" s="7" t="str">
        <f t="shared" si="233"/>
        <v>232Superavít Rendimientos Adres Res 2359/2019138821,76</v>
      </c>
      <c r="L455" s="7" t="str">
        <f t="shared" si="234"/>
        <v>232Superavít Rendimientos Adres Res 2359/20190</v>
      </c>
      <c r="M455" t="s">
        <v>1906</v>
      </c>
      <c r="N455" s="136" t="e">
        <f t="shared" si="218"/>
        <v>#DIV/0!</v>
      </c>
      <c r="O455" s="136"/>
      <c r="P455" s="20" t="e">
        <f t="shared" si="237"/>
        <v>#DIV/0!</v>
      </c>
      <c r="S455" s="20" t="e">
        <f t="shared" si="238"/>
        <v>#DIV/0!</v>
      </c>
      <c r="V455" s="20" t="e">
        <f t="shared" si="239"/>
        <v>#DIV/0!</v>
      </c>
    </row>
    <row r="456" spans="1:22" hidden="1" x14ac:dyDescent="0.3">
      <c r="A456" s="5">
        <v>233</v>
      </c>
      <c r="B456" s="8" t="s">
        <v>1442</v>
      </c>
      <c r="C456" s="11">
        <f>+SUMIFS('2021'!Z:Z,'2021'!D:D,CRUCE!A456,'2021'!AT:AT,CRUCE!B456)</f>
        <v>0</v>
      </c>
      <c r="D456" s="11">
        <f>+SUMIFS('2022'!Y:Y,'2022'!D:D,CRUCE!A456,'2022'!AS:AS,CRUCE!B456)</f>
        <v>0</v>
      </c>
      <c r="E456" s="136" t="e">
        <f t="shared" si="235"/>
        <v>#DIV/0!</v>
      </c>
      <c r="F456" s="11">
        <f>+SUMIFS('2023'!Y:Y,'2023'!D:D,CRUCE!A456,'2023'!AS:AS,CRUCE!B456)</f>
        <v>14202359.43</v>
      </c>
      <c r="G456" s="136" t="e">
        <f t="shared" si="236"/>
        <v>#DIV/0!</v>
      </c>
      <c r="H456" s="11">
        <f>+SUMIFS('2024'!J:J,'2024'!D:D,CRUCE!A456,'2024'!AT:AT,CRUCE!B456)</f>
        <v>0</v>
      </c>
      <c r="I456" s="7" t="str">
        <f t="shared" si="231"/>
        <v>233Superavít Rentas Cedidas Prestación de Servicios en Salud 0</v>
      </c>
      <c r="J456" s="7" t="str">
        <f t="shared" si="232"/>
        <v>233Superavít Rentas Cedidas Prestación de Servicios en Salud 0</v>
      </c>
      <c r="K456" s="7" t="str">
        <f t="shared" si="233"/>
        <v>233Superavít Rentas Cedidas Prestación de Servicios en Salud 14202359,43</v>
      </c>
      <c r="L456" s="7" t="str">
        <f t="shared" si="234"/>
        <v>233Superavít Rentas Cedidas Prestación de Servicios en Salud 0</v>
      </c>
      <c r="M456" t="s">
        <v>1906</v>
      </c>
      <c r="N456" s="136" t="e">
        <f t="shared" ref="N456:N512" si="240">+(E456+G456)/2</f>
        <v>#DIV/0!</v>
      </c>
      <c r="O456" s="136"/>
      <c r="P456" s="20" t="e">
        <f t="shared" si="237"/>
        <v>#DIV/0!</v>
      </c>
      <c r="S456" s="20" t="e">
        <f t="shared" si="238"/>
        <v>#DIV/0!</v>
      </c>
      <c r="V456" s="20" t="e">
        <f t="shared" si="239"/>
        <v>#DIV/0!</v>
      </c>
    </row>
    <row r="457" spans="1:22" hidden="1" x14ac:dyDescent="0.3">
      <c r="A457" s="5">
        <v>234</v>
      </c>
      <c r="B457" s="8" t="s">
        <v>1445</v>
      </c>
      <c r="C457" s="11">
        <f>+SUMIFS('2021'!Z:Z,'2021'!D:D,CRUCE!A457,'2021'!AT:AT,CRUCE!B457)</f>
        <v>0</v>
      </c>
      <c r="D457" s="11">
        <f>+SUMIFS('2022'!Y:Y,'2022'!D:D,CRUCE!A457,'2022'!AS:AS,CRUCE!B457)</f>
        <v>0</v>
      </c>
      <c r="E457" s="136" t="e">
        <f t="shared" si="235"/>
        <v>#DIV/0!</v>
      </c>
      <c r="F457" s="11">
        <f>+SUMIFS('2023'!Y:Y,'2023'!D:D,CRUCE!A457,'2023'!AS:AS,CRUCE!B457)</f>
        <v>385492.49</v>
      </c>
      <c r="G457" s="136" t="e">
        <f t="shared" si="236"/>
        <v>#DIV/0!</v>
      </c>
      <c r="H457" s="11">
        <f>+SUMIFS('2024'!J:J,'2024'!D:D,CRUCE!A457,'2024'!AT:AT,CRUCE!B457)</f>
        <v>0</v>
      </c>
      <c r="I457" s="7" t="str">
        <f t="shared" si="231"/>
        <v>234Superavít Rendimientos Adres Vigencia 20200</v>
      </c>
      <c r="J457" s="7" t="str">
        <f t="shared" si="232"/>
        <v>234Superavít Rendimientos Adres Vigencia 20200</v>
      </c>
      <c r="K457" s="7" t="str">
        <f t="shared" si="233"/>
        <v>234Superavít Rendimientos Adres Vigencia 2020385492,49</v>
      </c>
      <c r="L457" s="7" t="str">
        <f t="shared" si="234"/>
        <v>234Superavít Rendimientos Adres Vigencia 20200</v>
      </c>
      <c r="M457" t="s">
        <v>1906</v>
      </c>
      <c r="N457" s="136" t="e">
        <f t="shared" si="240"/>
        <v>#DIV/0!</v>
      </c>
      <c r="O457" s="136"/>
      <c r="P457" s="20" t="e">
        <f t="shared" si="237"/>
        <v>#DIV/0!</v>
      </c>
      <c r="S457" s="20" t="e">
        <f t="shared" si="238"/>
        <v>#DIV/0!</v>
      </c>
      <c r="V457" s="20" t="e">
        <f t="shared" si="239"/>
        <v>#DIV/0!</v>
      </c>
    </row>
    <row r="458" spans="1:22" hidden="1" x14ac:dyDescent="0.3">
      <c r="A458" s="5">
        <v>235</v>
      </c>
      <c r="B458" s="8" t="s">
        <v>1376</v>
      </c>
      <c r="C458" s="11">
        <f>+SUMIFS('2021'!Z:Z,'2021'!D:D,CRUCE!A458,'2021'!AT:AT,CRUCE!B458)</f>
        <v>0</v>
      </c>
      <c r="D458" s="11">
        <f>+SUMIFS('2022'!Y:Y,'2022'!D:D,CRUCE!A458,'2022'!AS:AS,CRUCE!B458)</f>
        <v>0</v>
      </c>
      <c r="E458" s="136" t="e">
        <f t="shared" si="235"/>
        <v>#DIV/0!</v>
      </c>
      <c r="F458" s="11">
        <f>+SUMIFS('2023'!Y:Y,'2023'!D:D,CRUCE!A458,'2023'!AS:AS,CRUCE!B458)</f>
        <v>74640634</v>
      </c>
      <c r="G458" s="136" t="e">
        <f t="shared" si="236"/>
        <v>#DIV/0!</v>
      </c>
      <c r="H458" s="11">
        <f>+SUMIFS('2024'!J:J,'2024'!D:D,CRUCE!A458,'2024'!AT:AT,CRUCE!B458)</f>
        <v>0</v>
      </c>
      <c r="I458" s="7" t="str">
        <f t="shared" si="231"/>
        <v>235Condicionadas a la adquisición de un activo0</v>
      </c>
      <c r="J458" s="7" t="str">
        <f t="shared" si="232"/>
        <v>235Condicionadas a la adquisición de un activo0</v>
      </c>
      <c r="K458" s="7" t="str">
        <f t="shared" si="233"/>
        <v>235Condicionadas a la adquisición de un activo74640634</v>
      </c>
      <c r="L458" s="7" t="str">
        <f t="shared" si="234"/>
        <v>235Condicionadas a la adquisición de un activo0</v>
      </c>
      <c r="M458" t="s">
        <v>1906</v>
      </c>
      <c r="N458" s="136" t="e">
        <f t="shared" si="240"/>
        <v>#DIV/0!</v>
      </c>
      <c r="O458" s="136"/>
      <c r="P458" s="20" t="e">
        <f t="shared" si="237"/>
        <v>#DIV/0!</v>
      </c>
      <c r="S458" s="20" t="e">
        <f t="shared" si="238"/>
        <v>#DIV/0!</v>
      </c>
      <c r="V458" s="20" t="e">
        <f t="shared" si="239"/>
        <v>#DIV/0!</v>
      </c>
    </row>
    <row r="459" spans="1:22" hidden="1" x14ac:dyDescent="0.3">
      <c r="A459" s="5">
        <v>236</v>
      </c>
      <c r="B459" s="8" t="s">
        <v>1410</v>
      </c>
      <c r="C459" s="11">
        <f>+SUMIFS('2021'!Z:Z,'2021'!D:D,CRUCE!A459,'2021'!AT:AT,CRUCE!B459)</f>
        <v>0</v>
      </c>
      <c r="D459" s="11">
        <f>+SUMIFS('2022'!Y:Y,'2022'!D:D,CRUCE!A459,'2022'!AS:AS,CRUCE!B459)</f>
        <v>0</v>
      </c>
      <c r="E459" s="136" t="e">
        <f t="shared" si="235"/>
        <v>#DIV/0!</v>
      </c>
      <c r="F459" s="11">
        <f>+SUMIFS('2023'!Y:Y,'2023'!D:D,CRUCE!A459,'2023'!AS:AS,CRUCE!B459)</f>
        <v>706885427.62</v>
      </c>
      <c r="G459" s="136" t="e">
        <f t="shared" si="236"/>
        <v>#DIV/0!</v>
      </c>
      <c r="H459" s="11">
        <f>+SUMIFS('2024'!J:J,'2024'!D:D,CRUCE!A459,'2024'!AT:AT,CRUCE!B459)</f>
        <v>0</v>
      </c>
      <c r="I459" s="7" t="str">
        <f t="shared" ref="I459" si="241">+$A459&amp;$B459&amp;C459</f>
        <v>236Cancelación Reservas0</v>
      </c>
      <c r="J459" s="7" t="str">
        <f t="shared" ref="J459" si="242">+$A459&amp;$B459&amp;D459</f>
        <v>236Cancelación Reservas0</v>
      </c>
      <c r="K459" s="7" t="str">
        <f t="shared" ref="K459" si="243">+$A459&amp;$B459&amp;F459</f>
        <v>236Cancelación Reservas706885427,62</v>
      </c>
      <c r="L459" s="7" t="str">
        <f t="shared" ref="L459" si="244">+$A459&amp;$B459&amp;H459</f>
        <v>236Cancelación Reservas0</v>
      </c>
      <c r="M459" t="s">
        <v>1906</v>
      </c>
      <c r="N459" s="136" t="e">
        <f t="shared" si="240"/>
        <v>#DIV/0!</v>
      </c>
      <c r="O459" s="136"/>
      <c r="P459" s="20" t="e">
        <f t="shared" si="237"/>
        <v>#DIV/0!</v>
      </c>
      <c r="S459" s="20" t="e">
        <f t="shared" si="238"/>
        <v>#DIV/0!</v>
      </c>
      <c r="V459" s="20" t="e">
        <f t="shared" si="239"/>
        <v>#DIV/0!</v>
      </c>
    </row>
    <row r="460" spans="1:22" x14ac:dyDescent="0.3">
      <c r="A460" s="5">
        <v>237</v>
      </c>
      <c r="B460" s="8" t="s">
        <v>1096</v>
      </c>
      <c r="C460" s="11">
        <f>+SUMIFS('2021'!Z:Z,'2021'!D:D,CRUCE!A460,'2021'!AT:AT,CRUCE!B460)</f>
        <v>0</v>
      </c>
      <c r="D460" s="11">
        <f>+SUMIFS('2022'!Y:Y,'2022'!D:D,CRUCE!A460,'2022'!AS:AS,CRUCE!B460)</f>
        <v>0</v>
      </c>
      <c r="E460" s="136" t="e">
        <f t="shared" si="235"/>
        <v>#DIV/0!</v>
      </c>
      <c r="F460" s="11">
        <f>+SUMIFS('2023'!Y:Y,'2023'!D:D,CRUCE!A460,'2023'!AS:AS,CRUCE!B460)</f>
        <v>0</v>
      </c>
      <c r="G460" s="136" t="e">
        <f t="shared" si="236"/>
        <v>#DIV/0!</v>
      </c>
      <c r="H460" s="139">
        <f>+SUMIFS('2024'!J:J,'2024'!D:D,CRUCE!A460,'2024'!AT:AT,CRUCE!B460)</f>
        <v>57982135.789999999</v>
      </c>
      <c r="I460" s="7" t="str">
        <f t="shared" ref="I460" si="245">+$A460&amp;$B460&amp;C460</f>
        <v>237Derechos de monopolio por la introducción de licores destilados de producción extranjera0</v>
      </c>
      <c r="J460" s="7" t="str">
        <f t="shared" ref="J460" si="246">+$A460&amp;$B460&amp;D460</f>
        <v>237Derechos de monopolio por la introducción de licores destilados de producción extranjera0</v>
      </c>
      <c r="K460" s="7" t="str">
        <f t="shared" ref="K460" si="247">+$A460&amp;$B460&amp;F460</f>
        <v>237Derechos de monopolio por la introducción de licores destilados de producción extranjera0</v>
      </c>
      <c r="L460" s="7" t="str">
        <f t="shared" ref="L460" si="248">+$A460&amp;$B460&amp;H460</f>
        <v>237Derechos de monopolio por la introducción de licores destilados de producción extranjera57982135,79</v>
      </c>
      <c r="M460" t="s">
        <v>1906</v>
      </c>
      <c r="N460" s="136">
        <v>0.05</v>
      </c>
      <c r="O460" s="136"/>
      <c r="P460" s="20">
        <f t="shared" si="237"/>
        <v>60881242.579499997</v>
      </c>
      <c r="Q460" s="136">
        <f t="shared" ref="Q460:Q506" si="249">+N460</f>
        <v>0.05</v>
      </c>
      <c r="R460" s="136">
        <f t="shared" ref="R460:R506" si="250">+Q460</f>
        <v>0.05</v>
      </c>
      <c r="S460" s="20">
        <f t="shared" si="238"/>
        <v>63925304.708474994</v>
      </c>
      <c r="U460" s="136">
        <v>1</v>
      </c>
      <c r="V460" s="20">
        <f t="shared" si="239"/>
        <v>127850609.41694999</v>
      </c>
    </row>
    <row r="461" spans="1:22" x14ac:dyDescent="0.3">
      <c r="A461" s="5">
        <v>237</v>
      </c>
      <c r="B461" s="8" t="s">
        <v>355</v>
      </c>
      <c r="C461" s="11">
        <f>+SUMIFS('2021'!Z:Z,'2021'!D:D,CRUCE!A461,'2021'!AT:AT,CRUCE!B461)</f>
        <v>0</v>
      </c>
      <c r="D461" s="11">
        <f>+SUMIFS('2022'!Y:Y,'2022'!D:D,CRUCE!A461,'2022'!AS:AS,CRUCE!B461)</f>
        <v>0</v>
      </c>
      <c r="E461" s="136" t="e">
        <f t="shared" si="235"/>
        <v>#DIV/0!</v>
      </c>
      <c r="F461" s="11">
        <f>+SUMIFS('2023'!Y:Y,'2023'!D:D,CRUCE!A461,'2023'!AS:AS,CRUCE!B461)</f>
        <v>0</v>
      </c>
      <c r="G461" s="136" t="e">
        <f t="shared" si="236"/>
        <v>#DIV/0!</v>
      </c>
      <c r="H461" s="139">
        <f>+SUMIFS('2024'!J:J,'2024'!D:D,CRUCE!A461,'2024'!AT:AT,CRUCE!B461)</f>
        <v>268934015.24000001</v>
      </c>
      <c r="I461" s="7" t="str">
        <f t="shared" ref="I461:I462" si="251">+$A461&amp;$B461&amp;C461</f>
        <v>237Derechos de monopolio por la introducción de licores destilados de producción nacional0</v>
      </c>
      <c r="J461" s="7" t="str">
        <f t="shared" ref="J461:J462" si="252">+$A461&amp;$B461&amp;D461</f>
        <v>237Derechos de monopolio por la introducción de licores destilados de producción nacional0</v>
      </c>
      <c r="K461" s="7" t="str">
        <f t="shared" ref="K461:K462" si="253">+$A461&amp;$B461&amp;F461</f>
        <v>237Derechos de monopolio por la introducción de licores destilados de producción nacional0</v>
      </c>
      <c r="L461" s="7" t="str">
        <f t="shared" ref="L461:L462" si="254">+$A461&amp;$B461&amp;H461</f>
        <v>237Derechos de monopolio por la introducción de licores destilados de producción nacional268934015,24</v>
      </c>
      <c r="M461" t="s">
        <v>1906</v>
      </c>
      <c r="N461" s="136">
        <v>0.05</v>
      </c>
      <c r="O461" s="136"/>
      <c r="P461" s="20">
        <f t="shared" si="237"/>
        <v>282380716.00200003</v>
      </c>
      <c r="Q461" s="136">
        <f t="shared" si="249"/>
        <v>0.05</v>
      </c>
      <c r="R461" s="136">
        <f t="shared" si="250"/>
        <v>0.05</v>
      </c>
      <c r="S461" s="20">
        <f t="shared" si="238"/>
        <v>296499751.80210006</v>
      </c>
      <c r="U461" s="136">
        <v>1</v>
      </c>
      <c r="V461" s="20">
        <f t="shared" si="239"/>
        <v>592999503.60420012</v>
      </c>
    </row>
    <row r="462" spans="1:22" x14ac:dyDescent="0.3">
      <c r="A462" s="5">
        <v>237</v>
      </c>
      <c r="B462" s="8" t="s">
        <v>1108</v>
      </c>
      <c r="C462" s="11">
        <f>+SUMIFS('2021'!Z:Z,'2021'!D:D,CRUCE!A462,'2021'!AT:AT,CRUCE!B462)</f>
        <v>0</v>
      </c>
      <c r="D462" s="11">
        <f>+SUMIFS('2022'!Y:Y,'2022'!D:D,CRUCE!A462,'2022'!AS:AS,CRUCE!B462)</f>
        <v>0</v>
      </c>
      <c r="E462" s="136" t="e">
        <f t="shared" si="235"/>
        <v>#DIV/0!</v>
      </c>
      <c r="F462" s="11">
        <f>+SUMIFS('2023'!Y:Y,'2023'!D:D,CRUCE!A462,'2023'!AS:AS,CRUCE!B462)</f>
        <v>0</v>
      </c>
      <c r="G462" s="136" t="e">
        <f t="shared" si="236"/>
        <v>#DIV/0!</v>
      </c>
      <c r="H462" s="139">
        <f>+SUMIFS('2024'!J:J,'2024'!D:D,CRUCE!A462,'2024'!AT:AT,CRUCE!B462)</f>
        <v>1409595296.7</v>
      </c>
      <c r="I462" s="7" t="str">
        <f t="shared" si="251"/>
        <v>237Participación por el consumo de licores destilados introducidos de producción extranjera recaudado p0</v>
      </c>
      <c r="J462" s="7" t="str">
        <f t="shared" si="252"/>
        <v>237Participación por el consumo de licores destilados introducidos de producción extranjera recaudado p0</v>
      </c>
      <c r="K462" s="7" t="str">
        <f t="shared" si="253"/>
        <v>237Participación por el consumo de licores destilados introducidos de producción extranjera recaudado p0</v>
      </c>
      <c r="L462" s="7" t="str">
        <f t="shared" si="254"/>
        <v>237Participación por el consumo de licores destilados introducidos de producción extranjera recaudado p1409595296,7</v>
      </c>
      <c r="M462" t="s">
        <v>1906</v>
      </c>
      <c r="N462" s="136">
        <v>0.05</v>
      </c>
      <c r="O462" s="136"/>
      <c r="P462" s="20">
        <f t="shared" si="237"/>
        <v>1480075061.5350001</v>
      </c>
      <c r="Q462" s="136">
        <f t="shared" si="249"/>
        <v>0.05</v>
      </c>
      <c r="R462" s="136">
        <f t="shared" si="250"/>
        <v>0.05</v>
      </c>
      <c r="S462" s="20">
        <f t="shared" si="238"/>
        <v>1554078814.6117501</v>
      </c>
      <c r="U462" s="136">
        <v>1</v>
      </c>
      <c r="V462" s="20">
        <f t="shared" si="239"/>
        <v>3108157629.2235003</v>
      </c>
    </row>
    <row r="463" spans="1:22" x14ac:dyDescent="0.3">
      <c r="A463" s="5">
        <v>237</v>
      </c>
      <c r="B463" s="8" t="s">
        <v>363</v>
      </c>
      <c r="C463" s="11">
        <f>+SUMIFS('2021'!Z:Z,'2021'!D:D,CRUCE!A463,'2021'!AT:AT,CRUCE!B463)</f>
        <v>0</v>
      </c>
      <c r="D463" s="11">
        <f>+SUMIFS('2022'!Y:Y,'2022'!D:D,CRUCE!A463,'2022'!AS:AS,CRUCE!B463)</f>
        <v>0</v>
      </c>
      <c r="E463" s="136" t="e">
        <f t="shared" si="235"/>
        <v>#DIV/0!</v>
      </c>
      <c r="F463" s="11">
        <f>+SUMIFS('2023'!Y:Y,'2023'!D:D,CRUCE!A463,'2023'!AS:AS,CRUCE!B463)</f>
        <v>0</v>
      </c>
      <c r="G463" s="136" t="e">
        <f t="shared" si="236"/>
        <v>#DIV/0!</v>
      </c>
      <c r="H463" s="139">
        <f>+SUMIFS('2024'!J:J,'2024'!D:D,CRUCE!A463,'2024'!AT:AT,CRUCE!B463)</f>
        <v>5099734002.2299995</v>
      </c>
      <c r="I463" s="7" t="str">
        <f t="shared" ref="I463:I470" si="255">+$A463&amp;$B463&amp;C463</f>
        <v>237Participación por el consumo de licores destilados introducidos de producción nacional0</v>
      </c>
      <c r="J463" s="7" t="str">
        <f t="shared" ref="J463:J470" si="256">+$A463&amp;$B463&amp;D463</f>
        <v>237Participación por el consumo de licores destilados introducidos de producción nacional0</v>
      </c>
      <c r="K463" s="7" t="str">
        <f t="shared" ref="K463:K470" si="257">+$A463&amp;$B463&amp;F463</f>
        <v>237Participación por el consumo de licores destilados introducidos de producción nacional0</v>
      </c>
      <c r="L463" s="7" t="str">
        <f t="shared" ref="L463:L470" si="258">+$A463&amp;$B463&amp;H463</f>
        <v>237Participación por el consumo de licores destilados introducidos de producción nacional5099734002,23</v>
      </c>
      <c r="M463" t="s">
        <v>1906</v>
      </c>
      <c r="N463" s="136">
        <v>0.05</v>
      </c>
      <c r="O463" s="136"/>
      <c r="P463" s="20">
        <f t="shared" si="237"/>
        <v>5354720702.3414993</v>
      </c>
      <c r="Q463" s="136">
        <f t="shared" si="249"/>
        <v>0.05</v>
      </c>
      <c r="R463" s="136">
        <f t="shared" si="250"/>
        <v>0.05</v>
      </c>
      <c r="S463" s="20">
        <f t="shared" si="238"/>
        <v>5622456737.4585743</v>
      </c>
      <c r="U463" s="136">
        <v>1</v>
      </c>
      <c r="V463" s="20">
        <f t="shared" si="239"/>
        <v>11244913474.917149</v>
      </c>
    </row>
    <row r="464" spans="1:22" x14ac:dyDescent="0.3">
      <c r="A464" s="5">
        <v>237</v>
      </c>
      <c r="B464" s="8" t="s">
        <v>1114</v>
      </c>
      <c r="C464" s="11">
        <f>+SUMIFS('2021'!Z:Z,'2021'!D:D,CRUCE!A464,'2021'!AT:AT,CRUCE!B464)</f>
        <v>0</v>
      </c>
      <c r="D464" s="11">
        <f>+SUMIFS('2022'!Y:Y,'2022'!D:D,CRUCE!A464,'2022'!AS:AS,CRUCE!B464)</f>
        <v>0</v>
      </c>
      <c r="E464" s="136" t="e">
        <f t="shared" si="235"/>
        <v>#DIV/0!</v>
      </c>
      <c r="F464" s="11">
        <f>+SUMIFS('2023'!Y:Y,'2023'!D:D,CRUCE!A464,'2023'!AS:AS,CRUCE!B464)</f>
        <v>0</v>
      </c>
      <c r="G464" s="136" t="e">
        <f t="shared" si="236"/>
        <v>#DIV/0!</v>
      </c>
      <c r="H464" s="139">
        <f>+SUMIFS('2024'!J:J,'2024'!D:D,CRUCE!A464,'2024'!AT:AT,CRUCE!B464)</f>
        <v>1245550.02</v>
      </c>
      <c r="I464" s="7" t="str">
        <f t="shared" si="255"/>
        <v>237Participación por la utilización de alcohol potable producido0</v>
      </c>
      <c r="J464" s="7" t="str">
        <f t="shared" si="256"/>
        <v>237Participación por la utilización de alcohol potable producido0</v>
      </c>
      <c r="K464" s="7" t="str">
        <f t="shared" si="257"/>
        <v>237Participación por la utilización de alcohol potable producido0</v>
      </c>
      <c r="L464" s="7" t="str">
        <f t="shared" si="258"/>
        <v>237Participación por la utilización de alcohol potable producido1245550,02</v>
      </c>
      <c r="M464" t="s">
        <v>1906</v>
      </c>
      <c r="N464" s="136">
        <v>0.05</v>
      </c>
      <c r="O464" s="136"/>
      <c r="P464" s="20">
        <f t="shared" si="237"/>
        <v>1307827.5209999999</v>
      </c>
      <c r="Q464" s="136">
        <f t="shared" si="249"/>
        <v>0.05</v>
      </c>
      <c r="R464" s="136">
        <f t="shared" si="250"/>
        <v>0.05</v>
      </c>
      <c r="S464" s="20">
        <f t="shared" si="238"/>
        <v>1373218.89705</v>
      </c>
      <c r="U464" s="136">
        <v>1</v>
      </c>
      <c r="V464" s="20">
        <f t="shared" si="239"/>
        <v>2746437.7941000001</v>
      </c>
    </row>
    <row r="465" spans="1:22" x14ac:dyDescent="0.3">
      <c r="A465" s="5">
        <v>238</v>
      </c>
      <c r="B465" s="8" t="s">
        <v>1096</v>
      </c>
      <c r="C465" s="11">
        <f>+SUMIFS('2021'!Z:Z,'2021'!D:D,CRUCE!A465,'2021'!AT:AT,CRUCE!B465)</f>
        <v>0</v>
      </c>
      <c r="D465" s="11">
        <f>+SUMIFS('2022'!Y:Y,'2022'!D:D,CRUCE!A465,'2022'!AS:AS,CRUCE!B465)</f>
        <v>0</v>
      </c>
      <c r="E465" s="136" t="e">
        <f t="shared" si="235"/>
        <v>#DIV/0!</v>
      </c>
      <c r="F465" s="11">
        <f>+SUMIFS('2023'!Y:Y,'2023'!D:D,CRUCE!A465,'2023'!AS:AS,CRUCE!B465)</f>
        <v>0</v>
      </c>
      <c r="G465" s="136" t="e">
        <f t="shared" si="236"/>
        <v>#DIV/0!</v>
      </c>
      <c r="H465" s="139">
        <f>+SUMIFS('2024'!J:J,'2024'!D:D,CRUCE!A465,'2024'!AT:AT,CRUCE!B465)</f>
        <v>28991067.890000001</v>
      </c>
      <c r="I465" s="7" t="str">
        <f t="shared" si="255"/>
        <v>238Derechos de monopolio por la introducción de licores destilados de producción extranjera0</v>
      </c>
      <c r="J465" s="7" t="str">
        <f t="shared" si="256"/>
        <v>238Derechos de monopolio por la introducción de licores destilados de producción extranjera0</v>
      </c>
      <c r="K465" s="7" t="str">
        <f t="shared" si="257"/>
        <v>238Derechos de monopolio por la introducción de licores destilados de producción extranjera0</v>
      </c>
      <c r="L465" s="7" t="str">
        <f t="shared" si="258"/>
        <v>238Derechos de monopolio por la introducción de licores destilados de producción extranjera28991067,89</v>
      </c>
      <c r="M465" t="s">
        <v>1906</v>
      </c>
      <c r="N465" s="136">
        <v>0.05</v>
      </c>
      <c r="O465" s="136"/>
      <c r="P465" s="20">
        <f t="shared" si="237"/>
        <v>30440621.284499999</v>
      </c>
      <c r="Q465" s="136">
        <f t="shared" si="249"/>
        <v>0.05</v>
      </c>
      <c r="R465" s="136">
        <f t="shared" si="250"/>
        <v>0.05</v>
      </c>
      <c r="S465" s="20">
        <f t="shared" si="238"/>
        <v>31962652.348724999</v>
      </c>
      <c r="U465" s="136">
        <v>1</v>
      </c>
      <c r="V465" s="20">
        <f t="shared" si="239"/>
        <v>63925304.697449997</v>
      </c>
    </row>
    <row r="466" spans="1:22" x14ac:dyDescent="0.3">
      <c r="A466" s="5">
        <v>238</v>
      </c>
      <c r="B466" s="8" t="s">
        <v>355</v>
      </c>
      <c r="C466" s="11">
        <f>+SUMIFS('2021'!Z:Z,'2021'!D:D,CRUCE!A466,'2021'!AT:AT,CRUCE!B466)</f>
        <v>0</v>
      </c>
      <c r="D466" s="11">
        <f>+SUMIFS('2022'!Y:Y,'2022'!D:D,CRUCE!A466,'2022'!AS:AS,CRUCE!B466)</f>
        <v>0</v>
      </c>
      <c r="E466" s="136" t="e">
        <f t="shared" si="235"/>
        <v>#DIV/0!</v>
      </c>
      <c r="F466" s="11">
        <f>+SUMIFS('2023'!Y:Y,'2023'!D:D,CRUCE!A466,'2023'!AS:AS,CRUCE!B466)</f>
        <v>0</v>
      </c>
      <c r="G466" s="136" t="e">
        <f t="shared" si="236"/>
        <v>#DIV/0!</v>
      </c>
      <c r="H466" s="139">
        <f>+SUMIFS('2024'!J:J,'2024'!D:D,CRUCE!A466,'2024'!AT:AT,CRUCE!B466)</f>
        <v>134467007.62</v>
      </c>
      <c r="I466" s="7" t="str">
        <f t="shared" si="255"/>
        <v>238Derechos de monopolio por la introducción de licores destilados de producción nacional0</v>
      </c>
      <c r="J466" s="7" t="str">
        <f t="shared" si="256"/>
        <v>238Derechos de monopolio por la introducción de licores destilados de producción nacional0</v>
      </c>
      <c r="K466" s="7" t="str">
        <f t="shared" si="257"/>
        <v>238Derechos de monopolio por la introducción de licores destilados de producción nacional0</v>
      </c>
      <c r="L466" s="7" t="str">
        <f t="shared" si="258"/>
        <v>238Derechos de monopolio por la introducción de licores destilados de producción nacional134467007,62</v>
      </c>
      <c r="M466" t="s">
        <v>1906</v>
      </c>
      <c r="N466" s="136">
        <v>0.05</v>
      </c>
      <c r="O466" s="136"/>
      <c r="P466" s="20">
        <f t="shared" si="237"/>
        <v>141190358.00100002</v>
      </c>
      <c r="Q466" s="136">
        <f t="shared" si="249"/>
        <v>0.05</v>
      </c>
      <c r="R466" s="136">
        <f t="shared" si="250"/>
        <v>0.05</v>
      </c>
      <c r="S466" s="20">
        <f t="shared" si="238"/>
        <v>148249875.90105003</v>
      </c>
      <c r="U466" s="136">
        <v>1</v>
      </c>
      <c r="V466" s="20">
        <f t="shared" si="239"/>
        <v>296499751.80210006</v>
      </c>
    </row>
    <row r="467" spans="1:22" x14ac:dyDescent="0.3">
      <c r="A467" s="5">
        <v>238</v>
      </c>
      <c r="B467" s="8" t="s">
        <v>1108</v>
      </c>
      <c r="C467" s="11">
        <f>+SUMIFS('2021'!Z:Z,'2021'!D:D,CRUCE!A467,'2021'!AT:AT,CRUCE!B467)</f>
        <v>0</v>
      </c>
      <c r="D467" s="11">
        <f>+SUMIFS('2022'!Y:Y,'2022'!D:D,CRUCE!A467,'2022'!AS:AS,CRUCE!B467)</f>
        <v>0</v>
      </c>
      <c r="E467" s="136" t="e">
        <f t="shared" si="235"/>
        <v>#DIV/0!</v>
      </c>
      <c r="F467" s="11">
        <f>+SUMIFS('2023'!Y:Y,'2023'!D:D,CRUCE!A467,'2023'!AS:AS,CRUCE!B467)</f>
        <v>0</v>
      </c>
      <c r="G467" s="136" t="e">
        <f t="shared" si="236"/>
        <v>#DIV/0!</v>
      </c>
      <c r="H467" s="139">
        <f>+SUMIFS('2024'!J:J,'2024'!D:D,CRUCE!A467,'2024'!AT:AT,CRUCE!B467)</f>
        <v>704798148.37</v>
      </c>
      <c r="I467" s="7" t="str">
        <f t="shared" si="255"/>
        <v>238Participación por el consumo de licores destilados introducidos de producción extranjera recaudado p0</v>
      </c>
      <c r="J467" s="7" t="str">
        <f t="shared" si="256"/>
        <v>238Participación por el consumo de licores destilados introducidos de producción extranjera recaudado p0</v>
      </c>
      <c r="K467" s="7" t="str">
        <f t="shared" si="257"/>
        <v>238Participación por el consumo de licores destilados introducidos de producción extranjera recaudado p0</v>
      </c>
      <c r="L467" s="7" t="str">
        <f t="shared" si="258"/>
        <v>238Participación por el consumo de licores destilados introducidos de producción extranjera recaudado p704798148,37</v>
      </c>
      <c r="M467" t="s">
        <v>1906</v>
      </c>
      <c r="N467" s="136">
        <v>0.05</v>
      </c>
      <c r="O467" s="136"/>
      <c r="P467" s="20">
        <f t="shared" si="237"/>
        <v>740038055.78849995</v>
      </c>
      <c r="Q467" s="136">
        <f t="shared" si="249"/>
        <v>0.05</v>
      </c>
      <c r="R467" s="136">
        <f t="shared" si="250"/>
        <v>0.05</v>
      </c>
      <c r="S467" s="20">
        <f t="shared" si="238"/>
        <v>777039958.57792497</v>
      </c>
      <c r="U467" s="136">
        <v>1</v>
      </c>
      <c r="V467" s="20">
        <f t="shared" si="239"/>
        <v>1554079917.1558499</v>
      </c>
    </row>
    <row r="468" spans="1:22" x14ac:dyDescent="0.3">
      <c r="A468" s="5">
        <v>238</v>
      </c>
      <c r="B468" s="8" t="s">
        <v>363</v>
      </c>
      <c r="C468" s="11">
        <f>+SUMIFS('2021'!Z:Z,'2021'!D:D,CRUCE!A468,'2021'!AT:AT,CRUCE!B468)</f>
        <v>0</v>
      </c>
      <c r="D468" s="11">
        <f>+SUMIFS('2022'!Y:Y,'2022'!D:D,CRUCE!A468,'2022'!AS:AS,CRUCE!B468)</f>
        <v>0</v>
      </c>
      <c r="E468" s="136" t="e">
        <f t="shared" si="235"/>
        <v>#DIV/0!</v>
      </c>
      <c r="F468" s="11">
        <f>+SUMIFS('2023'!Y:Y,'2023'!D:D,CRUCE!A468,'2023'!AS:AS,CRUCE!B468)</f>
        <v>0</v>
      </c>
      <c r="G468" s="136" t="e">
        <f t="shared" si="236"/>
        <v>#DIV/0!</v>
      </c>
      <c r="H468" s="139">
        <f>+SUMIFS('2024'!J:J,'2024'!D:D,CRUCE!A468,'2024'!AT:AT,CRUCE!B468)</f>
        <v>2549867501.1300001</v>
      </c>
      <c r="I468" s="7" t="str">
        <f t="shared" si="255"/>
        <v>238Participación por el consumo de licores destilados introducidos de producción nacional0</v>
      </c>
      <c r="J468" s="7" t="str">
        <f t="shared" si="256"/>
        <v>238Participación por el consumo de licores destilados introducidos de producción nacional0</v>
      </c>
      <c r="K468" s="7" t="str">
        <f t="shared" si="257"/>
        <v>238Participación por el consumo de licores destilados introducidos de producción nacional0</v>
      </c>
      <c r="L468" s="7" t="str">
        <f t="shared" si="258"/>
        <v>238Participación por el consumo de licores destilados introducidos de producción nacional2549867501,13</v>
      </c>
      <c r="M468" t="s">
        <v>1906</v>
      </c>
      <c r="N468" s="136">
        <v>0.05</v>
      </c>
      <c r="O468" s="136"/>
      <c r="P468" s="20">
        <f t="shared" si="237"/>
        <v>2677360876.1865001</v>
      </c>
      <c r="Q468" s="136">
        <f t="shared" si="249"/>
        <v>0.05</v>
      </c>
      <c r="R468" s="136">
        <f t="shared" si="250"/>
        <v>0.05</v>
      </c>
      <c r="S468" s="20">
        <f t="shared" si="238"/>
        <v>2811228919.9958253</v>
      </c>
      <c r="U468" s="136">
        <v>1</v>
      </c>
      <c r="V468" s="20">
        <f t="shared" si="239"/>
        <v>5622457839.9916506</v>
      </c>
    </row>
    <row r="469" spans="1:22" x14ac:dyDescent="0.3">
      <c r="A469" s="5">
        <v>238</v>
      </c>
      <c r="B469" s="8" t="s">
        <v>1114</v>
      </c>
      <c r="C469" s="11">
        <f>+SUMIFS('2021'!Z:Z,'2021'!D:D,CRUCE!A469,'2021'!AT:AT,CRUCE!B469)</f>
        <v>0</v>
      </c>
      <c r="D469" s="11">
        <f>+SUMIFS('2022'!Y:Y,'2022'!D:D,CRUCE!A469,'2022'!AS:AS,CRUCE!B469)</f>
        <v>0</v>
      </c>
      <c r="E469" s="136" t="e">
        <f t="shared" si="235"/>
        <v>#DIV/0!</v>
      </c>
      <c r="F469" s="11">
        <f>+SUMIFS('2023'!Y:Y,'2023'!D:D,CRUCE!A469,'2023'!AS:AS,CRUCE!B469)</f>
        <v>0</v>
      </c>
      <c r="G469" s="136" t="e">
        <f t="shared" si="236"/>
        <v>#DIV/0!</v>
      </c>
      <c r="H469" s="139">
        <f>+SUMIFS('2024'!J:J,'2024'!D:D,CRUCE!A469,'2024'!AT:AT,CRUCE!B469)</f>
        <v>622274.99</v>
      </c>
      <c r="I469" s="7" t="str">
        <f t="shared" si="255"/>
        <v>238Participación por la utilización de alcohol potable producido0</v>
      </c>
      <c r="J469" s="7" t="str">
        <f t="shared" si="256"/>
        <v>238Participación por la utilización de alcohol potable producido0</v>
      </c>
      <c r="K469" s="7" t="str">
        <f t="shared" si="257"/>
        <v>238Participación por la utilización de alcohol potable producido0</v>
      </c>
      <c r="L469" s="7" t="str">
        <f t="shared" si="258"/>
        <v>238Participación por la utilización de alcohol potable producido622274,99</v>
      </c>
      <c r="M469" t="s">
        <v>1906</v>
      </c>
      <c r="N469" s="136">
        <v>0.05</v>
      </c>
      <c r="O469" s="136"/>
      <c r="P469" s="20">
        <f t="shared" si="237"/>
        <v>653388.73950000003</v>
      </c>
      <c r="Q469" s="136">
        <f t="shared" si="249"/>
        <v>0.05</v>
      </c>
      <c r="R469" s="136">
        <f t="shared" si="250"/>
        <v>0.05</v>
      </c>
      <c r="S469" s="20">
        <f t="shared" si="238"/>
        <v>686058.17647499999</v>
      </c>
      <c r="U469" s="136">
        <v>1</v>
      </c>
      <c r="V469" s="20">
        <f t="shared" si="239"/>
        <v>1372116.35295</v>
      </c>
    </row>
    <row r="470" spans="1:22" x14ac:dyDescent="0.3">
      <c r="A470" s="5">
        <v>239</v>
      </c>
      <c r="B470" s="8" t="s">
        <v>1096</v>
      </c>
      <c r="C470" s="11">
        <f>+SUMIFS('2021'!Z:Z,'2021'!D:D,CRUCE!A470,'2021'!AT:AT,CRUCE!B470)</f>
        <v>0</v>
      </c>
      <c r="D470" s="11">
        <f>+SUMIFS('2022'!Y:Y,'2022'!D:D,CRUCE!A470,'2022'!AS:AS,CRUCE!B470)</f>
        <v>0</v>
      </c>
      <c r="E470" s="136" t="e">
        <f t="shared" si="235"/>
        <v>#DIV/0!</v>
      </c>
      <c r="F470" s="11">
        <f>+SUMIFS('2023'!Y:Y,'2023'!D:D,CRUCE!A470,'2023'!AS:AS,CRUCE!B470)</f>
        <v>0</v>
      </c>
      <c r="G470" s="136" t="e">
        <f t="shared" si="236"/>
        <v>#DIV/0!</v>
      </c>
      <c r="H470" s="139">
        <f>+SUMIFS('2024'!J:J,'2024'!D:D,CRUCE!A470,'2024'!AT:AT,CRUCE!B470)</f>
        <v>28991067.890000001</v>
      </c>
      <c r="I470" s="7" t="str">
        <f t="shared" si="255"/>
        <v>239Derechos de monopolio por la introducción de licores destilados de producción extranjera0</v>
      </c>
      <c r="J470" s="7" t="str">
        <f t="shared" si="256"/>
        <v>239Derechos de monopolio por la introducción de licores destilados de producción extranjera0</v>
      </c>
      <c r="K470" s="7" t="str">
        <f t="shared" si="257"/>
        <v>239Derechos de monopolio por la introducción de licores destilados de producción extranjera0</v>
      </c>
      <c r="L470" s="7" t="str">
        <f t="shared" si="258"/>
        <v>239Derechos de monopolio por la introducción de licores destilados de producción extranjera28991067,89</v>
      </c>
      <c r="M470" t="s">
        <v>1906</v>
      </c>
      <c r="N470" s="136">
        <v>0.05</v>
      </c>
      <c r="O470" s="136"/>
      <c r="P470" s="20">
        <f t="shared" si="237"/>
        <v>30440621.284499999</v>
      </c>
      <c r="Q470" s="136">
        <f t="shared" si="249"/>
        <v>0.05</v>
      </c>
      <c r="R470" s="136">
        <f t="shared" si="250"/>
        <v>0.05</v>
      </c>
      <c r="S470" s="20">
        <f t="shared" si="238"/>
        <v>31962652.348724999</v>
      </c>
      <c r="U470" s="136">
        <v>1</v>
      </c>
      <c r="V470" s="20">
        <f t="shared" si="239"/>
        <v>63925304.697449997</v>
      </c>
    </row>
    <row r="471" spans="1:22" x14ac:dyDescent="0.3">
      <c r="A471" s="5">
        <v>239</v>
      </c>
      <c r="B471" s="8" t="s">
        <v>355</v>
      </c>
      <c r="C471" s="11">
        <f>+SUMIFS('2021'!Z:Z,'2021'!D:D,CRUCE!A471,'2021'!AT:AT,CRUCE!B471)</f>
        <v>0</v>
      </c>
      <c r="D471" s="11">
        <f>+SUMIFS('2022'!Y:Y,'2022'!D:D,CRUCE!A471,'2022'!AS:AS,CRUCE!B471)</f>
        <v>0</v>
      </c>
      <c r="E471" s="136" t="e">
        <f t="shared" si="235"/>
        <v>#DIV/0!</v>
      </c>
      <c r="F471" s="11">
        <f>+SUMIFS('2023'!Y:Y,'2023'!D:D,CRUCE!A471,'2023'!AS:AS,CRUCE!B471)</f>
        <v>0</v>
      </c>
      <c r="G471" s="136" t="e">
        <f t="shared" si="236"/>
        <v>#DIV/0!</v>
      </c>
      <c r="H471" s="139">
        <f>+SUMIFS('2024'!J:J,'2024'!D:D,CRUCE!A471,'2024'!AT:AT,CRUCE!B471)</f>
        <v>134467007.62</v>
      </c>
      <c r="I471" s="7" t="str">
        <f t="shared" ref="I471:I478" si="259">+$A471&amp;$B471&amp;C471</f>
        <v>239Derechos de monopolio por la introducción de licores destilados de producción nacional0</v>
      </c>
      <c r="J471" s="7" t="str">
        <f t="shared" ref="J471:J478" si="260">+$A471&amp;$B471&amp;D471</f>
        <v>239Derechos de monopolio por la introducción de licores destilados de producción nacional0</v>
      </c>
      <c r="K471" s="7" t="str">
        <f t="shared" ref="K471:K478" si="261">+$A471&amp;$B471&amp;F471</f>
        <v>239Derechos de monopolio por la introducción de licores destilados de producción nacional0</v>
      </c>
      <c r="L471" s="7" t="str">
        <f t="shared" ref="L471:L478" si="262">+$A471&amp;$B471&amp;H471</f>
        <v>239Derechos de monopolio por la introducción de licores destilados de producción nacional134467007,62</v>
      </c>
      <c r="M471" t="s">
        <v>1906</v>
      </c>
      <c r="N471" s="136">
        <v>0.05</v>
      </c>
      <c r="O471" s="136"/>
      <c r="P471" s="20">
        <f t="shared" si="237"/>
        <v>141190358.00100002</v>
      </c>
      <c r="Q471" s="136">
        <f t="shared" si="249"/>
        <v>0.05</v>
      </c>
      <c r="R471" s="136">
        <f t="shared" si="250"/>
        <v>0.05</v>
      </c>
      <c r="S471" s="20">
        <f t="shared" si="238"/>
        <v>148249875.90105003</v>
      </c>
      <c r="U471" s="136">
        <v>1</v>
      </c>
      <c r="V471" s="20">
        <f t="shared" si="239"/>
        <v>296499751.80210006</v>
      </c>
    </row>
    <row r="472" spans="1:22" x14ac:dyDescent="0.3">
      <c r="A472" s="5">
        <v>239</v>
      </c>
      <c r="B472" s="8" t="s">
        <v>1108</v>
      </c>
      <c r="C472" s="11">
        <f>+SUMIFS('2021'!Z:Z,'2021'!D:D,CRUCE!A472,'2021'!AT:AT,CRUCE!B472)</f>
        <v>0</v>
      </c>
      <c r="D472" s="11">
        <f>+SUMIFS('2022'!Y:Y,'2022'!D:D,CRUCE!A472,'2022'!AS:AS,CRUCE!B472)</f>
        <v>0</v>
      </c>
      <c r="E472" s="136" t="e">
        <f t="shared" si="235"/>
        <v>#DIV/0!</v>
      </c>
      <c r="F472" s="11">
        <f>+SUMIFS('2023'!Y:Y,'2023'!D:D,CRUCE!A472,'2023'!AS:AS,CRUCE!B472)</f>
        <v>0</v>
      </c>
      <c r="G472" s="136" t="e">
        <f t="shared" si="236"/>
        <v>#DIV/0!</v>
      </c>
      <c r="H472" s="139">
        <f>+SUMIFS('2024'!J:J,'2024'!D:D,CRUCE!A472,'2024'!AT:AT,CRUCE!B472)</f>
        <v>704798148.37</v>
      </c>
      <c r="I472" s="7" t="str">
        <f t="shared" si="259"/>
        <v>239Participación por el consumo de licores destilados introducidos de producción extranjera recaudado p0</v>
      </c>
      <c r="J472" s="7" t="str">
        <f t="shared" si="260"/>
        <v>239Participación por el consumo de licores destilados introducidos de producción extranjera recaudado p0</v>
      </c>
      <c r="K472" s="7" t="str">
        <f t="shared" si="261"/>
        <v>239Participación por el consumo de licores destilados introducidos de producción extranjera recaudado p0</v>
      </c>
      <c r="L472" s="7" t="str">
        <f t="shared" si="262"/>
        <v>239Participación por el consumo de licores destilados introducidos de producción extranjera recaudado p704798148,37</v>
      </c>
      <c r="M472" t="s">
        <v>1906</v>
      </c>
      <c r="N472" s="136">
        <v>0.05</v>
      </c>
      <c r="O472" s="136"/>
      <c r="P472" s="20">
        <f t="shared" si="237"/>
        <v>740038055.78849995</v>
      </c>
      <c r="Q472" s="136">
        <f t="shared" si="249"/>
        <v>0.05</v>
      </c>
      <c r="R472" s="136">
        <f t="shared" si="250"/>
        <v>0.05</v>
      </c>
      <c r="S472" s="20">
        <f t="shared" si="238"/>
        <v>777039958.57792497</v>
      </c>
      <c r="U472" s="136">
        <v>1</v>
      </c>
      <c r="V472" s="20">
        <f t="shared" si="239"/>
        <v>1554079917.1558499</v>
      </c>
    </row>
    <row r="473" spans="1:22" x14ac:dyDescent="0.3">
      <c r="A473" s="5">
        <v>239</v>
      </c>
      <c r="B473" s="8" t="s">
        <v>363</v>
      </c>
      <c r="C473" s="11">
        <f>+SUMIFS('2021'!Z:Z,'2021'!D:D,CRUCE!A473,'2021'!AT:AT,CRUCE!B473)</f>
        <v>0</v>
      </c>
      <c r="D473" s="11">
        <f>+SUMIFS('2022'!Y:Y,'2022'!D:D,CRUCE!A473,'2022'!AS:AS,CRUCE!B473)</f>
        <v>0</v>
      </c>
      <c r="E473" s="136" t="e">
        <f t="shared" si="235"/>
        <v>#DIV/0!</v>
      </c>
      <c r="F473" s="11">
        <f>+SUMIFS('2023'!Y:Y,'2023'!D:D,CRUCE!A473,'2023'!AS:AS,CRUCE!B473)</f>
        <v>0</v>
      </c>
      <c r="G473" s="136" t="e">
        <f t="shared" si="236"/>
        <v>#DIV/0!</v>
      </c>
      <c r="H473" s="139">
        <f>+SUMIFS('2024'!J:J,'2024'!D:D,CRUCE!A473,'2024'!AT:AT,CRUCE!B473)</f>
        <v>2549867501.1300001</v>
      </c>
      <c r="I473" s="7" t="str">
        <f t="shared" si="259"/>
        <v>239Participación por el consumo de licores destilados introducidos de producción nacional0</v>
      </c>
      <c r="J473" s="7" t="str">
        <f t="shared" si="260"/>
        <v>239Participación por el consumo de licores destilados introducidos de producción nacional0</v>
      </c>
      <c r="K473" s="7" t="str">
        <f t="shared" si="261"/>
        <v>239Participación por el consumo de licores destilados introducidos de producción nacional0</v>
      </c>
      <c r="L473" s="7" t="str">
        <f t="shared" si="262"/>
        <v>239Participación por el consumo de licores destilados introducidos de producción nacional2549867501,13</v>
      </c>
      <c r="M473" t="s">
        <v>1906</v>
      </c>
      <c r="N473" s="136">
        <v>0.05</v>
      </c>
      <c r="O473" s="136"/>
      <c r="P473" s="20">
        <f t="shared" si="237"/>
        <v>2677360876.1865001</v>
      </c>
      <c r="Q473" s="136">
        <f t="shared" si="249"/>
        <v>0.05</v>
      </c>
      <c r="R473" s="136">
        <f t="shared" si="250"/>
        <v>0.05</v>
      </c>
      <c r="S473" s="20">
        <f t="shared" si="238"/>
        <v>2811228919.9958253</v>
      </c>
      <c r="U473" s="136">
        <v>1</v>
      </c>
      <c r="V473" s="20">
        <f t="shared" si="239"/>
        <v>5622457839.9916506</v>
      </c>
    </row>
    <row r="474" spans="1:22" x14ac:dyDescent="0.3">
      <c r="A474" s="5">
        <v>239</v>
      </c>
      <c r="B474" s="8" t="s">
        <v>1114</v>
      </c>
      <c r="C474" s="11">
        <f>+SUMIFS('2021'!Z:Z,'2021'!D:D,CRUCE!A474,'2021'!AT:AT,CRUCE!B474)</f>
        <v>0</v>
      </c>
      <c r="D474" s="11">
        <f>+SUMIFS('2022'!Y:Y,'2022'!D:D,CRUCE!A474,'2022'!AS:AS,CRUCE!B474)</f>
        <v>0</v>
      </c>
      <c r="E474" s="136" t="e">
        <f t="shared" si="235"/>
        <v>#DIV/0!</v>
      </c>
      <c r="F474" s="11">
        <f>+SUMIFS('2023'!Y:Y,'2023'!D:D,CRUCE!A474,'2023'!AS:AS,CRUCE!B474)</f>
        <v>0</v>
      </c>
      <c r="G474" s="136" t="e">
        <f t="shared" si="236"/>
        <v>#DIV/0!</v>
      </c>
      <c r="H474" s="139">
        <f>+SUMIFS('2024'!J:J,'2024'!D:D,CRUCE!A474,'2024'!AT:AT,CRUCE!B474)</f>
        <v>622274.99</v>
      </c>
      <c r="I474" s="7" t="str">
        <f t="shared" si="259"/>
        <v>239Participación por la utilización de alcohol potable producido0</v>
      </c>
      <c r="J474" s="7" t="str">
        <f t="shared" si="260"/>
        <v>239Participación por la utilización de alcohol potable producido0</v>
      </c>
      <c r="K474" s="7" t="str">
        <f t="shared" si="261"/>
        <v>239Participación por la utilización de alcohol potable producido0</v>
      </c>
      <c r="L474" s="7" t="str">
        <f t="shared" si="262"/>
        <v>239Participación por la utilización de alcohol potable producido622274,99</v>
      </c>
      <c r="M474" t="s">
        <v>1906</v>
      </c>
      <c r="N474" s="136">
        <v>0.05</v>
      </c>
      <c r="O474" s="136"/>
      <c r="P474" s="20">
        <f t="shared" si="237"/>
        <v>653388.73950000003</v>
      </c>
      <c r="Q474" s="136">
        <f t="shared" si="249"/>
        <v>0.05</v>
      </c>
      <c r="R474" s="136">
        <f t="shared" si="250"/>
        <v>0.05</v>
      </c>
      <c r="S474" s="20">
        <f t="shared" si="238"/>
        <v>686058.17647499999</v>
      </c>
      <c r="U474" s="136">
        <v>1</v>
      </c>
      <c r="V474" s="20">
        <f t="shared" si="239"/>
        <v>1372116.35295</v>
      </c>
    </row>
    <row r="475" spans="1:22" x14ac:dyDescent="0.3">
      <c r="A475" s="5">
        <v>240</v>
      </c>
      <c r="B475" s="8" t="s">
        <v>1541</v>
      </c>
      <c r="C475" s="11">
        <f>+SUMIFS('2021'!Z:Z,'2021'!D:D,CRUCE!A475,'2021'!AT:AT,CRUCE!B475)</f>
        <v>0</v>
      </c>
      <c r="D475" s="11">
        <f>+SUMIFS('2022'!Y:Y,'2022'!D:D,CRUCE!A475,'2022'!AS:AS,CRUCE!B475)</f>
        <v>0</v>
      </c>
      <c r="E475" s="136" t="e">
        <f t="shared" si="235"/>
        <v>#DIV/0!</v>
      </c>
      <c r="F475" s="11">
        <f>+SUMIFS('2023'!Y:Y,'2023'!D:D,CRUCE!A475,'2023'!AS:AS,CRUCE!B475)</f>
        <v>0</v>
      </c>
      <c r="G475" s="136" t="e">
        <f t="shared" si="236"/>
        <v>#DIV/0!</v>
      </c>
      <c r="H475" s="11">
        <f>+SUMIFS('2024'!J:J,'2024'!D:D,CRUCE!A475,'2024'!AT:AT,CRUCE!B475)</f>
        <v>547483948.70000005</v>
      </c>
      <c r="I475" s="7" t="str">
        <f t="shared" si="259"/>
        <v>240Impuesto al consumo de vinos, aperitivos y similares - Componente Ad Valorem de Producción Extranjer0</v>
      </c>
      <c r="J475" s="7" t="str">
        <f t="shared" si="260"/>
        <v>240Impuesto al consumo de vinos, aperitivos y similares - Componente Ad Valorem de Producción Extranjer0</v>
      </c>
      <c r="K475" s="7" t="str">
        <f t="shared" si="261"/>
        <v>240Impuesto al consumo de vinos, aperitivos y similares - Componente Ad Valorem de Producción Extranjer0</v>
      </c>
      <c r="L475" s="7" t="str">
        <f t="shared" si="262"/>
        <v>240Impuesto al consumo de vinos, aperitivos y similares - Componente Ad Valorem de Producción Extranjer547483948,7</v>
      </c>
      <c r="M475" t="s">
        <v>1906</v>
      </c>
      <c r="N475" s="136">
        <v>0.05</v>
      </c>
      <c r="O475" s="136"/>
      <c r="P475" s="20">
        <f t="shared" si="237"/>
        <v>574858146.13499999</v>
      </c>
      <c r="Q475" s="136">
        <f t="shared" si="249"/>
        <v>0.05</v>
      </c>
      <c r="R475" s="136">
        <f t="shared" si="250"/>
        <v>0.05</v>
      </c>
      <c r="S475" s="20">
        <f t="shared" si="238"/>
        <v>603601053.44175005</v>
      </c>
      <c r="U475" s="136">
        <f t="shared" ref="U475:U506" si="263">+R475</f>
        <v>0.05</v>
      </c>
      <c r="V475" s="20">
        <f t="shared" si="239"/>
        <v>633781106.1138376</v>
      </c>
    </row>
    <row r="476" spans="1:22" x14ac:dyDescent="0.3">
      <c r="A476" s="5">
        <v>240</v>
      </c>
      <c r="B476" s="8" t="s">
        <v>1538</v>
      </c>
      <c r="C476" s="11">
        <f>+SUMIFS('2021'!Z:Z,'2021'!D:D,CRUCE!A476,'2021'!AT:AT,CRUCE!B476)</f>
        <v>0</v>
      </c>
      <c r="D476" s="11">
        <f>+SUMIFS('2022'!Y:Y,'2022'!D:D,CRUCE!A476,'2022'!AS:AS,CRUCE!B476)</f>
        <v>0</v>
      </c>
      <c r="E476" s="136" t="e">
        <f t="shared" si="235"/>
        <v>#DIV/0!</v>
      </c>
      <c r="F476" s="11">
        <f>+SUMIFS('2023'!Y:Y,'2023'!D:D,CRUCE!A476,'2023'!AS:AS,CRUCE!B476)</f>
        <v>0</v>
      </c>
      <c r="G476" s="136" t="e">
        <f t="shared" si="236"/>
        <v>#DIV/0!</v>
      </c>
      <c r="H476" s="11">
        <f>+SUMIFS('2024'!J:J,'2024'!D:D,CRUCE!A476,'2024'!AT:AT,CRUCE!B476)</f>
        <v>178374266.30000001</v>
      </c>
      <c r="I476" s="7" t="str">
        <f t="shared" si="259"/>
        <v>240Impuesto al consumo de vinos, aperitivos y similares - Componente Ad Valorem de Producción Nacional0</v>
      </c>
      <c r="J476" s="7" t="str">
        <f t="shared" si="260"/>
        <v>240Impuesto al consumo de vinos, aperitivos y similares - Componente Ad Valorem de Producción Nacional0</v>
      </c>
      <c r="K476" s="7" t="str">
        <f t="shared" si="261"/>
        <v>240Impuesto al consumo de vinos, aperitivos y similares - Componente Ad Valorem de Producción Nacional0</v>
      </c>
      <c r="L476" s="7" t="str">
        <f t="shared" si="262"/>
        <v>240Impuesto al consumo de vinos, aperitivos y similares - Componente Ad Valorem de Producción Nacional178374266,3</v>
      </c>
      <c r="M476" t="s">
        <v>1906</v>
      </c>
      <c r="N476" s="136">
        <v>0.05</v>
      </c>
      <c r="O476" s="136"/>
      <c r="P476" s="20">
        <f t="shared" si="237"/>
        <v>187292979.61500001</v>
      </c>
      <c r="Q476" s="136">
        <f t="shared" si="249"/>
        <v>0.05</v>
      </c>
      <c r="R476" s="136">
        <f t="shared" si="250"/>
        <v>0.05</v>
      </c>
      <c r="S476" s="20">
        <f t="shared" si="238"/>
        <v>196657628.59575</v>
      </c>
      <c r="U476" s="136">
        <f t="shared" si="263"/>
        <v>0.05</v>
      </c>
      <c r="V476" s="20">
        <f t="shared" si="239"/>
        <v>206490510.02553749</v>
      </c>
    </row>
    <row r="477" spans="1:22" x14ac:dyDescent="0.3">
      <c r="A477" s="5">
        <v>240</v>
      </c>
      <c r="B477" s="8" t="s">
        <v>1533</v>
      </c>
      <c r="C477" s="11">
        <f>+SUMIFS('2021'!Z:Z,'2021'!D:D,CRUCE!A477,'2021'!AT:AT,CRUCE!B477)</f>
        <v>0</v>
      </c>
      <c r="D477" s="11">
        <f>+SUMIFS('2022'!Y:Y,'2022'!D:D,CRUCE!A477,'2022'!AS:AS,CRUCE!B477)</f>
        <v>0</v>
      </c>
      <c r="E477" s="136" t="e">
        <f t="shared" si="235"/>
        <v>#DIV/0!</v>
      </c>
      <c r="F477" s="11">
        <f>+SUMIFS('2023'!Y:Y,'2023'!D:D,CRUCE!A477,'2023'!AS:AS,CRUCE!B477)</f>
        <v>0</v>
      </c>
      <c r="G477" s="136" t="e">
        <f t="shared" si="236"/>
        <v>#DIV/0!</v>
      </c>
      <c r="H477" s="11">
        <f>+SUMIFS('2024'!J:J,'2024'!D:D,CRUCE!A477,'2024'!AT:AT,CRUCE!B477)</f>
        <v>536560141.89999998</v>
      </c>
      <c r="I477" s="7" t="str">
        <f t="shared" si="259"/>
        <v>240Impuesto al consumo de vinos, aperitivos y similares - Componente Específico de Producción Extranjer0</v>
      </c>
      <c r="J477" s="7" t="str">
        <f t="shared" si="260"/>
        <v>240Impuesto al consumo de vinos, aperitivos y similares - Componente Específico de Producción Extranjer0</v>
      </c>
      <c r="K477" s="7" t="str">
        <f t="shared" si="261"/>
        <v>240Impuesto al consumo de vinos, aperitivos y similares - Componente Específico de Producción Extranjer0</v>
      </c>
      <c r="L477" s="7" t="str">
        <f t="shared" si="262"/>
        <v>240Impuesto al consumo de vinos, aperitivos y similares - Componente Específico de Producción Extranjer536560141,9</v>
      </c>
      <c r="M477" t="s">
        <v>1906</v>
      </c>
      <c r="N477" s="136">
        <v>0.05</v>
      </c>
      <c r="O477" s="136"/>
      <c r="P477" s="20">
        <f t="shared" si="237"/>
        <v>563388148.995</v>
      </c>
      <c r="Q477" s="136">
        <f t="shared" si="249"/>
        <v>0.05</v>
      </c>
      <c r="R477" s="136">
        <f t="shared" si="250"/>
        <v>0.05</v>
      </c>
      <c r="S477" s="20">
        <f t="shared" si="238"/>
        <v>591557556.44474995</v>
      </c>
      <c r="U477" s="136">
        <f t="shared" si="263"/>
        <v>0.05</v>
      </c>
      <c r="V477" s="20">
        <f t="shared" si="239"/>
        <v>621135434.26698744</v>
      </c>
    </row>
    <row r="478" spans="1:22" x14ac:dyDescent="0.3">
      <c r="A478" s="5">
        <v>240</v>
      </c>
      <c r="B478" s="8" t="s">
        <v>1530</v>
      </c>
      <c r="C478" s="11">
        <f>+SUMIFS('2021'!Z:Z,'2021'!D:D,CRUCE!A478,'2021'!AT:AT,CRUCE!B478)</f>
        <v>0</v>
      </c>
      <c r="D478" s="11">
        <f>+SUMIFS('2022'!Y:Y,'2022'!D:D,CRUCE!A478,'2022'!AS:AS,CRUCE!B478)</f>
        <v>0</v>
      </c>
      <c r="E478" s="136" t="e">
        <f t="shared" si="235"/>
        <v>#DIV/0!</v>
      </c>
      <c r="F478" s="11">
        <f>+SUMIFS('2023'!Y:Y,'2023'!D:D,CRUCE!A478,'2023'!AS:AS,CRUCE!B478)</f>
        <v>0</v>
      </c>
      <c r="G478" s="136" t="e">
        <f t="shared" si="236"/>
        <v>#DIV/0!</v>
      </c>
      <c r="H478" s="11">
        <f>+SUMIFS('2024'!J:J,'2024'!D:D,CRUCE!A478,'2024'!AT:AT,CRUCE!B478)</f>
        <v>174924643.09999999</v>
      </c>
      <c r="I478" s="7" t="str">
        <f t="shared" si="259"/>
        <v>240Impuesto al consumo de vinos, aperitivos y similares - Componente Específico de Producción Nacional0</v>
      </c>
      <c r="J478" s="7" t="str">
        <f t="shared" si="260"/>
        <v>240Impuesto al consumo de vinos, aperitivos y similares - Componente Específico de Producción Nacional0</v>
      </c>
      <c r="K478" s="7" t="str">
        <f t="shared" si="261"/>
        <v>240Impuesto al consumo de vinos, aperitivos y similares - Componente Específico de Producción Nacional0</v>
      </c>
      <c r="L478" s="7" t="str">
        <f t="shared" si="262"/>
        <v>240Impuesto al consumo de vinos, aperitivos y similares - Componente Específico de Producción Nacional174924643,1</v>
      </c>
      <c r="M478" t="s">
        <v>1906</v>
      </c>
      <c r="N478" s="136">
        <v>0.05</v>
      </c>
      <c r="O478" s="136"/>
      <c r="P478" s="20">
        <f t="shared" si="237"/>
        <v>183670875.255</v>
      </c>
      <c r="Q478" s="136">
        <f t="shared" si="249"/>
        <v>0.05</v>
      </c>
      <c r="R478" s="136">
        <f t="shared" si="250"/>
        <v>0.05</v>
      </c>
      <c r="S478" s="20">
        <f t="shared" si="238"/>
        <v>192854419.01774999</v>
      </c>
      <c r="U478" s="136">
        <f t="shared" si="263"/>
        <v>0.05</v>
      </c>
      <c r="V478" s="20">
        <f t="shared" si="239"/>
        <v>202497139.9686375</v>
      </c>
    </row>
    <row r="479" spans="1:22" x14ac:dyDescent="0.3">
      <c r="A479" s="5">
        <v>241</v>
      </c>
      <c r="B479" s="8" t="s">
        <v>1541</v>
      </c>
      <c r="C479" s="11">
        <f>+SUMIFS('2021'!Z:Z,'2021'!D:D,CRUCE!A479,'2021'!AT:AT,CRUCE!B479)</f>
        <v>0</v>
      </c>
      <c r="D479" s="11">
        <f>+SUMIFS('2022'!Y:Y,'2022'!D:D,CRUCE!A479,'2022'!AS:AS,CRUCE!B479)</f>
        <v>0</v>
      </c>
      <c r="E479" s="136" t="e">
        <f t="shared" si="235"/>
        <v>#DIV/0!</v>
      </c>
      <c r="F479" s="11">
        <f>+SUMIFS('2023'!Y:Y,'2023'!D:D,CRUCE!A479,'2023'!AS:AS,CRUCE!B479)</f>
        <v>0</v>
      </c>
      <c r="G479" s="136" t="e">
        <f t="shared" si="236"/>
        <v>#DIV/0!</v>
      </c>
      <c r="H479" s="11">
        <f>+SUMIFS('2024'!J:J,'2024'!D:D,CRUCE!A479,'2024'!AT:AT,CRUCE!B479)</f>
        <v>273741783.89999998</v>
      </c>
      <c r="I479" s="7" t="str">
        <f t="shared" ref="I479:I488" si="264">+$A479&amp;$B479&amp;C479</f>
        <v>241Impuesto al consumo de vinos, aperitivos y similares - Componente Ad Valorem de Producción Extranjer0</v>
      </c>
      <c r="J479" s="7" t="str">
        <f t="shared" ref="J479:J488" si="265">+$A479&amp;$B479&amp;D479</f>
        <v>241Impuesto al consumo de vinos, aperitivos y similares - Componente Ad Valorem de Producción Extranjer0</v>
      </c>
      <c r="K479" s="7" t="str">
        <f t="shared" ref="K479:K488" si="266">+$A479&amp;$B479&amp;F479</f>
        <v>241Impuesto al consumo de vinos, aperitivos y similares - Componente Ad Valorem de Producción Extranjer0</v>
      </c>
      <c r="L479" s="7" t="str">
        <f t="shared" ref="L479:L488" si="267">+$A479&amp;$B479&amp;H479</f>
        <v>241Impuesto al consumo de vinos, aperitivos y similares - Componente Ad Valorem de Producción Extranjer273741783,9</v>
      </c>
      <c r="M479" t="s">
        <v>1906</v>
      </c>
      <c r="N479" s="136">
        <v>0.05</v>
      </c>
      <c r="O479" s="136"/>
      <c r="P479" s="20">
        <f t="shared" si="237"/>
        <v>287428873.09499997</v>
      </c>
      <c r="Q479" s="136">
        <f t="shared" si="249"/>
        <v>0.05</v>
      </c>
      <c r="R479" s="136">
        <f t="shared" si="250"/>
        <v>0.05</v>
      </c>
      <c r="S479" s="20">
        <f t="shared" si="238"/>
        <v>301800316.74974996</v>
      </c>
      <c r="U479" s="136">
        <f t="shared" si="263"/>
        <v>0.05</v>
      </c>
      <c r="V479" s="20">
        <f t="shared" si="239"/>
        <v>316890332.58723748</v>
      </c>
    </row>
    <row r="480" spans="1:22" x14ac:dyDescent="0.3">
      <c r="A480" s="5">
        <v>241</v>
      </c>
      <c r="B480" s="8" t="s">
        <v>1538</v>
      </c>
      <c r="C480" s="11">
        <f>+SUMIFS('2021'!Z:Z,'2021'!D:D,CRUCE!A480,'2021'!AT:AT,CRUCE!B480)</f>
        <v>0</v>
      </c>
      <c r="D480" s="11">
        <f>+SUMIFS('2022'!Y:Y,'2022'!D:D,CRUCE!A480,'2022'!AS:AS,CRUCE!B480)</f>
        <v>0</v>
      </c>
      <c r="E480" s="136" t="e">
        <f t="shared" si="235"/>
        <v>#DIV/0!</v>
      </c>
      <c r="F480" s="11">
        <f>+SUMIFS('2023'!Y:Y,'2023'!D:D,CRUCE!A480,'2023'!AS:AS,CRUCE!B480)</f>
        <v>0</v>
      </c>
      <c r="G480" s="136" t="e">
        <f t="shared" si="236"/>
        <v>#DIV/0!</v>
      </c>
      <c r="H480" s="11">
        <f>+SUMIFS('2024'!J:J,'2024'!D:D,CRUCE!A480,'2024'!AT:AT,CRUCE!B480)</f>
        <v>89187071.099999994</v>
      </c>
      <c r="I480" s="7" t="str">
        <f t="shared" si="264"/>
        <v>241Impuesto al consumo de vinos, aperitivos y similares - Componente Ad Valorem de Producción Nacional0</v>
      </c>
      <c r="J480" s="7" t="str">
        <f t="shared" si="265"/>
        <v>241Impuesto al consumo de vinos, aperitivos y similares - Componente Ad Valorem de Producción Nacional0</v>
      </c>
      <c r="K480" s="7" t="str">
        <f t="shared" si="266"/>
        <v>241Impuesto al consumo de vinos, aperitivos y similares - Componente Ad Valorem de Producción Nacional0</v>
      </c>
      <c r="L480" s="7" t="str">
        <f t="shared" si="267"/>
        <v>241Impuesto al consumo de vinos, aperitivos y similares - Componente Ad Valorem de Producción Nacional89187071,1</v>
      </c>
      <c r="M480" t="s">
        <v>1906</v>
      </c>
      <c r="N480" s="136">
        <v>0.05</v>
      </c>
      <c r="O480" s="136"/>
      <c r="P480" s="20">
        <f t="shared" si="237"/>
        <v>93646424.655000001</v>
      </c>
      <c r="Q480" s="136">
        <f t="shared" si="249"/>
        <v>0.05</v>
      </c>
      <c r="R480" s="136">
        <f t="shared" si="250"/>
        <v>0.05</v>
      </c>
      <c r="S480" s="20">
        <f t="shared" si="238"/>
        <v>98328745.88775</v>
      </c>
      <c r="U480" s="136">
        <f t="shared" si="263"/>
        <v>0.05</v>
      </c>
      <c r="V480" s="20">
        <f t="shared" si="239"/>
        <v>103245183.1821375</v>
      </c>
    </row>
    <row r="481" spans="1:22" x14ac:dyDescent="0.3">
      <c r="A481" s="5">
        <v>241</v>
      </c>
      <c r="B481" s="8" t="s">
        <v>1533</v>
      </c>
      <c r="C481" s="11">
        <f>+SUMIFS('2021'!Z:Z,'2021'!D:D,CRUCE!A481,'2021'!AT:AT,CRUCE!B481)</f>
        <v>0</v>
      </c>
      <c r="D481" s="11">
        <f>+SUMIFS('2022'!Y:Y,'2022'!D:D,CRUCE!A481,'2022'!AS:AS,CRUCE!B481)</f>
        <v>0</v>
      </c>
      <c r="E481" s="136" t="e">
        <f t="shared" si="235"/>
        <v>#DIV/0!</v>
      </c>
      <c r="F481" s="11">
        <f>+SUMIFS('2023'!Y:Y,'2023'!D:D,CRUCE!A481,'2023'!AS:AS,CRUCE!B481)</f>
        <v>0</v>
      </c>
      <c r="G481" s="136" t="e">
        <f t="shared" si="236"/>
        <v>#DIV/0!</v>
      </c>
      <c r="H481" s="11">
        <f>+SUMIFS('2024'!J:J,'2024'!D:D,CRUCE!A481,'2024'!AT:AT,CRUCE!B481)</f>
        <v>268279884.30000001</v>
      </c>
      <c r="I481" s="7" t="str">
        <f t="shared" si="264"/>
        <v>241Impuesto al consumo de vinos, aperitivos y similares - Componente Específico de Producción Extranjer0</v>
      </c>
      <c r="J481" s="7" t="str">
        <f t="shared" si="265"/>
        <v>241Impuesto al consumo de vinos, aperitivos y similares - Componente Específico de Producción Extranjer0</v>
      </c>
      <c r="K481" s="7" t="str">
        <f t="shared" si="266"/>
        <v>241Impuesto al consumo de vinos, aperitivos y similares - Componente Específico de Producción Extranjer0</v>
      </c>
      <c r="L481" s="7" t="str">
        <f t="shared" si="267"/>
        <v>241Impuesto al consumo de vinos, aperitivos y similares - Componente Específico de Producción Extranjer268279884,3</v>
      </c>
      <c r="M481" t="s">
        <v>1906</v>
      </c>
      <c r="N481" s="136">
        <v>0.05</v>
      </c>
      <c r="O481" s="136"/>
      <c r="P481" s="20">
        <f t="shared" si="237"/>
        <v>281693878.51499999</v>
      </c>
      <c r="Q481" s="136">
        <f t="shared" si="249"/>
        <v>0.05</v>
      </c>
      <c r="R481" s="136">
        <f t="shared" si="250"/>
        <v>0.05</v>
      </c>
      <c r="S481" s="20">
        <f t="shared" si="238"/>
        <v>295778572.44075</v>
      </c>
      <c r="U481" s="136">
        <f t="shared" si="263"/>
        <v>0.05</v>
      </c>
      <c r="V481" s="20">
        <f t="shared" si="239"/>
        <v>310567501.06278753</v>
      </c>
    </row>
    <row r="482" spans="1:22" x14ac:dyDescent="0.3">
      <c r="A482" s="5">
        <v>241</v>
      </c>
      <c r="B482" s="8" t="s">
        <v>1530</v>
      </c>
      <c r="C482" s="11">
        <f>+SUMIFS('2021'!Z:Z,'2021'!D:D,CRUCE!A482,'2021'!AT:AT,CRUCE!B482)</f>
        <v>0</v>
      </c>
      <c r="D482" s="11">
        <f>+SUMIFS('2022'!Y:Y,'2022'!D:D,CRUCE!A482,'2022'!AS:AS,CRUCE!B482)</f>
        <v>0</v>
      </c>
      <c r="E482" s="136" t="e">
        <f t="shared" si="235"/>
        <v>#DIV/0!</v>
      </c>
      <c r="F482" s="11">
        <f>+SUMIFS('2023'!Y:Y,'2023'!D:D,CRUCE!A482,'2023'!AS:AS,CRUCE!B482)</f>
        <v>0</v>
      </c>
      <c r="G482" s="136" t="e">
        <f t="shared" si="236"/>
        <v>#DIV/0!</v>
      </c>
      <c r="H482" s="11">
        <f>+SUMIFS('2024'!J:J,'2024'!D:D,CRUCE!A482,'2024'!AT:AT,CRUCE!B482)</f>
        <v>87462260.700000003</v>
      </c>
      <c r="I482" s="7" t="str">
        <f t="shared" si="264"/>
        <v>241Impuesto al consumo de vinos, aperitivos y similares - Componente Específico de Producción Nacional0</v>
      </c>
      <c r="J482" s="7" t="str">
        <f t="shared" si="265"/>
        <v>241Impuesto al consumo de vinos, aperitivos y similares - Componente Específico de Producción Nacional0</v>
      </c>
      <c r="K482" s="7" t="str">
        <f t="shared" si="266"/>
        <v>241Impuesto al consumo de vinos, aperitivos y similares - Componente Específico de Producción Nacional0</v>
      </c>
      <c r="L482" s="7" t="str">
        <f t="shared" si="267"/>
        <v>241Impuesto al consumo de vinos, aperitivos y similares - Componente Específico de Producción Nacional87462260,7</v>
      </c>
      <c r="M482" t="s">
        <v>1906</v>
      </c>
      <c r="N482" s="136">
        <v>0.05</v>
      </c>
      <c r="O482" s="136"/>
      <c r="P482" s="20">
        <f t="shared" si="237"/>
        <v>91835373.734999999</v>
      </c>
      <c r="Q482" s="136">
        <f t="shared" si="249"/>
        <v>0.05</v>
      </c>
      <c r="R482" s="136">
        <f t="shared" si="250"/>
        <v>0.05</v>
      </c>
      <c r="S482" s="20">
        <f t="shared" si="238"/>
        <v>96427142.421749994</v>
      </c>
      <c r="U482" s="136">
        <f t="shared" si="263"/>
        <v>0.05</v>
      </c>
      <c r="V482" s="20">
        <f t="shared" si="239"/>
        <v>101248499.5428375</v>
      </c>
    </row>
    <row r="483" spans="1:22" x14ac:dyDescent="0.3">
      <c r="A483" s="5">
        <v>242</v>
      </c>
      <c r="B483" s="8" t="s">
        <v>1541</v>
      </c>
      <c r="C483" s="11">
        <f>+SUMIFS('2021'!Z:Z,'2021'!D:D,CRUCE!A483,'2021'!AT:AT,CRUCE!B483)</f>
        <v>0</v>
      </c>
      <c r="D483" s="11">
        <f>+SUMIFS('2022'!Y:Y,'2022'!D:D,CRUCE!A483,'2022'!AS:AS,CRUCE!B483)</f>
        <v>0</v>
      </c>
      <c r="E483" s="136" t="e">
        <f t="shared" si="235"/>
        <v>#DIV/0!</v>
      </c>
      <c r="F483" s="11">
        <f>+SUMIFS('2023'!Y:Y,'2023'!D:D,CRUCE!A483,'2023'!AS:AS,CRUCE!B483)</f>
        <v>0</v>
      </c>
      <c r="G483" s="136" t="e">
        <f t="shared" si="236"/>
        <v>#DIV/0!</v>
      </c>
      <c r="H483" s="11">
        <f>+SUMIFS('2024'!J:J,'2024'!D:D,CRUCE!A483,'2024'!AT:AT,CRUCE!B483)</f>
        <v>273741783.89999998</v>
      </c>
      <c r="I483" s="7" t="str">
        <f t="shared" si="264"/>
        <v>242Impuesto al consumo de vinos, aperitivos y similares - Componente Ad Valorem de Producción Extranjer0</v>
      </c>
      <c r="J483" s="7" t="str">
        <f t="shared" si="265"/>
        <v>242Impuesto al consumo de vinos, aperitivos y similares - Componente Ad Valorem de Producción Extranjer0</v>
      </c>
      <c r="K483" s="7" t="str">
        <f t="shared" si="266"/>
        <v>242Impuesto al consumo de vinos, aperitivos y similares - Componente Ad Valorem de Producción Extranjer0</v>
      </c>
      <c r="L483" s="7" t="str">
        <f t="shared" si="267"/>
        <v>242Impuesto al consumo de vinos, aperitivos y similares - Componente Ad Valorem de Producción Extranjer273741783,9</v>
      </c>
      <c r="M483" t="s">
        <v>1906</v>
      </c>
      <c r="N483" s="136">
        <v>0.05</v>
      </c>
      <c r="O483" s="136"/>
      <c r="P483" s="20">
        <f t="shared" si="237"/>
        <v>287428873.09499997</v>
      </c>
      <c r="Q483" s="136">
        <f t="shared" si="249"/>
        <v>0.05</v>
      </c>
      <c r="R483" s="136">
        <f t="shared" si="250"/>
        <v>0.05</v>
      </c>
      <c r="S483" s="20">
        <f t="shared" si="238"/>
        <v>301800316.74974996</v>
      </c>
      <c r="U483" s="136">
        <f t="shared" si="263"/>
        <v>0.05</v>
      </c>
      <c r="V483" s="20">
        <f t="shared" si="239"/>
        <v>316890332.58723748</v>
      </c>
    </row>
    <row r="484" spans="1:22" x14ac:dyDescent="0.3">
      <c r="A484" s="5">
        <v>242</v>
      </c>
      <c r="B484" s="8" t="s">
        <v>1538</v>
      </c>
      <c r="C484" s="11">
        <f>+SUMIFS('2021'!Z:Z,'2021'!D:D,CRUCE!A484,'2021'!AT:AT,CRUCE!B484)</f>
        <v>0</v>
      </c>
      <c r="D484" s="11">
        <f>+SUMIFS('2022'!Y:Y,'2022'!D:D,CRUCE!A484,'2022'!AS:AS,CRUCE!B484)</f>
        <v>0</v>
      </c>
      <c r="E484" s="136" t="e">
        <f t="shared" si="235"/>
        <v>#DIV/0!</v>
      </c>
      <c r="F484" s="11">
        <f>+SUMIFS('2023'!Y:Y,'2023'!D:D,CRUCE!A484,'2023'!AS:AS,CRUCE!B484)</f>
        <v>0</v>
      </c>
      <c r="G484" s="136" t="e">
        <f t="shared" si="236"/>
        <v>#DIV/0!</v>
      </c>
      <c r="H484" s="11">
        <f>+SUMIFS('2024'!J:J,'2024'!D:D,CRUCE!A484,'2024'!AT:AT,CRUCE!B484)</f>
        <v>89187071.099999994</v>
      </c>
      <c r="I484" s="7" t="str">
        <f t="shared" si="264"/>
        <v>242Impuesto al consumo de vinos, aperitivos y similares - Componente Ad Valorem de Producción Nacional0</v>
      </c>
      <c r="J484" s="7" t="str">
        <f t="shared" si="265"/>
        <v>242Impuesto al consumo de vinos, aperitivos y similares - Componente Ad Valorem de Producción Nacional0</v>
      </c>
      <c r="K484" s="7" t="str">
        <f t="shared" si="266"/>
        <v>242Impuesto al consumo de vinos, aperitivos y similares - Componente Ad Valorem de Producción Nacional0</v>
      </c>
      <c r="L484" s="7" t="str">
        <f t="shared" si="267"/>
        <v>242Impuesto al consumo de vinos, aperitivos y similares - Componente Ad Valorem de Producción Nacional89187071,1</v>
      </c>
      <c r="M484" t="s">
        <v>1906</v>
      </c>
      <c r="N484" s="136">
        <v>0.05</v>
      </c>
      <c r="O484" s="136"/>
      <c r="P484" s="20">
        <f t="shared" si="237"/>
        <v>93646424.655000001</v>
      </c>
      <c r="Q484" s="136">
        <f t="shared" si="249"/>
        <v>0.05</v>
      </c>
      <c r="R484" s="136">
        <f t="shared" si="250"/>
        <v>0.05</v>
      </c>
      <c r="S484" s="20">
        <f t="shared" si="238"/>
        <v>98328745.88775</v>
      </c>
      <c r="U484" s="136">
        <f t="shared" si="263"/>
        <v>0.05</v>
      </c>
      <c r="V484" s="20">
        <f t="shared" si="239"/>
        <v>103245183.1821375</v>
      </c>
    </row>
    <row r="485" spans="1:22" x14ac:dyDescent="0.3">
      <c r="A485" s="5">
        <v>242</v>
      </c>
      <c r="B485" s="8" t="s">
        <v>1533</v>
      </c>
      <c r="C485" s="11">
        <f>+SUMIFS('2021'!Z:Z,'2021'!D:D,CRUCE!A485,'2021'!AT:AT,CRUCE!B485)</f>
        <v>0</v>
      </c>
      <c r="D485" s="11">
        <f>+SUMIFS('2022'!Y:Y,'2022'!D:D,CRUCE!A485,'2022'!AS:AS,CRUCE!B485)</f>
        <v>0</v>
      </c>
      <c r="E485" s="136" t="e">
        <f t="shared" si="235"/>
        <v>#DIV/0!</v>
      </c>
      <c r="F485" s="11">
        <f>+SUMIFS('2023'!Y:Y,'2023'!D:D,CRUCE!A485,'2023'!AS:AS,CRUCE!B485)</f>
        <v>0</v>
      </c>
      <c r="G485" s="136" t="e">
        <f t="shared" si="236"/>
        <v>#DIV/0!</v>
      </c>
      <c r="H485" s="11">
        <f>+SUMIFS('2024'!J:J,'2024'!D:D,CRUCE!A485,'2024'!AT:AT,CRUCE!B485)</f>
        <v>268279884.30000001</v>
      </c>
      <c r="I485" s="7" t="str">
        <f t="shared" si="264"/>
        <v>242Impuesto al consumo de vinos, aperitivos y similares - Componente Específico de Producción Extranjer0</v>
      </c>
      <c r="J485" s="7" t="str">
        <f t="shared" si="265"/>
        <v>242Impuesto al consumo de vinos, aperitivos y similares - Componente Específico de Producción Extranjer0</v>
      </c>
      <c r="K485" s="7" t="str">
        <f t="shared" si="266"/>
        <v>242Impuesto al consumo de vinos, aperitivos y similares - Componente Específico de Producción Extranjer0</v>
      </c>
      <c r="L485" s="7" t="str">
        <f t="shared" si="267"/>
        <v>242Impuesto al consumo de vinos, aperitivos y similares - Componente Específico de Producción Extranjer268279884,3</v>
      </c>
      <c r="M485" t="s">
        <v>1906</v>
      </c>
      <c r="N485" s="136">
        <v>0.05</v>
      </c>
      <c r="O485" s="136"/>
      <c r="P485" s="20">
        <f t="shared" si="237"/>
        <v>281693878.51499999</v>
      </c>
      <c r="Q485" s="136">
        <f t="shared" si="249"/>
        <v>0.05</v>
      </c>
      <c r="R485" s="136">
        <f t="shared" si="250"/>
        <v>0.05</v>
      </c>
      <c r="S485" s="20">
        <f t="shared" si="238"/>
        <v>295778572.44075</v>
      </c>
      <c r="U485" s="136">
        <f t="shared" si="263"/>
        <v>0.05</v>
      </c>
      <c r="V485" s="20">
        <f t="shared" si="239"/>
        <v>310567501.06278753</v>
      </c>
    </row>
    <row r="486" spans="1:22" x14ac:dyDescent="0.3">
      <c r="A486" s="5">
        <v>242</v>
      </c>
      <c r="B486" s="8" t="s">
        <v>1530</v>
      </c>
      <c r="C486" s="11">
        <f>+SUMIFS('2021'!Z:Z,'2021'!D:D,CRUCE!A486,'2021'!AT:AT,CRUCE!B486)</f>
        <v>0</v>
      </c>
      <c r="D486" s="11">
        <f>+SUMIFS('2022'!Y:Y,'2022'!D:D,CRUCE!A486,'2022'!AS:AS,CRUCE!B486)</f>
        <v>0</v>
      </c>
      <c r="E486" s="136" t="e">
        <f t="shared" si="235"/>
        <v>#DIV/0!</v>
      </c>
      <c r="F486" s="11">
        <f>+SUMIFS('2023'!Y:Y,'2023'!D:D,CRUCE!A486,'2023'!AS:AS,CRUCE!B486)</f>
        <v>0</v>
      </c>
      <c r="G486" s="136" t="e">
        <f t="shared" si="236"/>
        <v>#DIV/0!</v>
      </c>
      <c r="H486" s="11">
        <f>+SUMIFS('2024'!J:J,'2024'!D:D,CRUCE!A486,'2024'!AT:AT,CRUCE!B486)</f>
        <v>87462260.700000003</v>
      </c>
      <c r="I486" s="7" t="str">
        <f t="shared" si="264"/>
        <v>242Impuesto al consumo de vinos, aperitivos y similares - Componente Específico de Producción Nacional0</v>
      </c>
      <c r="J486" s="7" t="str">
        <f t="shared" si="265"/>
        <v>242Impuesto al consumo de vinos, aperitivos y similares - Componente Específico de Producción Nacional0</v>
      </c>
      <c r="K486" s="7" t="str">
        <f t="shared" si="266"/>
        <v>242Impuesto al consumo de vinos, aperitivos y similares - Componente Específico de Producción Nacional0</v>
      </c>
      <c r="L486" s="7" t="str">
        <f t="shared" si="267"/>
        <v>242Impuesto al consumo de vinos, aperitivos y similares - Componente Específico de Producción Nacional87462260,7</v>
      </c>
      <c r="M486" t="s">
        <v>1906</v>
      </c>
      <c r="N486" s="136">
        <v>0.05</v>
      </c>
      <c r="O486" s="136"/>
      <c r="P486" s="20">
        <f t="shared" si="237"/>
        <v>91835373.734999999</v>
      </c>
      <c r="Q486" s="136">
        <f t="shared" si="249"/>
        <v>0.05</v>
      </c>
      <c r="R486" s="136">
        <f t="shared" si="250"/>
        <v>0.05</v>
      </c>
      <c r="S486" s="20">
        <f t="shared" si="238"/>
        <v>96427142.421749994</v>
      </c>
      <c r="U486" s="136">
        <f t="shared" si="263"/>
        <v>0.05</v>
      </c>
      <c r="V486" s="20">
        <f t="shared" si="239"/>
        <v>101248499.5428375</v>
      </c>
    </row>
    <row r="487" spans="1:22" x14ac:dyDescent="0.3">
      <c r="A487" s="5">
        <v>243</v>
      </c>
      <c r="B487" s="8" t="s">
        <v>104</v>
      </c>
      <c r="C487" s="11">
        <f>+SUMIFS('2021'!Z:Z,'2021'!D:D,CRUCE!A487,'2021'!AT:AT,CRUCE!B487)</f>
        <v>0</v>
      </c>
      <c r="D487" s="11">
        <f>+SUMIFS('2022'!Y:Y,'2022'!D:D,CRUCE!A487,'2022'!AS:AS,CRUCE!B487)</f>
        <v>0</v>
      </c>
      <c r="E487" s="136" t="e">
        <f t="shared" si="235"/>
        <v>#DIV/0!</v>
      </c>
      <c r="F487" s="11">
        <f>+SUMIFS('2023'!Y:Y,'2023'!D:D,CRUCE!A487,'2023'!AS:AS,CRUCE!B487)</f>
        <v>0</v>
      </c>
      <c r="G487" s="136" t="e">
        <f t="shared" si="236"/>
        <v>#DIV/0!</v>
      </c>
      <c r="H487" s="11">
        <f>+SUMIFS('2024'!J:J,'2024'!D:D,CRUCE!A487,'2024'!AT:AT,CRUCE!B487)</f>
        <v>40152144.450000003</v>
      </c>
      <c r="I487" s="7" t="str">
        <f t="shared" si="264"/>
        <v>243Impuesto al consumo de cervezas, sifones, refajos y mezclas - Extranjeras0</v>
      </c>
      <c r="J487" s="7" t="str">
        <f t="shared" si="265"/>
        <v>243Impuesto al consumo de cervezas, sifones, refajos y mezclas - Extranjeras0</v>
      </c>
      <c r="K487" s="7" t="str">
        <f t="shared" si="266"/>
        <v>243Impuesto al consumo de cervezas, sifones, refajos y mezclas - Extranjeras0</v>
      </c>
      <c r="L487" s="7" t="str">
        <f t="shared" si="267"/>
        <v>243Impuesto al consumo de cervezas, sifones, refajos y mezclas - Extranjeras40152144,45</v>
      </c>
      <c r="M487" t="s">
        <v>1906</v>
      </c>
      <c r="N487" s="136">
        <v>0.05</v>
      </c>
      <c r="O487" s="136"/>
      <c r="P487" s="20">
        <f t="shared" si="237"/>
        <v>42159751.672499999</v>
      </c>
      <c r="Q487" s="136">
        <f t="shared" si="249"/>
        <v>0.05</v>
      </c>
      <c r="R487" s="136">
        <f t="shared" si="250"/>
        <v>0.05</v>
      </c>
      <c r="S487" s="20">
        <f t="shared" si="238"/>
        <v>44267739.256125003</v>
      </c>
      <c r="U487" s="136">
        <f t="shared" si="263"/>
        <v>0.05</v>
      </c>
      <c r="V487" s="20">
        <f t="shared" si="239"/>
        <v>46481126.21893125</v>
      </c>
    </row>
    <row r="488" spans="1:22" x14ac:dyDescent="0.3">
      <c r="A488" s="5">
        <v>243</v>
      </c>
      <c r="B488" s="8" t="s">
        <v>102</v>
      </c>
      <c r="C488" s="11">
        <f>+SUMIFS('2021'!Z:Z,'2021'!D:D,CRUCE!A488,'2021'!AT:AT,CRUCE!B488)</f>
        <v>0</v>
      </c>
      <c r="D488" s="11">
        <f>+SUMIFS('2022'!Y:Y,'2022'!D:D,CRUCE!A488,'2022'!AS:AS,CRUCE!B488)</f>
        <v>0</v>
      </c>
      <c r="E488" s="136" t="e">
        <f t="shared" si="235"/>
        <v>#DIV/0!</v>
      </c>
      <c r="F488" s="11">
        <f>+SUMIFS('2023'!Y:Y,'2023'!D:D,CRUCE!A488,'2023'!AS:AS,CRUCE!B488)</f>
        <v>0</v>
      </c>
      <c r="G488" s="136" t="e">
        <f t="shared" si="236"/>
        <v>#DIV/0!</v>
      </c>
      <c r="H488" s="11">
        <f>+SUMIFS('2024'!J:J,'2024'!D:D,CRUCE!A488,'2024'!AT:AT,CRUCE!B488)</f>
        <v>2107021355.5599999</v>
      </c>
      <c r="I488" s="7" t="str">
        <f t="shared" si="264"/>
        <v>243Impuesto al consumo de cervezas, sifones, refajos y mezclas - Nacionales0</v>
      </c>
      <c r="J488" s="7" t="str">
        <f t="shared" si="265"/>
        <v>243Impuesto al consumo de cervezas, sifones, refajos y mezclas - Nacionales0</v>
      </c>
      <c r="K488" s="7" t="str">
        <f t="shared" si="266"/>
        <v>243Impuesto al consumo de cervezas, sifones, refajos y mezclas - Nacionales0</v>
      </c>
      <c r="L488" s="7" t="str">
        <f t="shared" si="267"/>
        <v>243Impuesto al consumo de cervezas, sifones, refajos y mezclas - Nacionales2107021355,56</v>
      </c>
      <c r="M488" t="s">
        <v>1906</v>
      </c>
      <c r="N488" s="136">
        <v>0.05</v>
      </c>
      <c r="O488" s="136"/>
      <c r="P488" s="20">
        <f t="shared" si="237"/>
        <v>2212372423.3379998</v>
      </c>
      <c r="Q488" s="136">
        <f t="shared" si="249"/>
        <v>0.05</v>
      </c>
      <c r="R488" s="136">
        <f t="shared" si="250"/>
        <v>0.05</v>
      </c>
      <c r="S488" s="20">
        <f t="shared" si="238"/>
        <v>2322991044.5049</v>
      </c>
      <c r="U488" s="136">
        <f t="shared" si="263"/>
        <v>0.05</v>
      </c>
      <c r="V488" s="20">
        <f t="shared" si="239"/>
        <v>2439140596.730145</v>
      </c>
    </row>
    <row r="489" spans="1:22" x14ac:dyDescent="0.3">
      <c r="A489" s="5">
        <v>244</v>
      </c>
      <c r="B489" s="8" t="s">
        <v>104</v>
      </c>
      <c r="C489" s="11">
        <f>+SUMIFS('2021'!Z:Z,'2021'!D:D,CRUCE!A489,'2021'!AT:AT,CRUCE!B489)</f>
        <v>0</v>
      </c>
      <c r="D489" s="11">
        <f>+SUMIFS('2022'!Y:Y,'2022'!D:D,CRUCE!A489,'2022'!AS:AS,CRUCE!B489)</f>
        <v>0</v>
      </c>
      <c r="E489" s="136" t="e">
        <f t="shared" si="235"/>
        <v>#DIV/0!</v>
      </c>
      <c r="F489" s="11">
        <f>+SUMIFS('2023'!Y:Y,'2023'!D:D,CRUCE!A489,'2023'!AS:AS,CRUCE!B489)</f>
        <v>0</v>
      </c>
      <c r="G489" s="136" t="e">
        <f t="shared" si="236"/>
        <v>#DIV/0!</v>
      </c>
      <c r="H489" s="11">
        <f>+SUMIFS('2024'!J:J,'2024'!D:D,CRUCE!A489,'2024'!AT:AT,CRUCE!B489)</f>
        <v>20076073</v>
      </c>
      <c r="I489" s="7" t="str">
        <f t="shared" ref="I489:I496" si="268">+$A489&amp;$B489&amp;C489</f>
        <v>244Impuesto al consumo de cervezas, sifones, refajos y mezclas - Extranjeras0</v>
      </c>
      <c r="J489" s="7" t="str">
        <f t="shared" ref="J489:J496" si="269">+$A489&amp;$B489&amp;D489</f>
        <v>244Impuesto al consumo de cervezas, sifones, refajos y mezclas - Extranjeras0</v>
      </c>
      <c r="K489" s="7" t="str">
        <f t="shared" ref="K489:K496" si="270">+$A489&amp;$B489&amp;F489</f>
        <v>244Impuesto al consumo de cervezas, sifones, refajos y mezclas - Extranjeras0</v>
      </c>
      <c r="L489" s="7" t="str">
        <f t="shared" ref="L489:L496" si="271">+$A489&amp;$B489&amp;H489</f>
        <v>244Impuesto al consumo de cervezas, sifones, refajos y mezclas - Extranjeras20076073</v>
      </c>
      <c r="M489" t="s">
        <v>1906</v>
      </c>
      <c r="N489" s="136">
        <v>0.05</v>
      </c>
      <c r="O489" s="136"/>
      <c r="P489" s="20">
        <f t="shared" si="237"/>
        <v>21079876.649999999</v>
      </c>
      <c r="Q489" s="136">
        <f t="shared" si="249"/>
        <v>0.05</v>
      </c>
      <c r="R489" s="136">
        <f t="shared" si="250"/>
        <v>0.05</v>
      </c>
      <c r="S489" s="20">
        <f t="shared" si="238"/>
        <v>22133870.482499998</v>
      </c>
      <c r="U489" s="136">
        <f t="shared" si="263"/>
        <v>0.05</v>
      </c>
      <c r="V489" s="20">
        <f t="shared" si="239"/>
        <v>23240564.006624997</v>
      </c>
    </row>
    <row r="490" spans="1:22" x14ac:dyDescent="0.3">
      <c r="A490" s="5">
        <v>244</v>
      </c>
      <c r="B490" s="8" t="s">
        <v>102</v>
      </c>
      <c r="C490" s="11">
        <f>+SUMIFS('2021'!Z:Z,'2021'!D:D,CRUCE!A490,'2021'!AT:AT,CRUCE!B490)</f>
        <v>0</v>
      </c>
      <c r="D490" s="11">
        <f>+SUMIFS('2022'!Y:Y,'2022'!D:D,CRUCE!A490,'2022'!AS:AS,CRUCE!B490)</f>
        <v>0</v>
      </c>
      <c r="E490" s="136" t="e">
        <f t="shared" si="235"/>
        <v>#DIV/0!</v>
      </c>
      <c r="F490" s="11">
        <f>+SUMIFS('2023'!Y:Y,'2023'!D:D,CRUCE!A490,'2023'!AS:AS,CRUCE!B490)</f>
        <v>0</v>
      </c>
      <c r="G490" s="136" t="e">
        <f t="shared" si="236"/>
        <v>#DIV/0!</v>
      </c>
      <c r="H490" s="11">
        <f>+SUMIFS('2024'!J:J,'2024'!D:D,CRUCE!A490,'2024'!AT:AT,CRUCE!B490)</f>
        <v>1053510677</v>
      </c>
      <c r="I490" s="7" t="str">
        <f t="shared" si="268"/>
        <v>244Impuesto al consumo de cervezas, sifones, refajos y mezclas - Nacionales0</v>
      </c>
      <c r="J490" s="7" t="str">
        <f t="shared" si="269"/>
        <v>244Impuesto al consumo de cervezas, sifones, refajos y mezclas - Nacionales0</v>
      </c>
      <c r="K490" s="7" t="str">
        <f t="shared" si="270"/>
        <v>244Impuesto al consumo de cervezas, sifones, refajos y mezclas - Nacionales0</v>
      </c>
      <c r="L490" s="7" t="str">
        <f t="shared" si="271"/>
        <v>244Impuesto al consumo de cervezas, sifones, refajos y mezclas - Nacionales1053510677</v>
      </c>
      <c r="M490" t="s">
        <v>1906</v>
      </c>
      <c r="N490" s="136">
        <v>0.05</v>
      </c>
      <c r="O490" s="136"/>
      <c r="P490" s="20">
        <f t="shared" si="237"/>
        <v>1106186210.8499999</v>
      </c>
      <c r="Q490" s="136">
        <f t="shared" si="249"/>
        <v>0.05</v>
      </c>
      <c r="R490" s="136">
        <f t="shared" si="250"/>
        <v>0.05</v>
      </c>
      <c r="S490" s="20">
        <f t="shared" si="238"/>
        <v>1161495521.3924999</v>
      </c>
      <c r="U490" s="136">
        <f t="shared" si="263"/>
        <v>0.05</v>
      </c>
      <c r="V490" s="20">
        <f t="shared" si="239"/>
        <v>1219570297.4621248</v>
      </c>
    </row>
    <row r="491" spans="1:22" x14ac:dyDescent="0.3">
      <c r="A491" s="5">
        <v>245</v>
      </c>
      <c r="B491" s="8" t="s">
        <v>104</v>
      </c>
      <c r="C491" s="11">
        <f>+SUMIFS('2021'!Z:Z,'2021'!D:D,CRUCE!A491,'2021'!AT:AT,CRUCE!B491)</f>
        <v>0</v>
      </c>
      <c r="D491" s="11">
        <f>+SUMIFS('2022'!Y:Y,'2022'!D:D,CRUCE!A491,'2022'!AS:AS,CRUCE!B491)</f>
        <v>0</v>
      </c>
      <c r="E491" s="136" t="e">
        <f t="shared" si="235"/>
        <v>#DIV/0!</v>
      </c>
      <c r="F491" s="11">
        <f>+SUMIFS('2023'!Y:Y,'2023'!D:D,CRUCE!A491,'2023'!AS:AS,CRUCE!B491)</f>
        <v>0</v>
      </c>
      <c r="G491" s="136" t="e">
        <f t="shared" si="236"/>
        <v>#DIV/0!</v>
      </c>
      <c r="H491" s="11">
        <f>+SUMIFS('2024'!J:J,'2024'!D:D,CRUCE!A491,'2024'!AT:AT,CRUCE!B491)</f>
        <v>20076072.219999999</v>
      </c>
      <c r="I491" s="7" t="str">
        <f t="shared" si="268"/>
        <v>245Impuesto al consumo de cervezas, sifones, refajos y mezclas - Extranjeras0</v>
      </c>
      <c r="J491" s="7" t="str">
        <f t="shared" si="269"/>
        <v>245Impuesto al consumo de cervezas, sifones, refajos y mezclas - Extranjeras0</v>
      </c>
      <c r="K491" s="7" t="str">
        <f t="shared" si="270"/>
        <v>245Impuesto al consumo de cervezas, sifones, refajos y mezclas - Extranjeras0</v>
      </c>
      <c r="L491" s="7" t="str">
        <f t="shared" si="271"/>
        <v>245Impuesto al consumo de cervezas, sifones, refajos y mezclas - Extranjeras20076072,22</v>
      </c>
      <c r="M491" t="s">
        <v>1906</v>
      </c>
      <c r="N491" s="136">
        <v>0.05</v>
      </c>
      <c r="O491" s="136"/>
      <c r="P491" s="20">
        <f t="shared" si="237"/>
        <v>21079875.831</v>
      </c>
      <c r="Q491" s="136">
        <f t="shared" si="249"/>
        <v>0.05</v>
      </c>
      <c r="R491" s="136">
        <f t="shared" si="250"/>
        <v>0.05</v>
      </c>
      <c r="S491" s="20">
        <f t="shared" si="238"/>
        <v>22133869.62255</v>
      </c>
      <c r="U491" s="136">
        <f t="shared" si="263"/>
        <v>0.05</v>
      </c>
      <c r="V491" s="20">
        <f t="shared" si="239"/>
        <v>23240563.1036775</v>
      </c>
    </row>
    <row r="492" spans="1:22" x14ac:dyDescent="0.3">
      <c r="A492" s="5">
        <v>245</v>
      </c>
      <c r="B492" s="8" t="s">
        <v>102</v>
      </c>
      <c r="C492" s="11">
        <f>+SUMIFS('2021'!Z:Z,'2021'!D:D,CRUCE!A492,'2021'!AT:AT,CRUCE!B492)</f>
        <v>0</v>
      </c>
      <c r="D492" s="11">
        <f>+SUMIFS('2022'!Y:Y,'2022'!D:D,CRUCE!A492,'2022'!AS:AS,CRUCE!B492)</f>
        <v>0</v>
      </c>
      <c r="E492" s="136" t="e">
        <f t="shared" si="235"/>
        <v>#DIV/0!</v>
      </c>
      <c r="F492" s="11">
        <f>+SUMIFS('2023'!Y:Y,'2023'!D:D,CRUCE!A492,'2023'!AS:AS,CRUCE!B492)</f>
        <v>0</v>
      </c>
      <c r="G492" s="136" t="e">
        <f t="shared" si="236"/>
        <v>#DIV/0!</v>
      </c>
      <c r="H492" s="11">
        <f>+SUMIFS('2024'!J:J,'2024'!D:D,CRUCE!A492,'2024'!AT:AT,CRUCE!B492)</f>
        <v>1053510677.78</v>
      </c>
      <c r="I492" s="7" t="str">
        <f t="shared" si="268"/>
        <v>245Impuesto al consumo de cervezas, sifones, refajos y mezclas - Nacionales0</v>
      </c>
      <c r="J492" s="7" t="str">
        <f t="shared" si="269"/>
        <v>245Impuesto al consumo de cervezas, sifones, refajos y mezclas - Nacionales0</v>
      </c>
      <c r="K492" s="7" t="str">
        <f t="shared" si="270"/>
        <v>245Impuesto al consumo de cervezas, sifones, refajos y mezclas - Nacionales0</v>
      </c>
      <c r="L492" s="7" t="str">
        <f t="shared" si="271"/>
        <v>245Impuesto al consumo de cervezas, sifones, refajos y mezclas - Nacionales1053510677,78</v>
      </c>
      <c r="M492" t="s">
        <v>1906</v>
      </c>
      <c r="N492" s="136">
        <v>0.05</v>
      </c>
      <c r="O492" s="136"/>
      <c r="P492" s="20">
        <f t="shared" si="237"/>
        <v>1106186211.6689999</v>
      </c>
      <c r="Q492" s="136">
        <f t="shared" si="249"/>
        <v>0.05</v>
      </c>
      <c r="R492" s="136">
        <f t="shared" si="250"/>
        <v>0.05</v>
      </c>
      <c r="S492" s="20">
        <f t="shared" si="238"/>
        <v>1161495522.25245</v>
      </c>
      <c r="U492" s="136">
        <f t="shared" si="263"/>
        <v>0.05</v>
      </c>
      <c r="V492" s="20">
        <f t="shared" si="239"/>
        <v>1219570298.3650725</v>
      </c>
    </row>
    <row r="493" spans="1:22" x14ac:dyDescent="0.3">
      <c r="A493" s="5">
        <v>246</v>
      </c>
      <c r="B493" s="8" t="s">
        <v>650</v>
      </c>
      <c r="C493" s="11">
        <f>+SUMIFS('2021'!Z:Z,'2021'!D:D,CRUCE!A493,'2021'!AT:AT,CRUCE!B493)</f>
        <v>0</v>
      </c>
      <c r="D493" s="11">
        <f>+SUMIFS('2022'!Y:Y,'2022'!D:D,CRUCE!A493,'2022'!AS:AS,CRUCE!B493)</f>
        <v>0</v>
      </c>
      <c r="E493" s="136" t="e">
        <f t="shared" si="235"/>
        <v>#DIV/0!</v>
      </c>
      <c r="F493" s="11">
        <f>+SUMIFS('2023'!Y:Y,'2023'!D:D,CRUCE!A493,'2023'!AS:AS,CRUCE!B493)</f>
        <v>0</v>
      </c>
      <c r="G493" s="136" t="e">
        <f t="shared" si="236"/>
        <v>#DIV/0!</v>
      </c>
      <c r="H493" s="11">
        <f>+SUMIFS('2024'!J:J,'2024'!D:D,CRUCE!A493,'2024'!AT:AT,CRUCE!B493)</f>
        <v>142442714.27000001</v>
      </c>
      <c r="I493" s="7" t="str">
        <f t="shared" si="268"/>
        <v>246Impuesto a Ganadores Sorteo Extraordinario  68%0</v>
      </c>
      <c r="J493" s="7" t="str">
        <f t="shared" si="269"/>
        <v>246Impuesto a Ganadores Sorteo Extraordinario  68%0</v>
      </c>
      <c r="K493" s="7" t="str">
        <f t="shared" si="270"/>
        <v>246Impuesto a Ganadores Sorteo Extraordinario  68%0</v>
      </c>
      <c r="L493" s="7" t="str">
        <f t="shared" si="271"/>
        <v>246Impuesto a Ganadores Sorteo Extraordinario  68%142442714,27</v>
      </c>
      <c r="M493" t="s">
        <v>1906</v>
      </c>
      <c r="N493" s="136">
        <v>0.05</v>
      </c>
      <c r="O493" s="136"/>
      <c r="P493" s="20">
        <f t="shared" si="237"/>
        <v>149564849.9835</v>
      </c>
      <c r="Q493" s="136">
        <f t="shared" si="249"/>
        <v>0.05</v>
      </c>
      <c r="R493" s="136">
        <f t="shared" si="250"/>
        <v>0.05</v>
      </c>
      <c r="S493" s="20">
        <f t="shared" si="238"/>
        <v>157043092.48267502</v>
      </c>
      <c r="U493" s="136">
        <f t="shared" si="263"/>
        <v>0.05</v>
      </c>
      <c r="V493" s="20">
        <f t="shared" si="239"/>
        <v>164895247.10680878</v>
      </c>
    </row>
    <row r="494" spans="1:22" x14ac:dyDescent="0.3">
      <c r="A494" s="5">
        <v>246</v>
      </c>
      <c r="B494" s="8" t="s">
        <v>653</v>
      </c>
      <c r="C494" s="11">
        <f>+SUMIFS('2021'!Z:Z,'2021'!D:D,CRUCE!A494,'2021'!AT:AT,CRUCE!B494)</f>
        <v>0</v>
      </c>
      <c r="D494" s="11">
        <f>+SUMIFS('2022'!Y:Y,'2022'!D:D,CRUCE!A494,'2022'!AS:AS,CRUCE!B494)</f>
        <v>0</v>
      </c>
      <c r="E494" s="136" t="e">
        <f t="shared" si="235"/>
        <v>#DIV/0!</v>
      </c>
      <c r="F494" s="11">
        <f>+SUMIFS('2023'!Y:Y,'2023'!D:D,CRUCE!A494,'2023'!AS:AS,CRUCE!B494)</f>
        <v>0</v>
      </c>
      <c r="G494" s="136" t="e">
        <f t="shared" si="236"/>
        <v>#DIV/0!</v>
      </c>
      <c r="H494" s="11">
        <f>+SUMIFS('2024'!J:J,'2024'!D:D,CRUCE!A494,'2024'!AT:AT,CRUCE!B494)</f>
        <v>875005245.73000002</v>
      </c>
      <c r="I494" s="7" t="str">
        <f t="shared" si="268"/>
        <v>246Impuestos a Ganadores Sorteo Ordinario 68%0</v>
      </c>
      <c r="J494" s="7" t="str">
        <f t="shared" si="269"/>
        <v>246Impuestos a Ganadores Sorteo Ordinario 68%0</v>
      </c>
      <c r="K494" s="7" t="str">
        <f t="shared" si="270"/>
        <v>246Impuestos a Ganadores Sorteo Ordinario 68%0</v>
      </c>
      <c r="L494" s="7" t="str">
        <f t="shared" si="271"/>
        <v>246Impuestos a Ganadores Sorteo Ordinario 68%875005245,73</v>
      </c>
      <c r="M494" t="s">
        <v>1906</v>
      </c>
      <c r="N494" s="136">
        <v>0.05</v>
      </c>
      <c r="O494" s="136"/>
      <c r="P494" s="20">
        <f t="shared" si="237"/>
        <v>918755508.0165</v>
      </c>
      <c r="Q494" s="136">
        <f t="shared" si="249"/>
        <v>0.05</v>
      </c>
      <c r="R494" s="136">
        <f t="shared" si="250"/>
        <v>0.05</v>
      </c>
      <c r="S494" s="20">
        <f t="shared" si="238"/>
        <v>964693283.41732502</v>
      </c>
      <c r="U494" s="136">
        <f t="shared" si="263"/>
        <v>0.05</v>
      </c>
      <c r="V494" s="20">
        <f t="shared" si="239"/>
        <v>1012927947.5881913</v>
      </c>
    </row>
    <row r="495" spans="1:22" x14ac:dyDescent="0.3">
      <c r="A495" s="5">
        <v>247</v>
      </c>
      <c r="B495" s="8" t="s">
        <v>655</v>
      </c>
      <c r="C495" s="11">
        <f>+SUMIFS('2021'!Z:Z,'2021'!D:D,CRUCE!A495,'2021'!AT:AT,CRUCE!B495)</f>
        <v>0</v>
      </c>
      <c r="D495" s="11">
        <f>+SUMIFS('2022'!Y:Y,'2022'!D:D,CRUCE!A495,'2022'!AS:AS,CRUCE!B495)</f>
        <v>0</v>
      </c>
      <c r="E495" s="136" t="e">
        <f t="shared" si="235"/>
        <v>#DIV/0!</v>
      </c>
      <c r="F495" s="11">
        <f>+SUMIFS('2023'!Y:Y,'2023'!D:D,CRUCE!A495,'2023'!AS:AS,CRUCE!B495)</f>
        <v>0</v>
      </c>
      <c r="G495" s="136" t="e">
        <f t="shared" si="236"/>
        <v>#DIV/0!</v>
      </c>
      <c r="H495" s="11">
        <f>+SUMIFS('2024'!J:J,'2024'!D:D,CRUCE!A495,'2024'!AT:AT,CRUCE!B495)</f>
        <v>52368644.969999999</v>
      </c>
      <c r="I495" s="7" t="str">
        <f t="shared" si="268"/>
        <v>247Impuesto a Ganadores Sorteo Extraordinario 25%0</v>
      </c>
      <c r="J495" s="7" t="str">
        <f t="shared" si="269"/>
        <v>247Impuesto a Ganadores Sorteo Extraordinario 25%0</v>
      </c>
      <c r="K495" s="7" t="str">
        <f t="shared" si="270"/>
        <v>247Impuesto a Ganadores Sorteo Extraordinario 25%0</v>
      </c>
      <c r="L495" s="7" t="str">
        <f t="shared" si="271"/>
        <v>247Impuesto a Ganadores Sorteo Extraordinario 25%52368644,97</v>
      </c>
      <c r="M495" t="s">
        <v>1906</v>
      </c>
      <c r="N495" s="136">
        <v>0.05</v>
      </c>
      <c r="O495" s="136"/>
      <c r="P495" s="20">
        <f t="shared" si="237"/>
        <v>54987077.218499996</v>
      </c>
      <c r="Q495" s="136">
        <f t="shared" si="249"/>
        <v>0.05</v>
      </c>
      <c r="R495" s="136">
        <f t="shared" si="250"/>
        <v>0.05</v>
      </c>
      <c r="S495" s="20">
        <f t="shared" si="238"/>
        <v>57736431.079424992</v>
      </c>
      <c r="U495" s="136">
        <f t="shared" si="263"/>
        <v>0.05</v>
      </c>
      <c r="V495" s="20">
        <f t="shared" si="239"/>
        <v>60623252.633396238</v>
      </c>
    </row>
    <row r="496" spans="1:22" x14ac:dyDescent="0.3">
      <c r="A496" s="5">
        <v>247</v>
      </c>
      <c r="B496" s="8" t="s">
        <v>658</v>
      </c>
      <c r="C496" s="11">
        <f>+SUMIFS('2021'!Z:Z,'2021'!D:D,CRUCE!A496,'2021'!AT:AT,CRUCE!B496)</f>
        <v>0</v>
      </c>
      <c r="D496" s="11">
        <f>+SUMIFS('2022'!Y:Y,'2022'!D:D,CRUCE!A496,'2022'!AS:AS,CRUCE!B496)</f>
        <v>0</v>
      </c>
      <c r="E496" s="136" t="e">
        <f t="shared" si="235"/>
        <v>#DIV/0!</v>
      </c>
      <c r="F496" s="11">
        <f>+SUMIFS('2023'!Y:Y,'2023'!D:D,CRUCE!A496,'2023'!AS:AS,CRUCE!B496)</f>
        <v>0</v>
      </c>
      <c r="G496" s="136" t="e">
        <f t="shared" si="236"/>
        <v>#DIV/0!</v>
      </c>
      <c r="H496" s="11">
        <f>+SUMIFS('2024'!J:J,'2024'!D:D,CRUCE!A496,'2024'!AT:AT,CRUCE!B496)</f>
        <v>321693105.02999997</v>
      </c>
      <c r="I496" s="7" t="str">
        <f t="shared" si="268"/>
        <v>247Impuesto a Ganadores Sorteo Ordinario 25%0</v>
      </c>
      <c r="J496" s="7" t="str">
        <f t="shared" si="269"/>
        <v>247Impuesto a Ganadores Sorteo Ordinario 25%0</v>
      </c>
      <c r="K496" s="7" t="str">
        <f t="shared" si="270"/>
        <v>247Impuesto a Ganadores Sorteo Ordinario 25%0</v>
      </c>
      <c r="L496" s="7" t="str">
        <f t="shared" si="271"/>
        <v>247Impuesto a Ganadores Sorteo Ordinario 25%321693105,03</v>
      </c>
      <c r="M496" t="s">
        <v>1906</v>
      </c>
      <c r="N496" s="136">
        <v>0.05</v>
      </c>
      <c r="O496" s="136"/>
      <c r="P496" s="20">
        <f t="shared" si="237"/>
        <v>337777760.28149998</v>
      </c>
      <c r="Q496" s="136">
        <f t="shared" si="249"/>
        <v>0.05</v>
      </c>
      <c r="R496" s="136">
        <f t="shared" si="250"/>
        <v>0.05</v>
      </c>
      <c r="S496" s="20">
        <f t="shared" si="238"/>
        <v>354666648.29557496</v>
      </c>
      <c r="U496" s="136">
        <f t="shared" si="263"/>
        <v>0.05</v>
      </c>
      <c r="V496" s="20">
        <f t="shared" si="239"/>
        <v>372399980.71035373</v>
      </c>
    </row>
    <row r="497" spans="1:22" x14ac:dyDescent="0.3">
      <c r="A497" s="5">
        <v>248</v>
      </c>
      <c r="B497" s="8" t="s">
        <v>660</v>
      </c>
      <c r="C497" s="11">
        <f>+SUMIFS('2021'!Z:Z,'2021'!D:D,CRUCE!A497,'2021'!AT:AT,CRUCE!B497)</f>
        <v>0</v>
      </c>
      <c r="D497" s="11">
        <f>+SUMIFS('2022'!Y:Y,'2022'!D:D,CRUCE!A497,'2022'!AS:AS,CRUCE!B497)</f>
        <v>0</v>
      </c>
      <c r="E497" s="136" t="e">
        <f t="shared" si="235"/>
        <v>#DIV/0!</v>
      </c>
      <c r="F497" s="11">
        <f>+SUMIFS('2023'!Y:Y,'2023'!D:D,CRUCE!A497,'2023'!AS:AS,CRUCE!B497)</f>
        <v>0</v>
      </c>
      <c r="G497" s="136" t="e">
        <f t="shared" si="236"/>
        <v>#DIV/0!</v>
      </c>
      <c r="H497" s="11">
        <f>+SUMIFS('2024'!J:J,'2024'!D:D,CRUCE!A497,'2024'!AT:AT,CRUCE!B497)</f>
        <v>14663221.18</v>
      </c>
      <c r="I497" s="7" t="str">
        <f t="shared" ref="I497:I501" si="272">+$A497&amp;$B497&amp;C497</f>
        <v>248Colciencias 7% Impuesto a Ganadores Sorteo Extraordinario0</v>
      </c>
      <c r="J497" s="7" t="str">
        <f t="shared" ref="J497:J501" si="273">+$A497&amp;$B497&amp;D497</f>
        <v>248Colciencias 7% Impuesto a Ganadores Sorteo Extraordinario0</v>
      </c>
      <c r="K497" s="7" t="str">
        <f t="shared" ref="K497:K501" si="274">+$A497&amp;$B497&amp;F497</f>
        <v>248Colciencias 7% Impuesto a Ganadores Sorteo Extraordinario0</v>
      </c>
      <c r="L497" s="7" t="str">
        <f t="shared" ref="L497:L501" si="275">+$A497&amp;$B497&amp;H497</f>
        <v>248Colciencias 7% Impuesto a Ganadores Sorteo Extraordinario14663221,18</v>
      </c>
      <c r="M497" t="s">
        <v>1906</v>
      </c>
      <c r="N497" s="136">
        <v>0.05</v>
      </c>
      <c r="O497" s="136"/>
      <c r="P497" s="20">
        <f t="shared" si="237"/>
        <v>15396382.239</v>
      </c>
      <c r="Q497" s="136">
        <f t="shared" si="249"/>
        <v>0.05</v>
      </c>
      <c r="R497" s="136">
        <f t="shared" si="250"/>
        <v>0.05</v>
      </c>
      <c r="S497" s="20">
        <f t="shared" si="238"/>
        <v>16166201.350950001</v>
      </c>
      <c r="U497" s="136">
        <f t="shared" si="263"/>
        <v>0.05</v>
      </c>
      <c r="V497" s="20">
        <f t="shared" si="239"/>
        <v>16974511.418497503</v>
      </c>
    </row>
    <row r="498" spans="1:22" x14ac:dyDescent="0.3">
      <c r="A498" s="5">
        <v>248</v>
      </c>
      <c r="B498" s="8" t="s">
        <v>663</v>
      </c>
      <c r="C498" s="11">
        <f>+SUMIFS('2021'!Z:Z,'2021'!D:D,CRUCE!A498,'2021'!AT:AT,CRUCE!B498)</f>
        <v>0</v>
      </c>
      <c r="D498" s="11">
        <f>+SUMIFS('2022'!Y:Y,'2022'!D:D,CRUCE!A498,'2022'!AS:AS,CRUCE!B498)</f>
        <v>0</v>
      </c>
      <c r="E498" s="136" t="e">
        <f t="shared" si="235"/>
        <v>#DIV/0!</v>
      </c>
      <c r="F498" s="11">
        <f>+SUMIFS('2023'!Y:Y,'2023'!D:D,CRUCE!A498,'2023'!AS:AS,CRUCE!B498)</f>
        <v>0</v>
      </c>
      <c r="G498" s="136" t="e">
        <f t="shared" si="236"/>
        <v>#DIV/0!</v>
      </c>
      <c r="H498" s="11">
        <f>+SUMIFS('2024'!J:J,'2024'!D:D,CRUCE!A498,'2024'!AT:AT,CRUCE!B498)</f>
        <v>90074068.819999993</v>
      </c>
      <c r="I498" s="7" t="str">
        <f t="shared" si="272"/>
        <v>248Colciencias 7% Impuesto a Ganadores Sorteo ordinario0</v>
      </c>
      <c r="J498" s="7" t="str">
        <f t="shared" si="273"/>
        <v>248Colciencias 7% Impuesto a Ganadores Sorteo ordinario0</v>
      </c>
      <c r="K498" s="7" t="str">
        <f t="shared" si="274"/>
        <v>248Colciencias 7% Impuesto a Ganadores Sorteo ordinario0</v>
      </c>
      <c r="L498" s="7" t="str">
        <f t="shared" si="275"/>
        <v>248Colciencias 7% Impuesto a Ganadores Sorteo ordinario90074068,82</v>
      </c>
      <c r="M498" t="s">
        <v>1906</v>
      </c>
      <c r="N498" s="136">
        <v>0.05</v>
      </c>
      <c r="O498" s="136"/>
      <c r="P498" s="20">
        <f t="shared" si="237"/>
        <v>94577772.260999992</v>
      </c>
      <c r="Q498" s="136">
        <f t="shared" si="249"/>
        <v>0.05</v>
      </c>
      <c r="R498" s="136">
        <f t="shared" si="250"/>
        <v>0.05</v>
      </c>
      <c r="S498" s="20">
        <f t="shared" si="238"/>
        <v>99306660.874049991</v>
      </c>
      <c r="U498" s="136">
        <f t="shared" si="263"/>
        <v>0.05</v>
      </c>
      <c r="V498" s="20">
        <f t="shared" si="239"/>
        <v>104271993.91775249</v>
      </c>
    </row>
    <row r="499" spans="1:22" x14ac:dyDescent="0.3">
      <c r="A499" s="5">
        <v>249</v>
      </c>
      <c r="B499" s="8" t="s">
        <v>668</v>
      </c>
      <c r="C499" s="11">
        <f>+SUMIFS('2021'!Z:Z,'2021'!D:D,CRUCE!A499,'2021'!AT:AT,CRUCE!B499)</f>
        <v>0</v>
      </c>
      <c r="D499" s="11">
        <f>+SUMIFS('2022'!Y:Y,'2022'!D:D,CRUCE!A499,'2022'!AS:AS,CRUCE!B499)</f>
        <v>0</v>
      </c>
      <c r="E499" s="136" t="e">
        <f t="shared" si="235"/>
        <v>#DIV/0!</v>
      </c>
      <c r="F499" s="11">
        <f>+SUMIFS('2023'!Y:Y,'2023'!D:D,CRUCE!A499,'2023'!AS:AS,CRUCE!B499)</f>
        <v>0</v>
      </c>
      <c r="G499" s="136" t="e">
        <f t="shared" si="236"/>
        <v>#DIV/0!</v>
      </c>
      <c r="H499" s="11">
        <f>+SUMIFS('2024'!J:J,'2024'!D:D,CRUCE!A499,'2024'!AT:AT,CRUCE!B499)</f>
        <v>636281440</v>
      </c>
      <c r="I499" s="7" t="str">
        <f t="shared" si="272"/>
        <v>249Loterias foraneas 68%0</v>
      </c>
      <c r="J499" s="7" t="str">
        <f t="shared" si="273"/>
        <v>249Loterias foraneas 68%0</v>
      </c>
      <c r="K499" s="7" t="str">
        <f t="shared" si="274"/>
        <v>249Loterias foraneas 68%0</v>
      </c>
      <c r="L499" s="7" t="str">
        <f t="shared" si="275"/>
        <v>249Loterias foraneas 68%636281440</v>
      </c>
      <c r="M499" t="s">
        <v>1906</v>
      </c>
      <c r="N499" s="136">
        <v>0.05</v>
      </c>
      <c r="O499" s="136"/>
      <c r="P499" s="20">
        <f t="shared" si="237"/>
        <v>668095512</v>
      </c>
      <c r="Q499" s="136">
        <f t="shared" si="249"/>
        <v>0.05</v>
      </c>
      <c r="R499" s="136">
        <f t="shared" si="250"/>
        <v>0.05</v>
      </c>
      <c r="S499" s="20">
        <f t="shared" si="238"/>
        <v>701500287.60000002</v>
      </c>
      <c r="U499" s="136">
        <f t="shared" si="263"/>
        <v>0.05</v>
      </c>
      <c r="V499" s="20">
        <f t="shared" si="239"/>
        <v>736575301.98000002</v>
      </c>
    </row>
    <row r="500" spans="1:22" x14ac:dyDescent="0.3">
      <c r="A500" s="5">
        <v>250</v>
      </c>
      <c r="B500" s="8" t="s">
        <v>670</v>
      </c>
      <c r="C500" s="11">
        <f>+SUMIFS('2021'!Z:Z,'2021'!D:D,CRUCE!A500,'2021'!AT:AT,CRUCE!B500)</f>
        <v>0</v>
      </c>
      <c r="D500" s="11">
        <f>+SUMIFS('2022'!Y:Y,'2022'!D:D,CRUCE!A500,'2022'!AS:AS,CRUCE!B500)</f>
        <v>0</v>
      </c>
      <c r="E500" s="136" t="e">
        <f t="shared" si="235"/>
        <v>#DIV/0!</v>
      </c>
      <c r="F500" s="11">
        <f>+SUMIFS('2023'!Y:Y,'2023'!D:D,CRUCE!A500,'2023'!AS:AS,CRUCE!B500)</f>
        <v>0</v>
      </c>
      <c r="G500" s="136" t="e">
        <f t="shared" si="236"/>
        <v>#DIV/0!</v>
      </c>
      <c r="H500" s="11">
        <f>+SUMIFS('2024'!J:J,'2024'!D:D,CRUCE!A500,'2024'!AT:AT,CRUCE!B500)</f>
        <v>233927000</v>
      </c>
      <c r="I500" s="7" t="str">
        <f t="shared" si="272"/>
        <v>250Loterias Foráneas 25%0</v>
      </c>
      <c r="J500" s="7" t="str">
        <f t="shared" si="273"/>
        <v>250Loterias Foráneas 25%0</v>
      </c>
      <c r="K500" s="7" t="str">
        <f t="shared" si="274"/>
        <v>250Loterias Foráneas 25%0</v>
      </c>
      <c r="L500" s="7" t="str">
        <f t="shared" si="275"/>
        <v>250Loterias Foráneas 25%233927000</v>
      </c>
      <c r="M500" t="s">
        <v>1906</v>
      </c>
      <c r="N500" s="136">
        <v>0.05</v>
      </c>
      <c r="O500" s="136"/>
      <c r="P500" s="20">
        <f t="shared" si="237"/>
        <v>245623350</v>
      </c>
      <c r="Q500" s="136">
        <f t="shared" si="249"/>
        <v>0.05</v>
      </c>
      <c r="R500" s="136">
        <f t="shared" si="250"/>
        <v>0.05</v>
      </c>
      <c r="S500" s="20">
        <f t="shared" si="238"/>
        <v>257904517.5</v>
      </c>
      <c r="U500" s="136">
        <f t="shared" si="263"/>
        <v>0.05</v>
      </c>
      <c r="V500" s="20">
        <f t="shared" si="239"/>
        <v>270799743.375</v>
      </c>
    </row>
    <row r="501" spans="1:22" x14ac:dyDescent="0.3">
      <c r="A501" s="5">
        <v>251</v>
      </c>
      <c r="B501" s="8" t="s">
        <v>672</v>
      </c>
      <c r="C501" s="11">
        <f>+SUMIFS('2021'!Z:Z,'2021'!D:D,CRUCE!A501,'2021'!AT:AT,CRUCE!B501)</f>
        <v>0</v>
      </c>
      <c r="D501" s="11">
        <f>+SUMIFS('2022'!Y:Y,'2022'!D:D,CRUCE!A501,'2022'!AS:AS,CRUCE!B501)</f>
        <v>0</v>
      </c>
      <c r="E501" s="136" t="e">
        <f t="shared" si="235"/>
        <v>#DIV/0!</v>
      </c>
      <c r="F501" s="11">
        <f>+SUMIFS('2023'!Y:Y,'2023'!D:D,CRUCE!A501,'2023'!AS:AS,CRUCE!B501)</f>
        <v>0</v>
      </c>
      <c r="G501" s="136" t="e">
        <f t="shared" si="236"/>
        <v>#DIV/0!</v>
      </c>
      <c r="H501" s="11">
        <f>+SUMIFS('2024'!J:J,'2024'!D:D,CRUCE!A501,'2024'!AT:AT,CRUCE!B501)</f>
        <v>65499560</v>
      </c>
      <c r="I501" s="7" t="str">
        <f t="shared" si="272"/>
        <v>251Colciencias 7% Loterias Foraneas0</v>
      </c>
      <c r="J501" s="7" t="str">
        <f t="shared" si="273"/>
        <v>251Colciencias 7% Loterias Foraneas0</v>
      </c>
      <c r="K501" s="7" t="str">
        <f t="shared" si="274"/>
        <v>251Colciencias 7% Loterias Foraneas0</v>
      </c>
      <c r="L501" s="7" t="str">
        <f t="shared" si="275"/>
        <v>251Colciencias 7% Loterias Foraneas65499560</v>
      </c>
      <c r="M501" t="s">
        <v>1906</v>
      </c>
      <c r="N501" s="136">
        <v>0.05</v>
      </c>
      <c r="O501" s="136"/>
      <c r="P501" s="20">
        <f t="shared" si="237"/>
        <v>68774538</v>
      </c>
      <c r="Q501" s="136">
        <f t="shared" si="249"/>
        <v>0.05</v>
      </c>
      <c r="R501" s="136">
        <f t="shared" si="250"/>
        <v>0.05</v>
      </c>
      <c r="S501" s="20">
        <f t="shared" si="238"/>
        <v>72213264.900000006</v>
      </c>
      <c r="U501" s="136">
        <f t="shared" si="263"/>
        <v>0.05</v>
      </c>
      <c r="V501" s="20">
        <f t="shared" si="239"/>
        <v>75823928.145000011</v>
      </c>
    </row>
    <row r="502" spans="1:22" x14ac:dyDescent="0.3">
      <c r="A502" s="5">
        <v>252</v>
      </c>
      <c r="B502" s="8" t="s">
        <v>710</v>
      </c>
      <c r="C502" s="11">
        <f>+SUMIFS('2021'!Z:Z,'2021'!D:D,CRUCE!A502,'2021'!AT:AT,CRUCE!B502)</f>
        <v>0</v>
      </c>
      <c r="D502" s="11">
        <f>+SUMIFS('2022'!Y:Y,'2022'!D:D,CRUCE!A502,'2022'!AS:AS,CRUCE!B502)</f>
        <v>0</v>
      </c>
      <c r="E502" s="136" t="e">
        <f t="shared" si="235"/>
        <v>#DIV/0!</v>
      </c>
      <c r="F502" s="11">
        <f>+SUMIFS('2023'!Y:Y,'2023'!D:D,CRUCE!A502,'2023'!AS:AS,CRUCE!B502)</f>
        <v>0</v>
      </c>
      <c r="G502" s="136" t="e">
        <f t="shared" si="236"/>
        <v>#DIV/0!</v>
      </c>
      <c r="H502" s="11">
        <f>+SUMIFS('2024'!J:J,'2024'!D:D,CRUCE!A502,'2024'!AT:AT,CRUCE!B502)</f>
        <v>5061793999.9899998</v>
      </c>
      <c r="I502" s="7" t="str">
        <f t="shared" ref="I502" si="276">+$A502&amp;$B502&amp;C502</f>
        <v>252Componente ad valorem del impuesto al consumo de cigarrillos y tabaco elaborado - Extranjeros0</v>
      </c>
      <c r="J502" s="7" t="str">
        <f t="shared" ref="J502" si="277">+$A502&amp;$B502&amp;D502</f>
        <v>252Componente ad valorem del impuesto al consumo de cigarrillos y tabaco elaborado - Extranjeros0</v>
      </c>
      <c r="K502" s="7" t="str">
        <f t="shared" ref="K502" si="278">+$A502&amp;$B502&amp;F502</f>
        <v>252Componente ad valorem del impuesto al consumo de cigarrillos y tabaco elaborado - Extranjeros0</v>
      </c>
      <c r="L502" s="7" t="str">
        <f t="shared" ref="L502" si="279">+$A502&amp;$B502&amp;H502</f>
        <v>252Componente ad valorem del impuesto al consumo de cigarrillos y tabaco elaborado - Extranjeros5061793999,99</v>
      </c>
      <c r="M502" t="s">
        <v>1906</v>
      </c>
      <c r="N502" s="136">
        <v>0.05</v>
      </c>
      <c r="O502" s="136"/>
      <c r="P502" s="20">
        <f t="shared" si="237"/>
        <v>5314883699.9895</v>
      </c>
      <c r="Q502" s="136">
        <f t="shared" si="249"/>
        <v>0.05</v>
      </c>
      <c r="R502" s="136">
        <f t="shared" si="250"/>
        <v>0.05</v>
      </c>
      <c r="S502" s="20">
        <f t="shared" si="238"/>
        <v>5580627884.9889755</v>
      </c>
      <c r="U502" s="136">
        <f t="shared" si="263"/>
        <v>0.05</v>
      </c>
      <c r="V502" s="20">
        <f t="shared" si="239"/>
        <v>5859659279.2384243</v>
      </c>
    </row>
    <row r="503" spans="1:22" x14ac:dyDescent="0.3">
      <c r="A503" s="5">
        <v>252</v>
      </c>
      <c r="B503" s="8" t="s">
        <v>1792</v>
      </c>
      <c r="C503" s="11">
        <f>+SUMIFS('2021'!Z:Z,'2021'!D:D,CRUCE!A503,'2021'!AT:AT,CRUCE!B503)</f>
        <v>0</v>
      </c>
      <c r="D503" s="11">
        <f>+SUMIFS('2022'!Y:Y,'2022'!D:D,CRUCE!A503,'2022'!AS:AS,CRUCE!B503)</f>
        <v>0</v>
      </c>
      <c r="E503" s="136" t="e">
        <f t="shared" si="235"/>
        <v>#DIV/0!</v>
      </c>
      <c r="F503" s="11">
        <f>+SUMIFS('2023'!Y:Y,'2023'!D:D,CRUCE!A503,'2023'!AS:AS,CRUCE!B503)</f>
        <v>0</v>
      </c>
      <c r="G503" s="136" t="e">
        <f t="shared" si="236"/>
        <v>#DIV/0!</v>
      </c>
      <c r="H503" s="11">
        <f>+SUMIFS('2024'!J:J,'2024'!D:D,CRUCE!A503,'2024'!AT:AT,CRUCE!B503)</f>
        <v>15500000000</v>
      </c>
      <c r="I503" s="7" t="str">
        <f t="shared" ref="I503:I504" si="280">+$A503&amp;$B503&amp;C503</f>
        <v>252Componente específico del impuesto al consumo de cigarrillos y tabaco - Nacionales0</v>
      </c>
      <c r="J503" s="7" t="str">
        <f t="shared" ref="J503:J504" si="281">+$A503&amp;$B503&amp;D503</f>
        <v>252Componente específico del impuesto al consumo de cigarrillos y tabaco - Nacionales0</v>
      </c>
      <c r="K503" s="7" t="str">
        <f t="shared" ref="K503:K504" si="282">+$A503&amp;$B503&amp;F503</f>
        <v>252Componente específico del impuesto al consumo de cigarrillos y tabaco - Nacionales0</v>
      </c>
      <c r="L503" s="7" t="str">
        <f t="shared" ref="L503:L504" si="283">+$A503&amp;$B503&amp;H503</f>
        <v>252Componente específico del impuesto al consumo de cigarrillos y tabaco - Nacionales15500000000</v>
      </c>
      <c r="M503" t="s">
        <v>1906</v>
      </c>
      <c r="N503" s="136">
        <v>0.05</v>
      </c>
      <c r="O503" s="136"/>
      <c r="P503" s="20">
        <f t="shared" si="237"/>
        <v>16275000000</v>
      </c>
      <c r="Q503" s="136">
        <f t="shared" si="249"/>
        <v>0.05</v>
      </c>
      <c r="R503" s="136">
        <f t="shared" si="250"/>
        <v>0.05</v>
      </c>
      <c r="S503" s="20">
        <f t="shared" si="238"/>
        <v>17088750000</v>
      </c>
      <c r="U503" s="136">
        <f t="shared" si="263"/>
        <v>0.05</v>
      </c>
      <c r="V503" s="20">
        <f t="shared" si="239"/>
        <v>17943187500</v>
      </c>
    </row>
    <row r="504" spans="1:22" x14ac:dyDescent="0.3">
      <c r="A504" s="5">
        <v>253</v>
      </c>
      <c r="B504" s="8" t="s">
        <v>793</v>
      </c>
      <c r="C504" s="11">
        <f>+SUMIFS('2021'!Z:Z,'2021'!D:D,CRUCE!A504,'2021'!AT:AT,CRUCE!B504)</f>
        <v>0</v>
      </c>
      <c r="D504" s="11">
        <f>+SUMIFS('2022'!Y:Y,'2022'!D:D,CRUCE!A504,'2022'!AS:AS,CRUCE!B504)</f>
        <v>0</v>
      </c>
      <c r="E504" s="136" t="e">
        <f t="shared" si="235"/>
        <v>#DIV/0!</v>
      </c>
      <c r="F504" s="11">
        <f>+SUMIFS('2023'!Y:Y,'2023'!D:D,CRUCE!A504,'2023'!AS:AS,CRUCE!B504)</f>
        <v>0</v>
      </c>
      <c r="G504" s="136" t="e">
        <f t="shared" si="236"/>
        <v>#DIV/0!</v>
      </c>
      <c r="H504" s="11">
        <f>+SUMIFS('2024'!J:J,'2024'!D:D,CRUCE!A504,'2024'!AT:AT,CRUCE!B504)</f>
        <v>706626080.00999999</v>
      </c>
      <c r="I504" s="7" t="str">
        <f t="shared" si="280"/>
        <v>253Juegos Novedosos - Super Astro 68%0</v>
      </c>
      <c r="J504" s="7" t="str">
        <f t="shared" si="281"/>
        <v>253Juegos Novedosos - Super Astro 68%0</v>
      </c>
      <c r="K504" s="7" t="str">
        <f t="shared" si="282"/>
        <v>253Juegos Novedosos - Super Astro 68%0</v>
      </c>
      <c r="L504" s="7" t="str">
        <f t="shared" si="283"/>
        <v>253Juegos Novedosos - Super Astro 68%706626080,01</v>
      </c>
      <c r="M504" t="s">
        <v>1906</v>
      </c>
      <c r="N504" s="136">
        <v>0.05</v>
      </c>
      <c r="O504" s="136"/>
      <c r="P504" s="20">
        <f t="shared" si="237"/>
        <v>741957384.01049995</v>
      </c>
      <c r="Q504" s="136">
        <f t="shared" si="249"/>
        <v>0.05</v>
      </c>
      <c r="R504" s="136">
        <f t="shared" si="250"/>
        <v>0.05</v>
      </c>
      <c r="S504" s="20">
        <f t="shared" si="238"/>
        <v>779055253.211025</v>
      </c>
      <c r="U504" s="136">
        <f t="shared" si="263"/>
        <v>0.05</v>
      </c>
      <c r="V504" s="20">
        <f t="shared" si="239"/>
        <v>818008015.87157631</v>
      </c>
    </row>
    <row r="505" spans="1:22" x14ac:dyDescent="0.3">
      <c r="A505" s="5">
        <v>254</v>
      </c>
      <c r="B505" s="8" t="s">
        <v>801</v>
      </c>
      <c r="C505" s="11">
        <f>+SUMIFS('2021'!Z:Z,'2021'!D:D,CRUCE!A505,'2021'!AT:AT,CRUCE!B505)</f>
        <v>0</v>
      </c>
      <c r="D505" s="11">
        <f>+SUMIFS('2022'!Y:Y,'2022'!D:D,CRUCE!A505,'2022'!AS:AS,CRUCE!B505)</f>
        <v>0</v>
      </c>
      <c r="E505" s="136" t="e">
        <f t="shared" si="235"/>
        <v>#DIV/0!</v>
      </c>
      <c r="F505" s="11">
        <f>+SUMIFS('2023'!Y:Y,'2023'!D:D,CRUCE!A505,'2023'!AS:AS,CRUCE!B505)</f>
        <v>0</v>
      </c>
      <c r="G505" s="136" t="e">
        <f t="shared" si="236"/>
        <v>#DIV/0!</v>
      </c>
      <c r="H505" s="11">
        <f>+SUMIFS('2024'!J:J,'2024'!D:D,CRUCE!A505,'2024'!AT:AT,CRUCE!B505)</f>
        <v>72740920</v>
      </c>
      <c r="I505" s="7" t="str">
        <f t="shared" ref="I505" si="284">+$A505&amp;$B505&amp;C505</f>
        <v>254Colciencias 7%  Juegos Novedosos Super Astro0</v>
      </c>
      <c r="J505" s="7" t="str">
        <f t="shared" ref="J505" si="285">+$A505&amp;$B505&amp;D505</f>
        <v>254Colciencias 7%  Juegos Novedosos Super Astro0</v>
      </c>
      <c r="K505" s="7" t="str">
        <f t="shared" ref="K505" si="286">+$A505&amp;$B505&amp;F505</f>
        <v>254Colciencias 7%  Juegos Novedosos Super Astro0</v>
      </c>
      <c r="L505" s="7" t="str">
        <f t="shared" ref="L505" si="287">+$A505&amp;$B505&amp;H505</f>
        <v>254Colciencias 7%  Juegos Novedosos Super Astro72740920</v>
      </c>
      <c r="M505" t="s">
        <v>1906</v>
      </c>
      <c r="N505" s="136">
        <v>0.05</v>
      </c>
      <c r="O505" s="136"/>
      <c r="P505" s="20">
        <f t="shared" si="237"/>
        <v>76377966</v>
      </c>
      <c r="Q505" s="136">
        <f t="shared" si="249"/>
        <v>0.05</v>
      </c>
      <c r="R505" s="136">
        <f t="shared" si="250"/>
        <v>0.05</v>
      </c>
      <c r="S505" s="20">
        <f t="shared" si="238"/>
        <v>80196864.299999997</v>
      </c>
      <c r="U505" s="136">
        <f t="shared" si="263"/>
        <v>0.05</v>
      </c>
      <c r="V505" s="20">
        <f t="shared" si="239"/>
        <v>84206707.515000001</v>
      </c>
    </row>
    <row r="506" spans="1:22" x14ac:dyDescent="0.3">
      <c r="A506" s="5">
        <v>255</v>
      </c>
      <c r="B506" s="8" t="s">
        <v>797</v>
      </c>
      <c r="C506" s="11">
        <f>+SUMIFS('2021'!Z:Z,'2021'!D:D,CRUCE!A506,'2021'!AT:AT,CRUCE!B506)</f>
        <v>0</v>
      </c>
      <c r="D506" s="11">
        <f>+SUMIFS('2022'!Y:Y,'2022'!D:D,CRUCE!A506,'2022'!AS:AS,CRUCE!B506)</f>
        <v>0</v>
      </c>
      <c r="E506" s="136" t="e">
        <f t="shared" si="235"/>
        <v>#DIV/0!</v>
      </c>
      <c r="F506" s="11">
        <f>+SUMIFS('2023'!Y:Y,'2023'!D:D,CRUCE!A506,'2023'!AS:AS,CRUCE!B506)</f>
        <v>0</v>
      </c>
      <c r="G506" s="136" t="e">
        <f t="shared" si="236"/>
        <v>#DIV/0!</v>
      </c>
      <c r="H506" s="11">
        <f>+SUMIFS('2024'!J:J,'2024'!D:D,CRUCE!A506,'2024'!AT:AT,CRUCE!B506)</f>
        <v>259789000</v>
      </c>
      <c r="I506" s="7" t="str">
        <f t="shared" ref="I506" si="288">+$A506&amp;$B506&amp;C506</f>
        <v>255Juegos Novedosos - Super Astro 25%0</v>
      </c>
      <c r="J506" s="7" t="str">
        <f t="shared" ref="J506" si="289">+$A506&amp;$B506&amp;D506</f>
        <v>255Juegos Novedosos - Super Astro 25%0</v>
      </c>
      <c r="K506" s="7" t="str">
        <f t="shared" ref="K506" si="290">+$A506&amp;$B506&amp;F506</f>
        <v>255Juegos Novedosos - Super Astro 25%0</v>
      </c>
      <c r="L506" s="7" t="str">
        <f t="shared" ref="L506" si="291">+$A506&amp;$B506&amp;H506</f>
        <v>255Juegos Novedosos - Super Astro 25%259789000</v>
      </c>
      <c r="M506" t="s">
        <v>1906</v>
      </c>
      <c r="N506" s="136">
        <v>0.05</v>
      </c>
      <c r="O506" s="136"/>
      <c r="P506" s="20">
        <f t="shared" si="237"/>
        <v>272778450</v>
      </c>
      <c r="Q506" s="136">
        <f t="shared" si="249"/>
        <v>0.05</v>
      </c>
      <c r="R506" s="136">
        <f t="shared" si="250"/>
        <v>0.05</v>
      </c>
      <c r="S506" s="20">
        <f t="shared" si="238"/>
        <v>286417372.5</v>
      </c>
      <c r="U506" s="136">
        <f t="shared" si="263"/>
        <v>0.05</v>
      </c>
      <c r="V506" s="20">
        <f t="shared" si="239"/>
        <v>300738241.125</v>
      </c>
    </row>
    <row r="507" spans="1:22" hidden="1" x14ac:dyDescent="0.3">
      <c r="A507" s="5">
        <v>256</v>
      </c>
      <c r="B507" s="8" t="s">
        <v>1410</v>
      </c>
      <c r="C507" s="11">
        <f>+SUMIFS('2021'!Z:Z,'2021'!D:D,CRUCE!A507,'2021'!AT:AT,CRUCE!B507)</f>
        <v>0</v>
      </c>
      <c r="D507" s="11">
        <f>+SUMIFS('2022'!Y:Y,'2022'!D:D,CRUCE!A507,'2022'!AS:AS,CRUCE!B507)</f>
        <v>0</v>
      </c>
      <c r="E507" s="136" t="e">
        <f t="shared" si="235"/>
        <v>#DIV/0!</v>
      </c>
      <c r="F507" s="11">
        <f>+SUMIFS('2023'!Y:Y,'2023'!D:D,CRUCE!A507,'2023'!AS:AS,CRUCE!B507)</f>
        <v>16008222.699999999</v>
      </c>
      <c r="G507" s="136" t="e">
        <f t="shared" si="236"/>
        <v>#DIV/0!</v>
      </c>
      <c r="H507" s="11">
        <f>+SUMIFS('2024'!J:J,'2024'!D:D,CRUCE!A507,'2024'!AT:AT,CRUCE!B507)</f>
        <v>0</v>
      </c>
      <c r="I507" s="7" t="str">
        <f t="shared" ref="I507" si="292">+$A507&amp;$B507&amp;C507</f>
        <v>256Cancelación Reservas0</v>
      </c>
      <c r="J507" s="7" t="str">
        <f t="shared" ref="J507" si="293">+$A507&amp;$B507&amp;D507</f>
        <v>256Cancelación Reservas0</v>
      </c>
      <c r="K507" s="7" t="str">
        <f t="shared" ref="K507" si="294">+$A507&amp;$B507&amp;F507</f>
        <v>256Cancelación Reservas16008222,7</v>
      </c>
      <c r="L507" s="7" t="str">
        <f t="shared" ref="L507" si="295">+$A507&amp;$B507&amp;H507</f>
        <v>256Cancelación Reservas0</v>
      </c>
      <c r="M507" t="s">
        <v>1906</v>
      </c>
      <c r="N507" s="136" t="e">
        <f t="shared" si="240"/>
        <v>#DIV/0!</v>
      </c>
      <c r="O507" s="136"/>
      <c r="P507" s="20" t="e">
        <f t="shared" si="237"/>
        <v>#DIV/0!</v>
      </c>
      <c r="S507" s="20" t="e">
        <f t="shared" si="238"/>
        <v>#DIV/0!</v>
      </c>
      <c r="V507" s="20" t="e">
        <f t="shared" si="239"/>
        <v>#DIV/0!</v>
      </c>
    </row>
    <row r="508" spans="1:22" hidden="1" x14ac:dyDescent="0.3">
      <c r="A508" s="5">
        <v>256</v>
      </c>
      <c r="B508" s="8" t="s">
        <v>1705</v>
      </c>
      <c r="C508" s="11">
        <f>+SUMIFS('2021'!Z:Z,'2021'!D:D,CRUCE!A508,'2021'!AT:AT,CRUCE!B508)</f>
        <v>0</v>
      </c>
      <c r="D508" s="11">
        <f>+SUMIFS('2022'!Y:Y,'2022'!D:D,CRUCE!A508,'2022'!AS:AS,CRUCE!B508)</f>
        <v>0</v>
      </c>
      <c r="E508" s="136" t="e">
        <f t="shared" si="235"/>
        <v>#DIV/0!</v>
      </c>
      <c r="F508" s="11">
        <f>+SUMIFS('2023'!Y:Y,'2023'!D:D,CRUCE!A508,'2023'!AS:AS,CRUCE!B508)</f>
        <v>0</v>
      </c>
      <c r="G508" s="136" t="e">
        <f t="shared" si="236"/>
        <v>#DIV/0!</v>
      </c>
      <c r="H508" s="11">
        <f>+SUMIFS('2024'!J:J,'2024'!D:D,CRUCE!A508,'2024'!AT:AT,CRUCE!B508)</f>
        <v>0</v>
      </c>
      <c r="I508" s="7" t="str">
        <f t="shared" ref="I508" si="296">+$A508&amp;$B508&amp;C508</f>
        <v>256SUPERAVIT CONVENIO 047/22 RESGUARDO INDIGENA KARABIJUA 0</v>
      </c>
      <c r="J508" s="7" t="str">
        <f t="shared" ref="J508" si="297">+$A508&amp;$B508&amp;D508</f>
        <v>256SUPERAVIT CONVENIO 047/22 RESGUARDO INDIGENA KARABIJUA 0</v>
      </c>
      <c r="K508" s="7" t="str">
        <f t="shared" ref="K508" si="298">+$A508&amp;$B508&amp;F508</f>
        <v>256SUPERAVIT CONVENIO 047/22 RESGUARDO INDIGENA KARABIJUA 0</v>
      </c>
      <c r="L508" s="7" t="str">
        <f t="shared" ref="L508" si="299">+$A508&amp;$B508&amp;H508</f>
        <v>256SUPERAVIT CONVENIO 047/22 RESGUARDO INDIGENA KARABIJUA 0</v>
      </c>
      <c r="M508" t="s">
        <v>1906</v>
      </c>
      <c r="N508" s="136" t="e">
        <f t="shared" si="240"/>
        <v>#DIV/0!</v>
      </c>
      <c r="O508" s="136"/>
      <c r="P508" s="20" t="e">
        <f t="shared" si="237"/>
        <v>#DIV/0!</v>
      </c>
      <c r="S508" s="20" t="e">
        <f t="shared" si="238"/>
        <v>#DIV/0!</v>
      </c>
      <c r="V508" s="20" t="e">
        <f t="shared" si="239"/>
        <v>#DIV/0!</v>
      </c>
    </row>
    <row r="509" spans="1:22" hidden="1" x14ac:dyDescent="0.3">
      <c r="A509" s="5">
        <v>257</v>
      </c>
      <c r="B509" s="8" t="s">
        <v>345</v>
      </c>
      <c r="C509" s="11">
        <f>+SUMIFS('2021'!Z:Z,'2021'!D:D,CRUCE!A509,'2021'!AT:AT,CRUCE!B509)</f>
        <v>0</v>
      </c>
      <c r="D509" s="11">
        <f>+SUMIFS('2022'!Y:Y,'2022'!D:D,CRUCE!A509,'2022'!AS:AS,CRUCE!B509)</f>
        <v>0</v>
      </c>
      <c r="E509" s="136" t="e">
        <f t="shared" si="235"/>
        <v>#DIV/0!</v>
      </c>
      <c r="F509" s="11">
        <f>+SUMIFS('2023'!Y:Y,'2023'!D:D,CRUCE!A509,'2023'!AS:AS,CRUCE!B509)</f>
        <v>81980000</v>
      </c>
      <c r="G509" s="136" t="e">
        <f t="shared" si="236"/>
        <v>#DIV/0!</v>
      </c>
      <c r="H509" s="11">
        <f>+SUMIFS('2024'!J:J,'2024'!D:D,CRUCE!A509,'2024'!AT:AT,CRUCE!B509)</f>
        <v>0</v>
      </c>
      <c r="I509" s="7" t="str">
        <f t="shared" ref="I509:I511" si="300">+$A509&amp;$B509&amp;C509</f>
        <v>257Indemnizaciones relacionadas con seguros no de vida0</v>
      </c>
      <c r="J509" s="7" t="str">
        <f t="shared" ref="J509:J511" si="301">+$A509&amp;$B509&amp;D509</f>
        <v>257Indemnizaciones relacionadas con seguros no de vida0</v>
      </c>
      <c r="K509" s="7" t="str">
        <f t="shared" ref="K509:K511" si="302">+$A509&amp;$B509&amp;F509</f>
        <v>257Indemnizaciones relacionadas con seguros no de vida81980000</v>
      </c>
      <c r="L509" s="7" t="str">
        <f t="shared" ref="L509:L511" si="303">+$A509&amp;$B509&amp;H509</f>
        <v>257Indemnizaciones relacionadas con seguros no de vida0</v>
      </c>
      <c r="M509" t="s">
        <v>1906</v>
      </c>
      <c r="N509" s="136" t="e">
        <f t="shared" si="240"/>
        <v>#DIV/0!</v>
      </c>
      <c r="O509" s="136"/>
      <c r="P509" s="20" t="e">
        <f t="shared" si="237"/>
        <v>#DIV/0!</v>
      </c>
      <c r="S509" s="20" t="e">
        <f t="shared" si="238"/>
        <v>#DIV/0!</v>
      </c>
      <c r="V509" s="20" t="e">
        <f t="shared" si="239"/>
        <v>#DIV/0!</v>
      </c>
    </row>
    <row r="510" spans="1:22" hidden="1" x14ac:dyDescent="0.3">
      <c r="A510" s="5">
        <v>258</v>
      </c>
      <c r="B510" s="8" t="s">
        <v>459</v>
      </c>
      <c r="C510" s="11">
        <f>+SUMIFS('2021'!Z:Z,'2021'!D:D,CRUCE!A510,'2021'!AT:AT,CRUCE!B510)</f>
        <v>0</v>
      </c>
      <c r="D510" s="11">
        <f>+SUMIFS('2022'!Y:Y,'2022'!D:D,CRUCE!A510,'2022'!AS:AS,CRUCE!B510)</f>
        <v>0</v>
      </c>
      <c r="E510" s="136" t="e">
        <f t="shared" si="235"/>
        <v>#DIV/0!</v>
      </c>
      <c r="F510" s="11">
        <f>+SUMIFS('2023'!Y:Y,'2023'!D:D,CRUCE!A510,'2023'!AS:AS,CRUCE!B510)</f>
        <v>52</v>
      </c>
      <c r="G510" s="136" t="e">
        <f t="shared" si="236"/>
        <v>#DIV/0!</v>
      </c>
      <c r="H510" s="11">
        <f>+SUMIFS('2024'!J:J,'2024'!D:D,CRUCE!A510,'2024'!AT:AT,CRUCE!B510)</f>
        <v>0</v>
      </c>
      <c r="I510" s="7" t="str">
        <f t="shared" si="300"/>
        <v>258Reintegros0</v>
      </c>
      <c r="J510" s="7" t="str">
        <f t="shared" si="301"/>
        <v>258Reintegros0</v>
      </c>
      <c r="K510" s="7" t="str">
        <f t="shared" si="302"/>
        <v>258Reintegros52</v>
      </c>
      <c r="L510" s="7" t="str">
        <f t="shared" si="303"/>
        <v>258Reintegros0</v>
      </c>
      <c r="M510" t="s">
        <v>1906</v>
      </c>
      <c r="N510" s="136" t="e">
        <f t="shared" si="240"/>
        <v>#DIV/0!</v>
      </c>
      <c r="O510" s="136"/>
      <c r="P510" s="20" t="e">
        <f t="shared" si="237"/>
        <v>#DIV/0!</v>
      </c>
      <c r="S510" s="20" t="e">
        <f t="shared" si="238"/>
        <v>#DIV/0!</v>
      </c>
      <c r="V510" s="20" t="e">
        <f t="shared" si="239"/>
        <v>#DIV/0!</v>
      </c>
    </row>
    <row r="511" spans="1:22" hidden="1" x14ac:dyDescent="0.3">
      <c r="A511" s="5">
        <v>264</v>
      </c>
      <c r="B511" s="8" t="s">
        <v>1705</v>
      </c>
      <c r="C511" s="11">
        <f>+SUMIFS('2021'!Z:Z,'2021'!D:D,CRUCE!A511,'2021'!AT:AT,CRUCE!B511)</f>
        <v>0</v>
      </c>
      <c r="D511" s="11">
        <f>+SUMIFS('2022'!Y:Y,'2022'!D:D,CRUCE!A511,'2022'!AS:AS,CRUCE!B511)</f>
        <v>0</v>
      </c>
      <c r="E511" s="136" t="e">
        <f t="shared" si="235"/>
        <v>#DIV/0!</v>
      </c>
      <c r="F511" s="11">
        <f>+SUMIFS('2023'!Y:Y,'2023'!D:D,CRUCE!A511,'2023'!AS:AS,CRUCE!B511)</f>
        <v>0</v>
      </c>
      <c r="G511" s="136" t="e">
        <f t="shared" si="236"/>
        <v>#DIV/0!</v>
      </c>
      <c r="H511" s="11">
        <f>+SUMIFS('2024'!J:J,'2024'!D:D,CRUCE!A511,'2024'!AT:AT,CRUCE!B511)</f>
        <v>0</v>
      </c>
      <c r="I511" s="7" t="str">
        <f t="shared" si="300"/>
        <v>264SUPERAVIT CONVENIO 047/22 RESGUARDO INDIGENA KARABIJUA 0</v>
      </c>
      <c r="J511" s="7" t="str">
        <f t="shared" si="301"/>
        <v>264SUPERAVIT CONVENIO 047/22 RESGUARDO INDIGENA KARABIJUA 0</v>
      </c>
      <c r="K511" s="7" t="str">
        <f t="shared" si="302"/>
        <v>264SUPERAVIT CONVENIO 047/22 RESGUARDO INDIGENA KARABIJUA 0</v>
      </c>
      <c r="L511" s="7" t="str">
        <f t="shared" si="303"/>
        <v>264SUPERAVIT CONVENIO 047/22 RESGUARDO INDIGENA KARABIJUA 0</v>
      </c>
      <c r="M511" t="s">
        <v>1906</v>
      </c>
      <c r="N511" s="136" t="e">
        <f t="shared" si="240"/>
        <v>#DIV/0!</v>
      </c>
      <c r="O511" s="136"/>
      <c r="P511" s="20" t="e">
        <f t="shared" si="237"/>
        <v>#DIV/0!</v>
      </c>
      <c r="S511" s="20" t="e">
        <f t="shared" si="238"/>
        <v>#DIV/0!</v>
      </c>
      <c r="V511" s="20" t="e">
        <f t="shared" si="239"/>
        <v>#DIV/0!</v>
      </c>
    </row>
    <row r="512" spans="1:22" hidden="1" x14ac:dyDescent="0.3">
      <c r="A512" s="5">
        <v>265</v>
      </c>
      <c r="B512" s="8" t="s">
        <v>1847</v>
      </c>
      <c r="C512" s="11">
        <f>+SUMIFS('2021'!Z:Z,'2021'!D:D,CRUCE!A512,'2021'!AT:AT,CRUCE!B512)</f>
        <v>0</v>
      </c>
      <c r="D512" s="11">
        <f>+SUMIFS('2022'!Y:Y,'2022'!D:D,CRUCE!A512,'2022'!AS:AS,CRUCE!B512)</f>
        <v>0</v>
      </c>
      <c r="E512" s="136" t="e">
        <f t="shared" si="235"/>
        <v>#DIV/0!</v>
      </c>
      <c r="F512" s="11">
        <f>+SUMIFS('2023'!Y:Y,'2023'!D:D,CRUCE!A512,'2023'!AS:AS,CRUCE!B512)</f>
        <v>0</v>
      </c>
      <c r="G512" s="136" t="e">
        <f t="shared" si="236"/>
        <v>#DIV/0!</v>
      </c>
      <c r="H512" s="11">
        <f>+SUMIFS('2024'!J:J,'2024'!D:D,CRUCE!A512,'2024'!AT:AT,CRUCE!B512)</f>
        <v>0</v>
      </c>
      <c r="I512" s="7" t="str">
        <f t="shared" ref="I512" si="304">+$A512&amp;$B512&amp;C512</f>
        <v>265RECURSOS FONPET COLJUEGOS ADRES 0</v>
      </c>
      <c r="J512" s="7" t="str">
        <f t="shared" ref="J512" si="305">+$A512&amp;$B512&amp;D512</f>
        <v>265RECURSOS FONPET COLJUEGOS ADRES 0</v>
      </c>
      <c r="K512" s="7" t="str">
        <f t="shared" ref="K512" si="306">+$A512&amp;$B512&amp;F512</f>
        <v>265RECURSOS FONPET COLJUEGOS ADRES 0</v>
      </c>
      <c r="L512" s="7" t="str">
        <f t="shared" ref="L512" si="307">+$A512&amp;$B512&amp;H512</f>
        <v>265RECURSOS FONPET COLJUEGOS ADRES 0</v>
      </c>
      <c r="M512" t="s">
        <v>1906</v>
      </c>
      <c r="N512" s="136" t="e">
        <f t="shared" si="240"/>
        <v>#DIV/0!</v>
      </c>
      <c r="O512" s="136"/>
      <c r="P512" s="20" t="e">
        <f t="shared" si="237"/>
        <v>#DIV/0!</v>
      </c>
      <c r="S512" s="20" t="e">
        <f t="shared" si="238"/>
        <v>#DIV/0!</v>
      </c>
      <c r="V512" s="20" t="e">
        <f t="shared" si="239"/>
        <v>#DIV/0!</v>
      </c>
    </row>
    <row r="513" spans="2:22" x14ac:dyDescent="0.3">
      <c r="B513" s="2" t="s">
        <v>1911</v>
      </c>
      <c r="C513" s="21">
        <f t="shared" ref="C513:T513" si="308">SUM(C3:C512)</f>
        <v>470311361775.76984</v>
      </c>
      <c r="D513" s="21">
        <f t="shared" si="308"/>
        <v>557499668052.12</v>
      </c>
      <c r="E513" s="136">
        <f t="shared" si="235"/>
        <v>0.18538422279902073</v>
      </c>
      <c r="F513" s="21">
        <f t="shared" si="308"/>
        <v>614176144072.71997</v>
      </c>
      <c r="G513" s="21"/>
      <c r="H513" s="21">
        <f t="shared" ref="H513:N513" si="309">SUBTOTAL(9,H3:H506)</f>
        <v>508273313000.00006</v>
      </c>
      <c r="I513" s="21">
        <f t="shared" si="309"/>
        <v>0</v>
      </c>
      <c r="J513" s="21">
        <f t="shared" si="309"/>
        <v>0</v>
      </c>
      <c r="K513" s="21">
        <f t="shared" si="309"/>
        <v>0</v>
      </c>
      <c r="L513" s="21">
        <f t="shared" si="309"/>
        <v>0</v>
      </c>
      <c r="M513" s="21">
        <f t="shared" si="309"/>
        <v>0</v>
      </c>
      <c r="N513" s="21">
        <f t="shared" si="309"/>
        <v>11.796650652873172</v>
      </c>
      <c r="O513" s="6"/>
      <c r="P513" s="21">
        <f>SUBTOTAL(9,P3:P506)</f>
        <v>541659353764.81</v>
      </c>
      <c r="Q513" s="21">
        <f t="shared" si="308"/>
        <v>20.08618286333175</v>
      </c>
      <c r="R513" s="21"/>
      <c r="S513" s="21">
        <f>SUBTOTAL(9,S3:S506)</f>
        <v>578168289733.77222</v>
      </c>
      <c r="T513" s="21">
        <f t="shared" si="308"/>
        <v>14.979258345368995</v>
      </c>
      <c r="U513" s="21"/>
      <c r="V513" s="21">
        <f>SUBTOTAL(9,V3:V506)</f>
        <v>656941408907.69165</v>
      </c>
    </row>
    <row r="514" spans="2:22" x14ac:dyDescent="0.3">
      <c r="C514" s="20"/>
      <c r="G514" s="11"/>
      <c r="H514" s="11"/>
      <c r="P514" s="11"/>
      <c r="V514" s="20"/>
    </row>
    <row r="515" spans="2:22" x14ac:dyDescent="0.3">
      <c r="C515" s="20">
        <f>+'2021'!Z564-CRUCE!C513</f>
        <v>0</v>
      </c>
      <c r="D515" s="20">
        <f>+'2022'!Y491-CRUCE!D513</f>
        <v>0</v>
      </c>
      <c r="E515" s="20"/>
      <c r="F515" s="11">
        <f>+F513-'2023'!Y485</f>
        <v>0</v>
      </c>
      <c r="G515" s="11"/>
      <c r="H515" s="20"/>
      <c r="P515" s="20"/>
      <c r="V515" s="11"/>
    </row>
    <row r="516" spans="2:22" x14ac:dyDescent="0.3">
      <c r="B516" t="s">
        <v>2079</v>
      </c>
      <c r="H516" s="11"/>
      <c r="P516" s="11"/>
      <c r="S516" s="20"/>
      <c r="V516" s="11"/>
    </row>
    <row r="517" spans="2:22" x14ac:dyDescent="0.3">
      <c r="B517" t="s">
        <v>2080</v>
      </c>
      <c r="H517" s="11"/>
      <c r="P517" s="11"/>
      <c r="S517" s="11"/>
      <c r="V517" s="11"/>
    </row>
    <row r="518" spans="2:22" x14ac:dyDescent="0.3">
      <c r="B518" t="s">
        <v>2081</v>
      </c>
      <c r="H518" s="11"/>
      <c r="P518" s="11"/>
      <c r="S518" s="11"/>
      <c r="V518" s="11"/>
    </row>
    <row r="519" spans="2:22" x14ac:dyDescent="0.3">
      <c r="B519" t="s">
        <v>2082</v>
      </c>
      <c r="H519" s="11"/>
      <c r="P519" s="11"/>
      <c r="S519" s="11"/>
      <c r="V519" s="11"/>
    </row>
    <row r="520" spans="2:22" x14ac:dyDescent="0.3">
      <c r="B520" t="s">
        <v>2083</v>
      </c>
      <c r="G520" s="20"/>
      <c r="H520" s="11"/>
      <c r="P520" s="11"/>
      <c r="S520" s="11"/>
      <c r="V520" s="11"/>
    </row>
    <row r="521" spans="2:22" x14ac:dyDescent="0.3">
      <c r="H521" s="20"/>
    </row>
    <row r="522" spans="2:22" x14ac:dyDescent="0.3">
      <c r="H522" s="20"/>
    </row>
  </sheetData>
  <autoFilter ref="A2:V512" xr:uid="{4A79B91D-8714-4A67-ACBC-82D9232494CA}">
    <filterColumn colId="7">
      <filters>
        <filter val="1.000.000,00"/>
        <filter val="1.019.920.998,39"/>
        <filter val="1.053.510.677,00"/>
        <filter val="1.053.510.677,78"/>
        <filter val="1.066.721.629,96"/>
        <filter val="1.083.091.500,00"/>
        <filter val="1.101.554,00"/>
        <filter val="1.245.550,02"/>
        <filter val="1.272.076,00"/>
        <filter val="1.409.595.296,70"/>
        <filter val="1.437.342.000,00"/>
        <filter val="1.437.343.000,00"/>
        <filter val="1.478.804.000,00"/>
        <filter val="1.499.524.600,00"/>
        <filter val="1.529.881.497,59"/>
        <filter val="1.535.996.584,11"/>
        <filter val="1.583.411.000,00"/>
        <filter val="1.638.880.750,63"/>
        <filter val="1.711.740,00"/>
        <filter val="1.740.194.691,81"/>
        <filter val="1.775.623.247,01"/>
        <filter val="1.965.996.623,01"/>
        <filter val="10.000.000,00"/>
        <filter val="10.080.210,00"/>
        <filter val="103.859.000,00"/>
        <filter val="11.311.872,00"/>
        <filter val="11.867.811.000,00"/>
        <filter val="11.942.474,00"/>
        <filter val="112.876.872,84"/>
        <filter val="114.118.425,00"/>
        <filter val="12.506.483.000,00"/>
        <filter val="12.680.890.781,21"/>
        <filter val="131.066.001,61"/>
        <filter val="134.467.007,62"/>
        <filter val="135.357.418,00"/>
        <filter val="14.173.023.000,00"/>
        <filter val="14.663.221,18"/>
        <filter val="14.770.246,00"/>
        <filter val="142.442.714,27"/>
        <filter val="144.172.196,14"/>
        <filter val="15.298.814.976,90"/>
        <filter val="15.500.000.000,00"/>
        <filter val="158.117.297,19"/>
        <filter val="17.537.611,00"/>
        <filter val="174.924.643,10"/>
        <filter val="175.675.359.999,99"/>
        <filter val="178.374.266,30"/>
        <filter val="183.024.451,00"/>
        <filter val="196.599.502,41"/>
        <filter val="2.000.000,00"/>
        <filter val="2.082.326.000,00"/>
        <filter val="2.107.021.355,56"/>
        <filter val="2.148.092.000,00"/>
        <filter val="2.251.199,57"/>
        <filter val="2.282.365,50"/>
        <filter val="2.461.968.000,00"/>
        <filter val="2.549.802.093,00"/>
        <filter val="2.549.867.501,13"/>
        <filter val="2.624.700,00"/>
        <filter val="2.755.000.000,00"/>
        <filter val="20.000.000,00"/>
        <filter val="20.076.072,22"/>
        <filter val="20.076.073,00"/>
        <filter val="200.000.000,00"/>
        <filter val="203.517.633,16"/>
        <filter val="21.070.215.518,37"/>
        <filter val="21.244.362,00"/>
        <filter val="21.868.800,31"/>
        <filter val="217.044.000,00"/>
        <filter val="221.000.000,00"/>
        <filter val="228.210.777,85"/>
        <filter val="23.970.000,00"/>
        <filter val="233.927.000,00"/>
        <filter val="24.663.485,00"/>
        <filter val="248.000.000,00"/>
        <filter val="250.000.000,00"/>
        <filter val="259.789.000,00"/>
        <filter val="268.279.884,30"/>
        <filter val="268.934.015,24"/>
        <filter val="271.950.000,00"/>
        <filter val="273.741.783,90"/>
        <filter val="28.234.243,00"/>
        <filter val="28.366.201,10"/>
        <filter val="28.431.417,00"/>
        <filter val="28.925.600,30"/>
        <filter val="28.991.067,89"/>
        <filter val="3.000.000,00"/>
        <filter val="3.007.889.200,00"/>
        <filter val="3.440.872,00"/>
        <filter val="3.504.941.927,00"/>
        <filter val="3.569.066.000,00"/>
        <filter val="3.664.446,00"/>
        <filter val="3.779.183,00"/>
        <filter val="3.859.258.163,85"/>
        <filter val="30.000.000,00"/>
        <filter val="300.000.000,00"/>
        <filter val="307.025.095,06"/>
        <filter val="31.605.524,40"/>
        <filter val="316.682.000,00"/>
        <filter val="32.803.406.000,00"/>
        <filter val="321.693.105,03"/>
        <filter val="327.666.907,00"/>
        <filter val="33.454.400.000,00"/>
        <filter val="333.000.000,00"/>
        <filter val="348.727.796,00"/>
        <filter val="36.500.000,00"/>
        <filter val="361.607.216,00"/>
        <filter val="38.481.576,00"/>
        <filter val="4.004.400,00"/>
        <filter val="4.052.617.000,00"/>
        <filter val="4.080.000,00"/>
        <filter val="4.457.755.640,53"/>
        <filter val="4.511.833.800,00"/>
        <filter val="4.965.553,00"/>
        <filter val="40.152.144,45"/>
        <filter val="401.521.480,90"/>
        <filter val="421.159.920,24"/>
        <filter val="424.948,00"/>
        <filter val="43.610.921,39"/>
        <filter val="43.878.373,03"/>
        <filter val="458.886.608,84"/>
        <filter val="5.000.000,00"/>
        <filter val="5.061.793.999,99"/>
        <filter val="5.099.604.791,97"/>
        <filter val="5.099.734.002,23"/>
        <filter val="5.409.655.000,00"/>
        <filter val="5.998.098.000,00"/>
        <filter val="500.000.000,00"/>
        <filter val="52.368.644,97"/>
        <filter val="536.560.141,90"/>
        <filter val="54.264.828,00"/>
        <filter val="547.483.948,70"/>
        <filter val="56.593.747,00"/>
        <filter val="564.704.627,16"/>
        <filter val="567.323.048,47"/>
        <filter val="57.982.135,79"/>
        <filter val="578.511.013,27"/>
        <filter val="6.729.980,00"/>
        <filter val="617.789.000,00"/>
        <filter val="622.274,99"/>
        <filter val="633.364.000,00"/>
        <filter val="636.281.440,00"/>
        <filter val="65.499.560,00"/>
        <filter val="655.332.208,03"/>
        <filter val="661.931.579,76"/>
        <filter val="668.700.795,92"/>
        <filter val="673.000,00"/>
        <filter val="7.000.000,00"/>
        <filter val="7.491.494.209,50"/>
        <filter val="7.519.723.000,00"/>
        <filter val="7.651.123,00"/>
        <filter val="70.000.000,00"/>
        <filter val="704.798.148,37"/>
        <filter val="706.626.080,01"/>
        <filter val="72.740.920,00"/>
        <filter val="763.018.000,00"/>
        <filter val="77.643.000,00"/>
        <filter val="8.000.000.000,00"/>
        <filter val="8.039.999,37"/>
        <filter val="8.076.089,00"/>
        <filter val="826.885.792,25"/>
        <filter val="87.009.883,90"/>
        <filter val="87.462.260,70"/>
        <filter val="875.005.245,73"/>
        <filter val="88.781.314,70"/>
        <filter val="89.187.071,10"/>
        <filter val="9.000.000.000,00"/>
        <filter val="9.067.195,00"/>
        <filter val="9.402.508,51"/>
        <filter val="9.565.289,00"/>
        <filter val="9.901.551.000,00"/>
        <filter val="90.074.068,82"/>
        <filter val="942.200,00"/>
      </filters>
    </filterColumn>
  </autoFilter>
  <conditionalFormatting sqref="E8">
    <cfRule type="duplicateValues" dxfId="5" priority="6"/>
  </conditionalFormatting>
  <conditionalFormatting sqref="F1:G1048576">
    <cfRule type="duplicateValues" dxfId="4" priority="7"/>
  </conditionalFormatting>
  <conditionalFormatting sqref="H517:H520">
    <cfRule type="duplicateValues" dxfId="3" priority="5"/>
  </conditionalFormatting>
  <conditionalFormatting sqref="P517:P520">
    <cfRule type="duplicateValues" dxfId="2" priority="1"/>
  </conditionalFormatting>
  <conditionalFormatting sqref="S517:S520">
    <cfRule type="duplicateValues" dxfId="1" priority="3"/>
  </conditionalFormatting>
  <conditionalFormatting sqref="V517:V520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5269-902C-4AF9-B1F4-BDDEB2BFEDFD}">
  <dimension ref="A2:T188"/>
  <sheetViews>
    <sheetView workbookViewId="0">
      <selection activeCell="C7" sqref="C7"/>
    </sheetView>
  </sheetViews>
  <sheetFormatPr baseColWidth="10" defaultColWidth="11.44140625" defaultRowHeight="13.2" x14ac:dyDescent="0.3"/>
  <cols>
    <col min="1" max="1" width="11.44140625" style="27"/>
    <col min="2" max="2" width="35.5546875" style="32" customWidth="1"/>
    <col min="3" max="3" width="23.44140625" style="27" customWidth="1"/>
    <col min="4" max="4" width="19.109375" style="27" bestFit="1" customWidth="1"/>
    <col min="5" max="5" width="27" style="27" bestFit="1" customWidth="1"/>
    <col min="6" max="6" width="19.109375" style="27" bestFit="1" customWidth="1"/>
    <col min="7" max="7" width="16.109375" style="27" customWidth="1"/>
    <col min="8" max="8" width="27.33203125" style="25" customWidth="1"/>
    <col min="9" max="9" width="19.33203125" style="26" bestFit="1" customWidth="1"/>
    <col min="10" max="10" width="14.109375" style="25" bestFit="1" customWidth="1"/>
    <col min="11" max="11" width="25.109375" style="25" customWidth="1"/>
    <col min="12" max="12" width="15.109375" style="25" bestFit="1" customWidth="1"/>
    <col min="13" max="14" width="11.44140625" style="25"/>
    <col min="15" max="15" width="13.109375" style="27" bestFit="1" customWidth="1"/>
    <col min="16" max="16" width="13.5546875" style="27" bestFit="1" customWidth="1"/>
    <col min="17" max="17" width="11.44140625" style="27"/>
    <col min="18" max="19" width="13.109375" style="27" bestFit="1" customWidth="1"/>
    <col min="20" max="256" width="11.44140625" style="27"/>
    <col min="257" max="257" width="30.44140625" style="27" customWidth="1"/>
    <col min="258" max="258" width="23.33203125" style="27" bestFit="1" customWidth="1"/>
    <col min="259" max="259" width="18.109375" style="27" bestFit="1" customWidth="1"/>
    <col min="260" max="260" width="15.88671875" style="27" bestFit="1" customWidth="1"/>
    <col min="261" max="512" width="11.44140625" style="27"/>
    <col min="513" max="513" width="30.44140625" style="27" customWidth="1"/>
    <col min="514" max="514" width="23.33203125" style="27" bestFit="1" customWidth="1"/>
    <col min="515" max="515" width="18.109375" style="27" bestFit="1" customWidth="1"/>
    <col min="516" max="516" width="15.88671875" style="27" bestFit="1" customWidth="1"/>
    <col min="517" max="768" width="11.44140625" style="27"/>
    <col min="769" max="769" width="30.44140625" style="27" customWidth="1"/>
    <col min="770" max="770" width="23.33203125" style="27" bestFit="1" customWidth="1"/>
    <col min="771" max="771" width="18.109375" style="27" bestFit="1" customWidth="1"/>
    <col min="772" max="772" width="15.88671875" style="27" bestFit="1" customWidth="1"/>
    <col min="773" max="1024" width="11.44140625" style="27"/>
    <col min="1025" max="1025" width="30.44140625" style="27" customWidth="1"/>
    <col min="1026" max="1026" width="23.33203125" style="27" bestFit="1" customWidth="1"/>
    <col min="1027" max="1027" width="18.109375" style="27" bestFit="1" customWidth="1"/>
    <col min="1028" max="1028" width="15.88671875" style="27" bestFit="1" customWidth="1"/>
    <col min="1029" max="1280" width="11.44140625" style="27"/>
    <col min="1281" max="1281" width="30.44140625" style="27" customWidth="1"/>
    <col min="1282" max="1282" width="23.33203125" style="27" bestFit="1" customWidth="1"/>
    <col min="1283" max="1283" width="18.109375" style="27" bestFit="1" customWidth="1"/>
    <col min="1284" max="1284" width="15.88671875" style="27" bestFit="1" customWidth="1"/>
    <col min="1285" max="1536" width="11.44140625" style="27"/>
    <col min="1537" max="1537" width="30.44140625" style="27" customWidth="1"/>
    <col min="1538" max="1538" width="23.33203125" style="27" bestFit="1" customWidth="1"/>
    <col min="1539" max="1539" width="18.109375" style="27" bestFit="1" customWidth="1"/>
    <col min="1540" max="1540" width="15.88671875" style="27" bestFit="1" customWidth="1"/>
    <col min="1541" max="1792" width="11.44140625" style="27"/>
    <col min="1793" max="1793" width="30.44140625" style="27" customWidth="1"/>
    <col min="1794" max="1794" width="23.33203125" style="27" bestFit="1" customWidth="1"/>
    <col min="1795" max="1795" width="18.109375" style="27" bestFit="1" customWidth="1"/>
    <col min="1796" max="1796" width="15.88671875" style="27" bestFit="1" customWidth="1"/>
    <col min="1797" max="2048" width="11.44140625" style="27"/>
    <col min="2049" max="2049" width="30.44140625" style="27" customWidth="1"/>
    <col min="2050" max="2050" width="23.33203125" style="27" bestFit="1" customWidth="1"/>
    <col min="2051" max="2051" width="18.109375" style="27" bestFit="1" customWidth="1"/>
    <col min="2052" max="2052" width="15.88671875" style="27" bestFit="1" customWidth="1"/>
    <col min="2053" max="2304" width="11.44140625" style="27"/>
    <col min="2305" max="2305" width="30.44140625" style="27" customWidth="1"/>
    <col min="2306" max="2306" width="23.33203125" style="27" bestFit="1" customWidth="1"/>
    <col min="2307" max="2307" width="18.109375" style="27" bestFit="1" customWidth="1"/>
    <col min="2308" max="2308" width="15.88671875" style="27" bestFit="1" customWidth="1"/>
    <col min="2309" max="2560" width="11.44140625" style="27"/>
    <col min="2561" max="2561" width="30.44140625" style="27" customWidth="1"/>
    <col min="2562" max="2562" width="23.33203125" style="27" bestFit="1" customWidth="1"/>
    <col min="2563" max="2563" width="18.109375" style="27" bestFit="1" customWidth="1"/>
    <col min="2564" max="2564" width="15.88671875" style="27" bestFit="1" customWidth="1"/>
    <col min="2565" max="2816" width="11.44140625" style="27"/>
    <col min="2817" max="2817" width="30.44140625" style="27" customWidth="1"/>
    <col min="2818" max="2818" width="23.33203125" style="27" bestFit="1" customWidth="1"/>
    <col min="2819" max="2819" width="18.109375" style="27" bestFit="1" customWidth="1"/>
    <col min="2820" max="2820" width="15.88671875" style="27" bestFit="1" customWidth="1"/>
    <col min="2821" max="3072" width="11.44140625" style="27"/>
    <col min="3073" max="3073" width="30.44140625" style="27" customWidth="1"/>
    <col min="3074" max="3074" width="23.33203125" style="27" bestFit="1" customWidth="1"/>
    <col min="3075" max="3075" width="18.109375" style="27" bestFit="1" customWidth="1"/>
    <col min="3076" max="3076" width="15.88671875" style="27" bestFit="1" customWidth="1"/>
    <col min="3077" max="3328" width="11.44140625" style="27"/>
    <col min="3329" max="3329" width="30.44140625" style="27" customWidth="1"/>
    <col min="3330" max="3330" width="23.33203125" style="27" bestFit="1" customWidth="1"/>
    <col min="3331" max="3331" width="18.109375" style="27" bestFit="1" customWidth="1"/>
    <col min="3332" max="3332" width="15.88671875" style="27" bestFit="1" customWidth="1"/>
    <col min="3333" max="3584" width="11.44140625" style="27"/>
    <col min="3585" max="3585" width="30.44140625" style="27" customWidth="1"/>
    <col min="3586" max="3586" width="23.33203125" style="27" bestFit="1" customWidth="1"/>
    <col min="3587" max="3587" width="18.109375" style="27" bestFit="1" customWidth="1"/>
    <col min="3588" max="3588" width="15.88671875" style="27" bestFit="1" customWidth="1"/>
    <col min="3589" max="3840" width="11.44140625" style="27"/>
    <col min="3841" max="3841" width="30.44140625" style="27" customWidth="1"/>
    <col min="3842" max="3842" width="23.33203125" style="27" bestFit="1" customWidth="1"/>
    <col min="3843" max="3843" width="18.109375" style="27" bestFit="1" customWidth="1"/>
    <col min="3844" max="3844" width="15.88671875" style="27" bestFit="1" customWidth="1"/>
    <col min="3845" max="4096" width="11.44140625" style="27"/>
    <col min="4097" max="4097" width="30.44140625" style="27" customWidth="1"/>
    <col min="4098" max="4098" width="23.33203125" style="27" bestFit="1" customWidth="1"/>
    <col min="4099" max="4099" width="18.109375" style="27" bestFit="1" customWidth="1"/>
    <col min="4100" max="4100" width="15.88671875" style="27" bestFit="1" customWidth="1"/>
    <col min="4101" max="4352" width="11.44140625" style="27"/>
    <col min="4353" max="4353" width="30.44140625" style="27" customWidth="1"/>
    <col min="4354" max="4354" width="23.33203125" style="27" bestFit="1" customWidth="1"/>
    <col min="4355" max="4355" width="18.109375" style="27" bestFit="1" customWidth="1"/>
    <col min="4356" max="4356" width="15.88671875" style="27" bestFit="1" customWidth="1"/>
    <col min="4357" max="4608" width="11.44140625" style="27"/>
    <col min="4609" max="4609" width="30.44140625" style="27" customWidth="1"/>
    <col min="4610" max="4610" width="23.33203125" style="27" bestFit="1" customWidth="1"/>
    <col min="4611" max="4611" width="18.109375" style="27" bestFit="1" customWidth="1"/>
    <col min="4612" max="4612" width="15.88671875" style="27" bestFit="1" customWidth="1"/>
    <col min="4613" max="4864" width="11.44140625" style="27"/>
    <col min="4865" max="4865" width="30.44140625" style="27" customWidth="1"/>
    <col min="4866" max="4866" width="23.33203125" style="27" bestFit="1" customWidth="1"/>
    <col min="4867" max="4867" width="18.109375" style="27" bestFit="1" customWidth="1"/>
    <col min="4868" max="4868" width="15.88671875" style="27" bestFit="1" customWidth="1"/>
    <col min="4869" max="5120" width="11.44140625" style="27"/>
    <col min="5121" max="5121" width="30.44140625" style="27" customWidth="1"/>
    <col min="5122" max="5122" width="23.33203125" style="27" bestFit="1" customWidth="1"/>
    <col min="5123" max="5123" width="18.109375" style="27" bestFit="1" customWidth="1"/>
    <col min="5124" max="5124" width="15.88671875" style="27" bestFit="1" customWidth="1"/>
    <col min="5125" max="5376" width="11.44140625" style="27"/>
    <col min="5377" max="5377" width="30.44140625" style="27" customWidth="1"/>
    <col min="5378" max="5378" width="23.33203125" style="27" bestFit="1" customWidth="1"/>
    <col min="5379" max="5379" width="18.109375" style="27" bestFit="1" customWidth="1"/>
    <col min="5380" max="5380" width="15.88671875" style="27" bestFit="1" customWidth="1"/>
    <col min="5381" max="5632" width="11.44140625" style="27"/>
    <col min="5633" max="5633" width="30.44140625" style="27" customWidth="1"/>
    <col min="5634" max="5634" width="23.33203125" style="27" bestFit="1" customWidth="1"/>
    <col min="5635" max="5635" width="18.109375" style="27" bestFit="1" customWidth="1"/>
    <col min="5636" max="5636" width="15.88671875" style="27" bestFit="1" customWidth="1"/>
    <col min="5637" max="5888" width="11.44140625" style="27"/>
    <col min="5889" max="5889" width="30.44140625" style="27" customWidth="1"/>
    <col min="5890" max="5890" width="23.33203125" style="27" bestFit="1" customWidth="1"/>
    <col min="5891" max="5891" width="18.109375" style="27" bestFit="1" customWidth="1"/>
    <col min="5892" max="5892" width="15.88671875" style="27" bestFit="1" customWidth="1"/>
    <col min="5893" max="6144" width="11.44140625" style="27"/>
    <col min="6145" max="6145" width="30.44140625" style="27" customWidth="1"/>
    <col min="6146" max="6146" width="23.33203125" style="27" bestFit="1" customWidth="1"/>
    <col min="6147" max="6147" width="18.109375" style="27" bestFit="1" customWidth="1"/>
    <col min="6148" max="6148" width="15.88671875" style="27" bestFit="1" customWidth="1"/>
    <col min="6149" max="6400" width="11.44140625" style="27"/>
    <col min="6401" max="6401" width="30.44140625" style="27" customWidth="1"/>
    <col min="6402" max="6402" width="23.33203125" style="27" bestFit="1" customWidth="1"/>
    <col min="6403" max="6403" width="18.109375" style="27" bestFit="1" customWidth="1"/>
    <col min="6404" max="6404" width="15.88671875" style="27" bestFit="1" customWidth="1"/>
    <col min="6405" max="6656" width="11.44140625" style="27"/>
    <col min="6657" max="6657" width="30.44140625" style="27" customWidth="1"/>
    <col min="6658" max="6658" width="23.33203125" style="27" bestFit="1" customWidth="1"/>
    <col min="6659" max="6659" width="18.109375" style="27" bestFit="1" customWidth="1"/>
    <col min="6660" max="6660" width="15.88671875" style="27" bestFit="1" customWidth="1"/>
    <col min="6661" max="6912" width="11.44140625" style="27"/>
    <col min="6913" max="6913" width="30.44140625" style="27" customWidth="1"/>
    <col min="6914" max="6914" width="23.33203125" style="27" bestFit="1" customWidth="1"/>
    <col min="6915" max="6915" width="18.109375" style="27" bestFit="1" customWidth="1"/>
    <col min="6916" max="6916" width="15.88671875" style="27" bestFit="1" customWidth="1"/>
    <col min="6917" max="7168" width="11.44140625" style="27"/>
    <col min="7169" max="7169" width="30.44140625" style="27" customWidth="1"/>
    <col min="7170" max="7170" width="23.33203125" style="27" bestFit="1" customWidth="1"/>
    <col min="7171" max="7171" width="18.109375" style="27" bestFit="1" customWidth="1"/>
    <col min="7172" max="7172" width="15.88671875" style="27" bestFit="1" customWidth="1"/>
    <col min="7173" max="7424" width="11.44140625" style="27"/>
    <col min="7425" max="7425" width="30.44140625" style="27" customWidth="1"/>
    <col min="7426" max="7426" width="23.33203125" style="27" bestFit="1" customWidth="1"/>
    <col min="7427" max="7427" width="18.109375" style="27" bestFit="1" customWidth="1"/>
    <col min="7428" max="7428" width="15.88671875" style="27" bestFit="1" customWidth="1"/>
    <col min="7429" max="7680" width="11.44140625" style="27"/>
    <col min="7681" max="7681" width="30.44140625" style="27" customWidth="1"/>
    <col min="7682" max="7682" width="23.33203125" style="27" bestFit="1" customWidth="1"/>
    <col min="7683" max="7683" width="18.109375" style="27" bestFit="1" customWidth="1"/>
    <col min="7684" max="7684" width="15.88671875" style="27" bestFit="1" customWidth="1"/>
    <col min="7685" max="7936" width="11.44140625" style="27"/>
    <col min="7937" max="7937" width="30.44140625" style="27" customWidth="1"/>
    <col min="7938" max="7938" width="23.33203125" style="27" bestFit="1" customWidth="1"/>
    <col min="7939" max="7939" width="18.109375" style="27" bestFit="1" customWidth="1"/>
    <col min="7940" max="7940" width="15.88671875" style="27" bestFit="1" customWidth="1"/>
    <col min="7941" max="8192" width="11.44140625" style="27"/>
    <col min="8193" max="8193" width="30.44140625" style="27" customWidth="1"/>
    <col min="8194" max="8194" width="23.33203125" style="27" bestFit="1" customWidth="1"/>
    <col min="8195" max="8195" width="18.109375" style="27" bestFit="1" customWidth="1"/>
    <col min="8196" max="8196" width="15.88671875" style="27" bestFit="1" customWidth="1"/>
    <col min="8197" max="8448" width="11.44140625" style="27"/>
    <col min="8449" max="8449" width="30.44140625" style="27" customWidth="1"/>
    <col min="8450" max="8450" width="23.33203125" style="27" bestFit="1" customWidth="1"/>
    <col min="8451" max="8451" width="18.109375" style="27" bestFit="1" customWidth="1"/>
    <col min="8452" max="8452" width="15.88671875" style="27" bestFit="1" customWidth="1"/>
    <col min="8453" max="8704" width="11.44140625" style="27"/>
    <col min="8705" max="8705" width="30.44140625" style="27" customWidth="1"/>
    <col min="8706" max="8706" width="23.33203125" style="27" bestFit="1" customWidth="1"/>
    <col min="8707" max="8707" width="18.109375" style="27" bestFit="1" customWidth="1"/>
    <col min="8708" max="8708" width="15.88671875" style="27" bestFit="1" customWidth="1"/>
    <col min="8709" max="8960" width="11.44140625" style="27"/>
    <col min="8961" max="8961" width="30.44140625" style="27" customWidth="1"/>
    <col min="8962" max="8962" width="23.33203125" style="27" bestFit="1" customWidth="1"/>
    <col min="8963" max="8963" width="18.109375" style="27" bestFit="1" customWidth="1"/>
    <col min="8964" max="8964" width="15.88671875" style="27" bestFit="1" customWidth="1"/>
    <col min="8965" max="9216" width="11.44140625" style="27"/>
    <col min="9217" max="9217" width="30.44140625" style="27" customWidth="1"/>
    <col min="9218" max="9218" width="23.33203125" style="27" bestFit="1" customWidth="1"/>
    <col min="9219" max="9219" width="18.109375" style="27" bestFit="1" customWidth="1"/>
    <col min="9220" max="9220" width="15.88671875" style="27" bestFit="1" customWidth="1"/>
    <col min="9221" max="9472" width="11.44140625" style="27"/>
    <col min="9473" max="9473" width="30.44140625" style="27" customWidth="1"/>
    <col min="9474" max="9474" width="23.33203125" style="27" bestFit="1" customWidth="1"/>
    <col min="9475" max="9475" width="18.109375" style="27" bestFit="1" customWidth="1"/>
    <col min="9476" max="9476" width="15.88671875" style="27" bestFit="1" customWidth="1"/>
    <col min="9477" max="9728" width="11.44140625" style="27"/>
    <col min="9729" max="9729" width="30.44140625" style="27" customWidth="1"/>
    <col min="9730" max="9730" width="23.33203125" style="27" bestFit="1" customWidth="1"/>
    <col min="9731" max="9731" width="18.109375" style="27" bestFit="1" customWidth="1"/>
    <col min="9732" max="9732" width="15.88671875" style="27" bestFit="1" customWidth="1"/>
    <col min="9733" max="9984" width="11.44140625" style="27"/>
    <col min="9985" max="9985" width="30.44140625" style="27" customWidth="1"/>
    <col min="9986" max="9986" width="23.33203125" style="27" bestFit="1" customWidth="1"/>
    <col min="9987" max="9987" width="18.109375" style="27" bestFit="1" customWidth="1"/>
    <col min="9988" max="9988" width="15.88671875" style="27" bestFit="1" customWidth="1"/>
    <col min="9989" max="10240" width="11.44140625" style="27"/>
    <col min="10241" max="10241" width="30.44140625" style="27" customWidth="1"/>
    <col min="10242" max="10242" width="23.33203125" style="27" bestFit="1" customWidth="1"/>
    <col min="10243" max="10243" width="18.109375" style="27" bestFit="1" customWidth="1"/>
    <col min="10244" max="10244" width="15.88671875" style="27" bestFit="1" customWidth="1"/>
    <col min="10245" max="10496" width="11.44140625" style="27"/>
    <col min="10497" max="10497" width="30.44140625" style="27" customWidth="1"/>
    <col min="10498" max="10498" width="23.33203125" style="27" bestFit="1" customWidth="1"/>
    <col min="10499" max="10499" width="18.109375" style="27" bestFit="1" customWidth="1"/>
    <col min="10500" max="10500" width="15.88671875" style="27" bestFit="1" customWidth="1"/>
    <col min="10501" max="10752" width="11.44140625" style="27"/>
    <col min="10753" max="10753" width="30.44140625" style="27" customWidth="1"/>
    <col min="10754" max="10754" width="23.33203125" style="27" bestFit="1" customWidth="1"/>
    <col min="10755" max="10755" width="18.109375" style="27" bestFit="1" customWidth="1"/>
    <col min="10756" max="10756" width="15.88671875" style="27" bestFit="1" customWidth="1"/>
    <col min="10757" max="11008" width="11.44140625" style="27"/>
    <col min="11009" max="11009" width="30.44140625" style="27" customWidth="1"/>
    <col min="11010" max="11010" width="23.33203125" style="27" bestFit="1" customWidth="1"/>
    <col min="11011" max="11011" width="18.109375" style="27" bestFit="1" customWidth="1"/>
    <col min="11012" max="11012" width="15.88671875" style="27" bestFit="1" customWidth="1"/>
    <col min="11013" max="11264" width="11.44140625" style="27"/>
    <col min="11265" max="11265" width="30.44140625" style="27" customWidth="1"/>
    <col min="11266" max="11266" width="23.33203125" style="27" bestFit="1" customWidth="1"/>
    <col min="11267" max="11267" width="18.109375" style="27" bestFit="1" customWidth="1"/>
    <col min="11268" max="11268" width="15.88671875" style="27" bestFit="1" customWidth="1"/>
    <col min="11269" max="11520" width="11.44140625" style="27"/>
    <col min="11521" max="11521" width="30.44140625" style="27" customWidth="1"/>
    <col min="11522" max="11522" width="23.33203125" style="27" bestFit="1" customWidth="1"/>
    <col min="11523" max="11523" width="18.109375" style="27" bestFit="1" customWidth="1"/>
    <col min="11524" max="11524" width="15.88671875" style="27" bestFit="1" customWidth="1"/>
    <col min="11525" max="11776" width="11.44140625" style="27"/>
    <col min="11777" max="11777" width="30.44140625" style="27" customWidth="1"/>
    <col min="11778" max="11778" width="23.33203125" style="27" bestFit="1" customWidth="1"/>
    <col min="11779" max="11779" width="18.109375" style="27" bestFit="1" customWidth="1"/>
    <col min="11780" max="11780" width="15.88671875" style="27" bestFit="1" customWidth="1"/>
    <col min="11781" max="12032" width="11.44140625" style="27"/>
    <col min="12033" max="12033" width="30.44140625" style="27" customWidth="1"/>
    <col min="12034" max="12034" width="23.33203125" style="27" bestFit="1" customWidth="1"/>
    <col min="12035" max="12035" width="18.109375" style="27" bestFit="1" customWidth="1"/>
    <col min="12036" max="12036" width="15.88671875" style="27" bestFit="1" customWidth="1"/>
    <col min="12037" max="12288" width="11.44140625" style="27"/>
    <col min="12289" max="12289" width="30.44140625" style="27" customWidth="1"/>
    <col min="12290" max="12290" width="23.33203125" style="27" bestFit="1" customWidth="1"/>
    <col min="12291" max="12291" width="18.109375" style="27" bestFit="1" customWidth="1"/>
    <col min="12292" max="12292" width="15.88671875" style="27" bestFit="1" customWidth="1"/>
    <col min="12293" max="12544" width="11.44140625" style="27"/>
    <col min="12545" max="12545" width="30.44140625" style="27" customWidth="1"/>
    <col min="12546" max="12546" width="23.33203125" style="27" bestFit="1" customWidth="1"/>
    <col min="12547" max="12547" width="18.109375" style="27" bestFit="1" customWidth="1"/>
    <col min="12548" max="12548" width="15.88671875" style="27" bestFit="1" customWidth="1"/>
    <col min="12549" max="12800" width="11.44140625" style="27"/>
    <col min="12801" max="12801" width="30.44140625" style="27" customWidth="1"/>
    <col min="12802" max="12802" width="23.33203125" style="27" bestFit="1" customWidth="1"/>
    <col min="12803" max="12803" width="18.109375" style="27" bestFit="1" customWidth="1"/>
    <col min="12804" max="12804" width="15.88671875" style="27" bestFit="1" customWidth="1"/>
    <col min="12805" max="13056" width="11.44140625" style="27"/>
    <col min="13057" max="13057" width="30.44140625" style="27" customWidth="1"/>
    <col min="13058" max="13058" width="23.33203125" style="27" bestFit="1" customWidth="1"/>
    <col min="13059" max="13059" width="18.109375" style="27" bestFit="1" customWidth="1"/>
    <col min="13060" max="13060" width="15.88671875" style="27" bestFit="1" customWidth="1"/>
    <col min="13061" max="13312" width="11.44140625" style="27"/>
    <col min="13313" max="13313" width="30.44140625" style="27" customWidth="1"/>
    <col min="13314" max="13314" width="23.33203125" style="27" bestFit="1" customWidth="1"/>
    <col min="13315" max="13315" width="18.109375" style="27" bestFit="1" customWidth="1"/>
    <col min="13316" max="13316" width="15.88671875" style="27" bestFit="1" customWidth="1"/>
    <col min="13317" max="13568" width="11.44140625" style="27"/>
    <col min="13569" max="13569" width="30.44140625" style="27" customWidth="1"/>
    <col min="13570" max="13570" width="23.33203125" style="27" bestFit="1" customWidth="1"/>
    <col min="13571" max="13571" width="18.109375" style="27" bestFit="1" customWidth="1"/>
    <col min="13572" max="13572" width="15.88671875" style="27" bestFit="1" customWidth="1"/>
    <col min="13573" max="13824" width="11.44140625" style="27"/>
    <col min="13825" max="13825" width="30.44140625" style="27" customWidth="1"/>
    <col min="13826" max="13826" width="23.33203125" style="27" bestFit="1" customWidth="1"/>
    <col min="13827" max="13827" width="18.109375" style="27" bestFit="1" customWidth="1"/>
    <col min="13828" max="13828" width="15.88671875" style="27" bestFit="1" customWidth="1"/>
    <col min="13829" max="14080" width="11.44140625" style="27"/>
    <col min="14081" max="14081" width="30.44140625" style="27" customWidth="1"/>
    <col min="14082" max="14082" width="23.33203125" style="27" bestFit="1" customWidth="1"/>
    <col min="14083" max="14083" width="18.109375" style="27" bestFit="1" customWidth="1"/>
    <col min="14084" max="14084" width="15.88671875" style="27" bestFit="1" customWidth="1"/>
    <col min="14085" max="14336" width="11.44140625" style="27"/>
    <col min="14337" max="14337" width="30.44140625" style="27" customWidth="1"/>
    <col min="14338" max="14338" width="23.33203125" style="27" bestFit="1" customWidth="1"/>
    <col min="14339" max="14339" width="18.109375" style="27" bestFit="1" customWidth="1"/>
    <col min="14340" max="14340" width="15.88671875" style="27" bestFit="1" customWidth="1"/>
    <col min="14341" max="14592" width="11.44140625" style="27"/>
    <col min="14593" max="14593" width="30.44140625" style="27" customWidth="1"/>
    <col min="14594" max="14594" width="23.33203125" style="27" bestFit="1" customWidth="1"/>
    <col min="14595" max="14595" width="18.109375" style="27" bestFit="1" customWidth="1"/>
    <col min="14596" max="14596" width="15.88671875" style="27" bestFit="1" customWidth="1"/>
    <col min="14597" max="14848" width="11.44140625" style="27"/>
    <col min="14849" max="14849" width="30.44140625" style="27" customWidth="1"/>
    <col min="14850" max="14850" width="23.33203125" style="27" bestFit="1" customWidth="1"/>
    <col min="14851" max="14851" width="18.109375" style="27" bestFit="1" customWidth="1"/>
    <col min="14852" max="14852" width="15.88671875" style="27" bestFit="1" customWidth="1"/>
    <col min="14853" max="15104" width="11.44140625" style="27"/>
    <col min="15105" max="15105" width="30.44140625" style="27" customWidth="1"/>
    <col min="15106" max="15106" width="23.33203125" style="27" bestFit="1" customWidth="1"/>
    <col min="15107" max="15107" width="18.109375" style="27" bestFit="1" customWidth="1"/>
    <col min="15108" max="15108" width="15.88671875" style="27" bestFit="1" customWidth="1"/>
    <col min="15109" max="15360" width="11.44140625" style="27"/>
    <col min="15361" max="15361" width="30.44140625" style="27" customWidth="1"/>
    <col min="15362" max="15362" width="23.33203125" style="27" bestFit="1" customWidth="1"/>
    <col min="15363" max="15363" width="18.109375" style="27" bestFit="1" customWidth="1"/>
    <col min="15364" max="15364" width="15.88671875" style="27" bestFit="1" customWidth="1"/>
    <col min="15365" max="15616" width="11.44140625" style="27"/>
    <col min="15617" max="15617" width="30.44140625" style="27" customWidth="1"/>
    <col min="15618" max="15618" width="23.33203125" style="27" bestFit="1" customWidth="1"/>
    <col min="15619" max="15619" width="18.109375" style="27" bestFit="1" customWidth="1"/>
    <col min="15620" max="15620" width="15.88671875" style="27" bestFit="1" customWidth="1"/>
    <col min="15621" max="15872" width="11.44140625" style="27"/>
    <col min="15873" max="15873" width="30.44140625" style="27" customWidth="1"/>
    <col min="15874" max="15874" width="23.33203125" style="27" bestFit="1" customWidth="1"/>
    <col min="15875" max="15875" width="18.109375" style="27" bestFit="1" customWidth="1"/>
    <col min="15876" max="15876" width="15.88671875" style="27" bestFit="1" customWidth="1"/>
    <col min="15877" max="16128" width="11.44140625" style="27"/>
    <col min="16129" max="16129" width="30.44140625" style="27" customWidth="1"/>
    <col min="16130" max="16130" width="23.33203125" style="27" bestFit="1" customWidth="1"/>
    <col min="16131" max="16131" width="18.109375" style="27" bestFit="1" customWidth="1"/>
    <col min="16132" max="16132" width="15.88671875" style="27" bestFit="1" customWidth="1"/>
    <col min="16133" max="16384" width="11.44140625" style="27"/>
  </cols>
  <sheetData>
    <row r="2" spans="1:14" ht="15" customHeight="1" x14ac:dyDescent="0.3">
      <c r="A2" s="160" t="s">
        <v>1912</v>
      </c>
      <c r="B2" s="160"/>
      <c r="C2" s="160"/>
      <c r="D2" s="160"/>
      <c r="E2" s="160"/>
      <c r="F2" s="161"/>
      <c r="G2" s="24"/>
    </row>
    <row r="3" spans="1:14" ht="15" customHeight="1" x14ac:dyDescent="0.3">
      <c r="A3" s="160" t="s">
        <v>1913</v>
      </c>
      <c r="B3" s="160"/>
      <c r="C3" s="160"/>
      <c r="D3" s="160"/>
      <c r="E3" s="160"/>
      <c r="F3" s="161"/>
      <c r="G3" s="24"/>
    </row>
    <row r="4" spans="1:14" ht="15" customHeight="1" x14ac:dyDescent="0.3">
      <c r="A4" s="160" t="s">
        <v>1914</v>
      </c>
      <c r="B4" s="160"/>
      <c r="C4" s="160"/>
      <c r="D4" s="160"/>
      <c r="E4" s="160"/>
      <c r="F4" s="161"/>
      <c r="G4" s="24"/>
    </row>
    <row r="5" spans="1:14" ht="15" customHeight="1" x14ac:dyDescent="0.3">
      <c r="A5" s="160" t="s">
        <v>1915</v>
      </c>
      <c r="B5" s="160"/>
      <c r="C5" s="160"/>
      <c r="D5" s="160"/>
      <c r="E5" s="160"/>
      <c r="F5" s="161"/>
      <c r="G5" s="24"/>
    </row>
    <row r="6" spans="1:14" s="32" customFormat="1" ht="25.5" customHeight="1" x14ac:dyDescent="0.3">
      <c r="A6" s="28" t="s">
        <v>1916</v>
      </c>
      <c r="B6" s="29" t="s">
        <v>1917</v>
      </c>
      <c r="C6" s="30" t="s">
        <v>1918</v>
      </c>
      <c r="D6" s="30" t="s">
        <v>1919</v>
      </c>
      <c r="E6" s="31" t="s">
        <v>1920</v>
      </c>
      <c r="F6" s="30" t="s">
        <v>1921</v>
      </c>
      <c r="H6" s="33"/>
      <c r="I6" s="34"/>
      <c r="J6" s="33"/>
      <c r="K6" s="33"/>
      <c r="L6" s="33"/>
      <c r="M6" s="33"/>
      <c r="N6" s="33"/>
    </row>
    <row r="7" spans="1:14" ht="26.4" x14ac:dyDescent="0.3">
      <c r="A7" s="35">
        <v>20</v>
      </c>
      <c r="B7" s="36" t="s">
        <v>1922</v>
      </c>
      <c r="C7" s="37">
        <f>MROUND('[1]F Y U 2024 Presupuesto'!C7,1000)</f>
        <v>32803406000</v>
      </c>
      <c r="D7" s="38"/>
      <c r="E7" s="38"/>
      <c r="F7" s="39">
        <f>+C7</f>
        <v>32803406000</v>
      </c>
      <c r="G7" s="24"/>
    </row>
    <row r="8" spans="1:14" ht="26.4" x14ac:dyDescent="0.3">
      <c r="A8" s="40">
        <v>20</v>
      </c>
      <c r="B8" s="36" t="s">
        <v>1923</v>
      </c>
      <c r="C8" s="37">
        <f>MROUND('[1]F Y U 2024 Presupuesto'!C8,1000)</f>
        <v>1478804000</v>
      </c>
      <c r="D8" s="38"/>
      <c r="E8" s="38"/>
      <c r="F8" s="38">
        <f>+C8</f>
        <v>1478804000</v>
      </c>
      <c r="G8" s="162" t="s">
        <v>1924</v>
      </c>
    </row>
    <row r="9" spans="1:14" ht="26.4" x14ac:dyDescent="0.3">
      <c r="A9" s="41">
        <v>20</v>
      </c>
      <c r="B9" s="36" t="s">
        <v>1925</v>
      </c>
      <c r="C9" s="37">
        <f>MROUND('[1]F Y U 2024 Presupuesto'!C9,1000)</f>
        <v>7607895000</v>
      </c>
      <c r="D9" s="38"/>
      <c r="E9" s="38"/>
      <c r="F9" s="38">
        <f>+C9</f>
        <v>7607895000</v>
      </c>
      <c r="G9" s="162"/>
      <c r="H9" s="25">
        <f>+C10+C11+C12+C13+C14</f>
        <v>28774686000</v>
      </c>
      <c r="I9" s="26">
        <f>+H9*0.04</f>
        <v>1150987440</v>
      </c>
      <c r="J9" s="25">
        <f>+C12</f>
        <v>1150987000</v>
      </c>
    </row>
    <row r="10" spans="1:14" ht="14.4" x14ac:dyDescent="0.3">
      <c r="A10" s="41">
        <v>20</v>
      </c>
      <c r="B10" s="36" t="s">
        <v>1926</v>
      </c>
      <c r="C10" s="37">
        <f>MROUND('[1]F Y U 2024 Presupuesto'!C10,1000)</f>
        <v>17264812000</v>
      </c>
      <c r="D10" s="42"/>
      <c r="E10" s="38"/>
      <c r="F10" s="38">
        <f>+C10</f>
        <v>17264812000</v>
      </c>
      <c r="I10" s="26">
        <f>+H9*0.06</f>
        <v>1726481160</v>
      </c>
      <c r="J10" s="25">
        <f>+C13</f>
        <v>1726481000</v>
      </c>
    </row>
    <row r="11" spans="1:14" ht="14.4" x14ac:dyDescent="0.3">
      <c r="A11" s="41">
        <v>1</v>
      </c>
      <c r="B11" s="36" t="s">
        <v>1927</v>
      </c>
      <c r="C11" s="37">
        <f>MROUND('[1]F Y U 2024 Presupuesto'!C11,1000)</f>
        <v>5754937000</v>
      </c>
      <c r="D11" s="42"/>
      <c r="E11" s="43">
        <f>+C11</f>
        <v>5754937000</v>
      </c>
      <c r="F11" s="39"/>
      <c r="G11" s="24"/>
      <c r="I11" s="26">
        <f>+H9*0.1</f>
        <v>2877468600</v>
      </c>
      <c r="J11" s="25">
        <f>+C14</f>
        <v>2877469000</v>
      </c>
    </row>
    <row r="12" spans="1:14" ht="14.4" x14ac:dyDescent="0.3">
      <c r="A12" s="41">
        <v>52</v>
      </c>
      <c r="B12" s="36" t="s">
        <v>1928</v>
      </c>
      <c r="C12" s="37">
        <f>MROUND('[1]F Y U 2024 Presupuesto'!C12,1000)</f>
        <v>1150987000</v>
      </c>
      <c r="D12" s="38">
        <f>+C12</f>
        <v>1150987000</v>
      </c>
      <c r="E12" s="38"/>
      <c r="F12" s="39"/>
      <c r="G12" s="24"/>
      <c r="I12" s="26">
        <f>+H9*0.2</f>
        <v>5754937200</v>
      </c>
      <c r="J12" s="25">
        <f>+C11</f>
        <v>5754937000</v>
      </c>
    </row>
    <row r="13" spans="1:14" ht="14.4" x14ac:dyDescent="0.3">
      <c r="A13" s="41">
        <v>53</v>
      </c>
      <c r="B13" s="36" t="s">
        <v>1929</v>
      </c>
      <c r="C13" s="37">
        <f>MROUND('[1]F Y U 2024 Presupuesto'!C13,1000)</f>
        <v>1726481000</v>
      </c>
      <c r="D13" s="38"/>
      <c r="E13" s="43">
        <f>+C13</f>
        <v>1726481000</v>
      </c>
      <c r="F13" s="38"/>
    </row>
    <row r="14" spans="1:14" ht="26.4" x14ac:dyDescent="0.3">
      <c r="A14" s="41">
        <v>13</v>
      </c>
      <c r="B14" s="36" t="s">
        <v>1930</v>
      </c>
      <c r="C14" s="37">
        <f>MROUND('[1]F Y U 2024 Presupuesto'!C14,1000)</f>
        <v>2877469000</v>
      </c>
      <c r="D14" s="38"/>
      <c r="E14" s="38">
        <f>+C14</f>
        <v>2877469000</v>
      </c>
      <c r="F14" s="39"/>
      <c r="G14" s="24"/>
    </row>
    <row r="15" spans="1:14" ht="26.4" x14ac:dyDescent="0.3">
      <c r="A15" s="41">
        <v>145</v>
      </c>
      <c r="B15" s="36" t="s">
        <v>1931</v>
      </c>
      <c r="C15" s="37">
        <f>MROUND('[1]F Y U 2024 Presupuesto'!C15,1000)</f>
        <v>233083000</v>
      </c>
      <c r="D15" s="38"/>
      <c r="E15" s="43">
        <f>+C15</f>
        <v>233083000</v>
      </c>
      <c r="F15" s="39"/>
      <c r="G15" s="24"/>
    </row>
    <row r="16" spans="1:14" ht="14.4" x14ac:dyDescent="0.3">
      <c r="A16" s="41">
        <v>20</v>
      </c>
      <c r="B16" s="36" t="s">
        <v>1932</v>
      </c>
      <c r="C16" s="37">
        <f>MROUND('[1]F Y U 2024 Presupuesto'!C16,1000)</f>
        <v>4661652000</v>
      </c>
      <c r="D16" s="38"/>
      <c r="E16" s="38"/>
      <c r="F16" s="39">
        <f>+C16</f>
        <v>4661652000</v>
      </c>
      <c r="G16" s="24"/>
    </row>
    <row r="17" spans="1:20" ht="14.4" x14ac:dyDescent="0.3">
      <c r="A17" s="41">
        <v>20</v>
      </c>
      <c r="B17" s="36" t="s">
        <v>1933</v>
      </c>
      <c r="C17" s="37">
        <f>MROUND('[1]F Y U 2024 Presupuesto'!C17,1000)</f>
        <v>21471737000</v>
      </c>
      <c r="D17" s="38"/>
      <c r="E17" s="38"/>
      <c r="F17" s="39">
        <f>+C17</f>
        <v>21471737000</v>
      </c>
      <c r="G17" s="24"/>
    </row>
    <row r="18" spans="1:20" ht="26.4" x14ac:dyDescent="0.3">
      <c r="A18" s="41">
        <v>20</v>
      </c>
      <c r="B18" s="36" t="s">
        <v>1934</v>
      </c>
      <c r="C18" s="37">
        <f>MROUND('[1]F Y U 2024 Presupuesto'!C18,1000)</f>
        <v>14173023000</v>
      </c>
      <c r="D18" s="38"/>
      <c r="E18" s="38"/>
      <c r="F18" s="39">
        <f>+C18</f>
        <v>14173023000</v>
      </c>
      <c r="G18" s="24"/>
    </row>
    <row r="19" spans="1:20" ht="26.4" x14ac:dyDescent="0.3">
      <c r="A19" s="41">
        <v>20</v>
      </c>
      <c r="B19" s="36" t="s">
        <v>1935</v>
      </c>
      <c r="C19" s="37">
        <f>MROUND('[1]F Y U 2024 Presupuesto'!C19,1000)</f>
        <v>763018000</v>
      </c>
      <c r="D19" s="38"/>
      <c r="E19" s="38"/>
      <c r="F19" s="39">
        <f>+C19</f>
        <v>763018000</v>
      </c>
      <c r="G19" s="24"/>
      <c r="J19" s="25">
        <f>1296000000+1627500000+3158923248</f>
        <v>6082423248</v>
      </c>
    </row>
    <row r="20" spans="1:20" ht="26.25" customHeight="1" x14ac:dyDescent="0.3">
      <c r="A20" s="41">
        <v>20</v>
      </c>
      <c r="B20" s="36" t="s">
        <v>1936</v>
      </c>
      <c r="C20" s="37">
        <f>MROUND('[1]F Y U 2024 Presupuesto'!C20,1000)</f>
        <v>11867811000</v>
      </c>
      <c r="D20" s="38"/>
      <c r="E20" s="38"/>
      <c r="F20" s="38">
        <f>+C20</f>
        <v>11867811000</v>
      </c>
    </row>
    <row r="21" spans="1:20" ht="14.4" x14ac:dyDescent="0.3">
      <c r="A21" s="41">
        <v>4</v>
      </c>
      <c r="B21" s="36" t="s">
        <v>1937</v>
      </c>
      <c r="C21" s="37">
        <f>MROUND('[1]F Y U 2024 Presupuesto'!C21,1000)</f>
        <v>7519723000</v>
      </c>
      <c r="D21" s="42">
        <f>+C21</f>
        <v>7519723000</v>
      </c>
      <c r="E21" s="38"/>
      <c r="F21" s="38"/>
      <c r="H21" s="25">
        <v>15039446000</v>
      </c>
      <c r="K21" s="25">
        <f t="shared" ref="K21:K25" si="0">MROUND(H21,1000)</f>
        <v>15039446000</v>
      </c>
      <c r="L21" s="25">
        <f>+H21-K21</f>
        <v>0</v>
      </c>
    </row>
    <row r="22" spans="1:20" ht="26.4" x14ac:dyDescent="0.3">
      <c r="A22" s="41">
        <v>176</v>
      </c>
      <c r="B22" s="36" t="s">
        <v>1938</v>
      </c>
      <c r="C22" s="37">
        <v>3007889000</v>
      </c>
      <c r="D22" s="38"/>
      <c r="E22" s="38">
        <f>+C22</f>
        <v>3007889000</v>
      </c>
      <c r="F22" s="39"/>
      <c r="G22" s="24"/>
      <c r="H22" s="25">
        <v>7519723000</v>
      </c>
      <c r="I22" s="26">
        <f>+C21</f>
        <v>7519723000</v>
      </c>
      <c r="J22" s="25">
        <f>+I22-H22</f>
        <v>0</v>
      </c>
      <c r="K22" s="25">
        <f t="shared" si="0"/>
        <v>7519723000</v>
      </c>
      <c r="L22" s="25">
        <f>+I22-K22</f>
        <v>0</v>
      </c>
    </row>
    <row r="23" spans="1:20" ht="26.4" x14ac:dyDescent="0.3">
      <c r="A23" s="41">
        <v>177</v>
      </c>
      <c r="B23" s="36" t="s">
        <v>1939</v>
      </c>
      <c r="C23" s="37">
        <v>4511834000</v>
      </c>
      <c r="D23" s="42"/>
      <c r="E23" s="43">
        <f>+C23</f>
        <v>4511834000</v>
      </c>
      <c r="F23" s="38"/>
      <c r="H23" s="25">
        <v>4511834000</v>
      </c>
      <c r="I23" s="26">
        <f>+C22</f>
        <v>3007889000</v>
      </c>
      <c r="J23" s="25">
        <f t="shared" ref="J23:J24" si="1">+I23-H23</f>
        <v>-1503945000</v>
      </c>
      <c r="K23" s="25">
        <f t="shared" si="0"/>
        <v>4511834000</v>
      </c>
      <c r="L23" s="25">
        <f t="shared" ref="L23:L30" si="2">+I23-K23</f>
        <v>-1503945000</v>
      </c>
    </row>
    <row r="24" spans="1:20" ht="14.4" x14ac:dyDescent="0.3">
      <c r="A24" s="41">
        <v>5</v>
      </c>
      <c r="B24" s="36" t="s">
        <v>1940</v>
      </c>
      <c r="C24" s="37">
        <f>MROUND('[1]F Y U 2024 Presupuesto'!C24,1000)</f>
        <v>633364000</v>
      </c>
      <c r="D24" s="38"/>
      <c r="E24" s="38">
        <f>+C24</f>
        <v>633364000</v>
      </c>
      <c r="F24" s="38"/>
      <c r="H24" s="25">
        <v>3007889000</v>
      </c>
      <c r="I24" s="26">
        <f>+C23</f>
        <v>4511834000</v>
      </c>
      <c r="J24" s="25">
        <f t="shared" si="1"/>
        <v>1503945000</v>
      </c>
      <c r="K24" s="25">
        <f t="shared" si="0"/>
        <v>3007889000</v>
      </c>
      <c r="L24" s="25">
        <f t="shared" si="2"/>
        <v>1503945000</v>
      </c>
    </row>
    <row r="25" spans="1:20" ht="26.4" x14ac:dyDescent="0.3">
      <c r="A25" s="41">
        <v>33</v>
      </c>
      <c r="B25" s="36" t="s">
        <v>1941</v>
      </c>
      <c r="C25" s="37">
        <f>MROUND('[1]F Y U 2024 Presupuesto'!C25,1000)</f>
        <v>316682000</v>
      </c>
      <c r="D25" s="38">
        <f>+C25</f>
        <v>316682000</v>
      </c>
      <c r="E25" s="38"/>
      <c r="F25" s="39"/>
      <c r="G25" s="24"/>
      <c r="H25" s="25">
        <f>+C24+C25+C26+C27+C28</f>
        <v>3166821000</v>
      </c>
      <c r="K25" s="25">
        <f t="shared" si="0"/>
        <v>3166821000</v>
      </c>
    </row>
    <row r="26" spans="1:20" ht="14.4" x14ac:dyDescent="0.3">
      <c r="A26" s="41">
        <v>34</v>
      </c>
      <c r="B26" s="36" t="s">
        <v>1942</v>
      </c>
      <c r="C26" s="37">
        <v>316682000</v>
      </c>
      <c r="D26" s="38">
        <f>+C26</f>
        <v>316682000</v>
      </c>
      <c r="E26" s="38"/>
      <c r="F26" s="39"/>
      <c r="G26" s="24"/>
      <c r="H26" s="25">
        <f>+H25*0.1</f>
        <v>316682100</v>
      </c>
      <c r="I26" s="26">
        <v>316682000</v>
      </c>
      <c r="J26" s="25">
        <f>+H26-I26</f>
        <v>100</v>
      </c>
      <c r="K26" s="25">
        <v>316682000</v>
      </c>
      <c r="L26" s="25">
        <f t="shared" si="2"/>
        <v>0</v>
      </c>
    </row>
    <row r="27" spans="1:20" ht="26.4" x14ac:dyDescent="0.3">
      <c r="A27" s="41">
        <v>39</v>
      </c>
      <c r="B27" s="36" t="s">
        <v>1943</v>
      </c>
      <c r="C27" s="37">
        <v>1583411000</v>
      </c>
      <c r="D27" s="38">
        <f>+C27</f>
        <v>1583411000</v>
      </c>
      <c r="E27" s="38"/>
      <c r="F27" s="38"/>
      <c r="H27" s="25">
        <f>+C29+C30</f>
        <v>7497623000</v>
      </c>
      <c r="I27" s="26">
        <v>316816000</v>
      </c>
      <c r="J27" s="25">
        <f t="shared" ref="J27:J30" si="3">+H27-I27</f>
        <v>7180807000</v>
      </c>
      <c r="K27" s="25">
        <v>316682000</v>
      </c>
      <c r="L27" s="25">
        <f t="shared" si="2"/>
        <v>134000</v>
      </c>
    </row>
    <row r="28" spans="1:20" ht="14.4" x14ac:dyDescent="0.3">
      <c r="A28" s="41">
        <v>41</v>
      </c>
      <c r="B28" s="36" t="s">
        <v>1944</v>
      </c>
      <c r="C28" s="37">
        <f>MROUND('[1]F Y U 2024 Presupuesto'!C28,1000)</f>
        <v>316682000</v>
      </c>
      <c r="D28" s="42">
        <f>+C28</f>
        <v>316682000</v>
      </c>
      <c r="E28" s="38"/>
      <c r="F28" s="39"/>
      <c r="G28" s="24"/>
      <c r="H28" s="25">
        <f>+H25*0.1</f>
        <v>316682100</v>
      </c>
      <c r="I28" s="26">
        <v>316682000</v>
      </c>
      <c r="J28" s="25">
        <f t="shared" si="3"/>
        <v>100</v>
      </c>
      <c r="K28" s="25">
        <v>316682000</v>
      </c>
      <c r="L28" s="25">
        <f t="shared" si="2"/>
        <v>0</v>
      </c>
    </row>
    <row r="29" spans="1:20" ht="14.4" x14ac:dyDescent="0.3">
      <c r="A29" s="41">
        <v>6</v>
      </c>
      <c r="B29" s="36" t="s">
        <v>1945</v>
      </c>
      <c r="C29" s="37">
        <f>MROUND('[1]F Y U 2024 Presupuesto'!C29,1000)</f>
        <v>5998098000</v>
      </c>
      <c r="D29" s="38">
        <f>+C29</f>
        <v>5998098000</v>
      </c>
      <c r="E29" s="38"/>
      <c r="F29" s="38"/>
      <c r="H29" s="25">
        <f>+H25*0.2</f>
        <v>633364200</v>
      </c>
      <c r="I29" s="26">
        <v>633364000</v>
      </c>
      <c r="J29" s="25">
        <f t="shared" si="3"/>
        <v>200</v>
      </c>
      <c r="K29" s="25">
        <v>633364000</v>
      </c>
      <c r="L29" s="25">
        <f t="shared" si="2"/>
        <v>0</v>
      </c>
    </row>
    <row r="30" spans="1:20" ht="26.4" x14ac:dyDescent="0.3">
      <c r="A30" s="41">
        <v>178</v>
      </c>
      <c r="B30" s="36" t="s">
        <v>1946</v>
      </c>
      <c r="C30" s="37">
        <f>MROUND('[1]F Y U 2024 Presupuesto'!C30,1000)-T31</f>
        <v>1499525000</v>
      </c>
      <c r="D30" s="38"/>
      <c r="E30" s="38">
        <f>+C30</f>
        <v>1499525000</v>
      </c>
      <c r="F30" s="39"/>
      <c r="G30" s="24"/>
      <c r="H30" s="25">
        <f>+H25*0.5</f>
        <v>1583410500</v>
      </c>
      <c r="I30" s="26">
        <v>1583277000</v>
      </c>
      <c r="J30" s="25">
        <f t="shared" si="3"/>
        <v>133500</v>
      </c>
      <c r="K30" s="25">
        <v>1583411000</v>
      </c>
      <c r="L30" s="25">
        <f t="shared" si="2"/>
        <v>-134000</v>
      </c>
      <c r="O30" s="27">
        <f>MROUND(O31,1000)</f>
        <v>7497623000</v>
      </c>
      <c r="R30" s="44">
        <v>5998098000</v>
      </c>
      <c r="S30" s="27">
        <f>MROUND((O30*0.8),1000)</f>
        <v>5998098000</v>
      </c>
    </row>
    <row r="31" spans="1:20" s="47" customFormat="1" ht="14.4" x14ac:dyDescent="0.3">
      <c r="A31" s="41">
        <v>8</v>
      </c>
      <c r="B31" s="36" t="s">
        <v>1947</v>
      </c>
      <c r="C31" s="37">
        <f>MROUND('[1]F Y U 2024 Presupuesto'!C31,1000)</f>
        <v>12506483000</v>
      </c>
      <c r="D31" s="42"/>
      <c r="E31" s="43">
        <f>+C31</f>
        <v>12506483000</v>
      </c>
      <c r="F31" s="39"/>
      <c r="G31" s="24"/>
      <c r="H31" s="45">
        <f>+C29+C30</f>
        <v>7497623000</v>
      </c>
      <c r="I31" s="46"/>
      <c r="J31" s="45"/>
      <c r="K31" s="25">
        <f t="shared" ref="K31:K33" si="4">MROUND(H31,1000)</f>
        <v>7497623000</v>
      </c>
      <c r="L31" s="45">
        <f>+C29</f>
        <v>5998098000</v>
      </c>
      <c r="M31" s="45">
        <f>+K33-L31</f>
        <v>-5998098000</v>
      </c>
      <c r="N31" s="45"/>
      <c r="O31" s="47">
        <f>+L31/80*100</f>
        <v>7497622500</v>
      </c>
      <c r="P31" s="47">
        <f>+K31-O31</f>
        <v>500</v>
      </c>
      <c r="R31" s="48">
        <v>1498529000</v>
      </c>
      <c r="S31" s="27">
        <f>MROUND((O31*0.2),1000)</f>
        <v>1499525000</v>
      </c>
      <c r="T31" s="47">
        <f>+R31-S31</f>
        <v>-996000</v>
      </c>
    </row>
    <row r="32" spans="1:20" ht="14.4" x14ac:dyDescent="0.3">
      <c r="A32" s="41">
        <v>20</v>
      </c>
      <c r="B32" s="36" t="s">
        <v>1948</v>
      </c>
      <c r="C32" s="37">
        <f>MROUND('[1]F Y U 2024 Presupuesto'!C32,1000)</f>
        <v>40000000</v>
      </c>
      <c r="D32" s="38"/>
      <c r="E32" s="38"/>
      <c r="F32" s="39">
        <f>+C32</f>
        <v>40000000</v>
      </c>
      <c r="G32" s="24"/>
      <c r="H32" s="49"/>
      <c r="K32" s="25">
        <f t="shared" si="4"/>
        <v>0</v>
      </c>
      <c r="L32" s="25">
        <f>+C30</f>
        <v>1499525000</v>
      </c>
      <c r="M32" s="25">
        <f>+K32-L32</f>
        <v>-1499525000</v>
      </c>
      <c r="O32" s="27">
        <f>+O31*0.8</f>
        <v>5998098000</v>
      </c>
      <c r="S32" s="27">
        <f>+S30+S31</f>
        <v>7497623000</v>
      </c>
    </row>
    <row r="33" spans="1:15" ht="14.4" x14ac:dyDescent="0.3">
      <c r="A33" s="41">
        <v>190</v>
      </c>
      <c r="B33" s="36" t="s">
        <v>1949</v>
      </c>
      <c r="C33" s="37">
        <f>MROUND('[1]F Y U 2024 Presupuesto'!C33,1000)</f>
        <v>2082326000</v>
      </c>
      <c r="D33" s="38"/>
      <c r="E33" s="43">
        <f>+C33</f>
        <v>2082326000</v>
      </c>
      <c r="F33" s="39"/>
      <c r="G33" s="24"/>
      <c r="H33" s="49"/>
      <c r="K33" s="25">
        <f t="shared" si="4"/>
        <v>0</v>
      </c>
      <c r="M33" s="25">
        <f>+K33-L31</f>
        <v>-5998098000</v>
      </c>
      <c r="O33" s="27">
        <f>+O31*0.2</f>
        <v>1499524500</v>
      </c>
    </row>
    <row r="34" spans="1:15" ht="14.4" x14ac:dyDescent="0.3">
      <c r="A34" s="41">
        <v>20</v>
      </c>
      <c r="B34" s="36" t="s">
        <v>1950</v>
      </c>
      <c r="C34" s="37">
        <f>MROUND('[1]F Y U 2024 Presupuesto'!C34,1000)</f>
        <v>210000000</v>
      </c>
      <c r="D34" s="38"/>
      <c r="E34" s="38"/>
      <c r="F34" s="39">
        <f>+C34</f>
        <v>210000000</v>
      </c>
      <c r="G34" s="24"/>
    </row>
    <row r="35" spans="1:15" ht="14.4" x14ac:dyDescent="0.3">
      <c r="A35" s="41">
        <v>20</v>
      </c>
      <c r="B35" s="36" t="s">
        <v>1951</v>
      </c>
      <c r="C35" s="37">
        <f>MROUND('[1]F Y U 2024 Presupuesto'!C35,1000)</f>
        <v>40000000</v>
      </c>
      <c r="D35" s="38"/>
      <c r="E35" s="38"/>
      <c r="F35" s="39">
        <f>+C35</f>
        <v>40000000</v>
      </c>
      <c r="G35" s="24" t="s">
        <v>1952</v>
      </c>
    </row>
    <row r="36" spans="1:15" ht="14.4" x14ac:dyDescent="0.3">
      <c r="A36" s="41">
        <v>49</v>
      </c>
      <c r="B36" s="36" t="s">
        <v>1953</v>
      </c>
      <c r="C36" s="37">
        <f>MROUND('[1]F Y U 2024 Presupuesto'!C36,1000)</f>
        <v>726530000</v>
      </c>
      <c r="D36" s="38"/>
      <c r="E36" s="38">
        <f>+C36</f>
        <v>726530000</v>
      </c>
      <c r="F36" s="39"/>
      <c r="G36" s="24"/>
      <c r="H36" s="50" t="s">
        <v>1954</v>
      </c>
    </row>
    <row r="37" spans="1:15" ht="14.4" x14ac:dyDescent="0.3">
      <c r="A37" s="41">
        <v>133</v>
      </c>
      <c r="B37" s="36" t="s">
        <v>1955</v>
      </c>
      <c r="C37" s="37">
        <f>MROUND('[1]F Y U 2024 Presupuesto'!C37,1000)</f>
        <v>8000000000</v>
      </c>
      <c r="D37" s="38"/>
      <c r="E37" s="38">
        <f>C37</f>
        <v>8000000000</v>
      </c>
      <c r="F37" s="39">
        <v>0</v>
      </c>
      <c r="G37" s="24"/>
    </row>
    <row r="38" spans="1:15" ht="14.4" x14ac:dyDescent="0.3">
      <c r="A38" s="41">
        <v>20</v>
      </c>
      <c r="B38" s="36" t="s">
        <v>1956</v>
      </c>
      <c r="C38" s="37">
        <f>MROUND('[1]F Y U 2024 Presupuesto'!C38,1000)</f>
        <v>30000000</v>
      </c>
      <c r="D38" s="38"/>
      <c r="E38" s="38"/>
      <c r="F38" s="39">
        <f>+C38</f>
        <v>30000000</v>
      </c>
      <c r="G38" s="24"/>
    </row>
    <row r="39" spans="1:15" s="47" customFormat="1" ht="14.4" x14ac:dyDescent="0.3">
      <c r="A39" s="41">
        <v>35</v>
      </c>
      <c r="B39" s="36" t="s">
        <v>1957</v>
      </c>
      <c r="C39" s="37">
        <f>MROUND('[1]F Y U 2024 Presupuesto'!C39,1000)</f>
        <v>5174318000</v>
      </c>
      <c r="D39" s="38">
        <f>+C39</f>
        <v>5174318000</v>
      </c>
      <c r="E39" s="38"/>
      <c r="F39" s="39"/>
      <c r="G39" s="24"/>
      <c r="H39" s="45"/>
      <c r="I39" s="46"/>
      <c r="J39" s="45"/>
      <c r="K39" s="45"/>
      <c r="L39" s="45"/>
      <c r="M39" s="45"/>
      <c r="N39" s="45"/>
    </row>
    <row r="40" spans="1:15" s="47" customFormat="1" ht="14.4" x14ac:dyDescent="0.3">
      <c r="A40" s="41">
        <v>179</v>
      </c>
      <c r="B40" s="36" t="s">
        <v>1958</v>
      </c>
      <c r="C40" s="37">
        <f>MROUND('[1]F Y U 2024 Presupuesto'!C40,1000)</f>
        <v>1108110000</v>
      </c>
      <c r="D40" s="38"/>
      <c r="E40" s="43">
        <f>+C40</f>
        <v>1108110000</v>
      </c>
      <c r="F40" s="38"/>
      <c r="G40" s="51"/>
      <c r="H40" s="45">
        <f>+C39+C40+C42</f>
        <v>23283758000</v>
      </c>
      <c r="I40" s="46"/>
      <c r="J40" s="45"/>
      <c r="K40" s="45"/>
      <c r="L40" s="45"/>
      <c r="M40" s="45"/>
      <c r="N40" s="45"/>
    </row>
    <row r="41" spans="1:15" s="47" customFormat="1" ht="14.4" x14ac:dyDescent="0.3">
      <c r="A41" s="41">
        <v>205</v>
      </c>
      <c r="B41" s="36" t="s">
        <v>1959</v>
      </c>
      <c r="C41" s="37">
        <f>MROUND('[1]F Y U 2024 Presupuesto'!C41,1000)</f>
        <v>673000</v>
      </c>
      <c r="D41" s="38"/>
      <c r="E41" s="43">
        <f>+C41</f>
        <v>673000</v>
      </c>
      <c r="F41" s="38"/>
      <c r="G41" s="51"/>
      <c r="H41" s="45"/>
      <c r="I41" s="46"/>
      <c r="J41" s="45"/>
      <c r="K41" s="45"/>
      <c r="L41" s="45"/>
      <c r="M41" s="45"/>
      <c r="N41" s="45"/>
    </row>
    <row r="42" spans="1:15" ht="14.4" x14ac:dyDescent="0.3">
      <c r="A42" s="41">
        <v>20</v>
      </c>
      <c r="B42" s="36" t="s">
        <v>1960</v>
      </c>
      <c r="C42" s="37">
        <f>MROUND('[1]F Y U 2024 Presupuesto'!C42,1000)</f>
        <v>17001330000</v>
      </c>
      <c r="D42" s="38"/>
      <c r="E42" s="38"/>
      <c r="F42" s="38">
        <f>+C42</f>
        <v>17001330000</v>
      </c>
      <c r="G42" s="51"/>
    </row>
    <row r="43" spans="1:15" s="47" customFormat="1" ht="14.4" x14ac:dyDescent="0.3">
      <c r="A43" s="41">
        <v>18</v>
      </c>
      <c r="B43" s="36" t="s">
        <v>1961</v>
      </c>
      <c r="C43" s="37">
        <f>MROUND('[1]F Y U 2024 Presupuesto'!C43,1000)</f>
        <v>681193000</v>
      </c>
      <c r="D43" s="38"/>
      <c r="E43" s="38">
        <f>C43</f>
        <v>681193000</v>
      </c>
      <c r="F43" s="38"/>
      <c r="G43" s="51"/>
      <c r="H43" s="45"/>
      <c r="I43" s="46"/>
      <c r="J43" s="45"/>
      <c r="K43" s="45"/>
      <c r="L43" s="45"/>
      <c r="M43" s="45"/>
      <c r="N43" s="45"/>
    </row>
    <row r="44" spans="1:15" s="47" customFormat="1" ht="26.4" x14ac:dyDescent="0.3">
      <c r="A44" s="41">
        <v>56</v>
      </c>
      <c r="B44" s="36" t="s">
        <v>1962</v>
      </c>
      <c r="C44" s="37">
        <f>MROUND('[1]F Y U 2024 Presupuesto'!C44,1000)</f>
        <v>500000000</v>
      </c>
      <c r="D44" s="38">
        <f>+C44</f>
        <v>500000000</v>
      </c>
      <c r="E44" s="38"/>
      <c r="F44" s="38"/>
      <c r="G44" s="27"/>
      <c r="H44" s="45"/>
      <c r="I44" s="46"/>
      <c r="J44" s="45"/>
      <c r="K44" s="45"/>
      <c r="L44" s="45"/>
      <c r="M44" s="45"/>
      <c r="N44" s="45"/>
    </row>
    <row r="45" spans="1:15" ht="14.4" x14ac:dyDescent="0.3">
      <c r="A45" s="41">
        <v>23</v>
      </c>
      <c r="B45" s="36" t="s">
        <v>1963</v>
      </c>
      <c r="C45" s="37">
        <f>MROUND('[1]F Y U 2024 Presupuesto'!C45,1000)</f>
        <v>697956000</v>
      </c>
      <c r="D45" s="38">
        <f>C45</f>
        <v>697956000</v>
      </c>
      <c r="E45" s="38"/>
      <c r="F45" s="39"/>
      <c r="G45" s="24"/>
    </row>
    <row r="46" spans="1:15" ht="14.4" x14ac:dyDescent="0.3">
      <c r="A46" s="52">
        <v>23</v>
      </c>
      <c r="B46" s="36" t="s">
        <v>1964</v>
      </c>
      <c r="C46" s="37">
        <f>MROUND('[1]F Y U 2024 Presupuesto'!C46,1000)</f>
        <v>2871110000</v>
      </c>
      <c r="D46" s="53">
        <f>C46</f>
        <v>2871110000</v>
      </c>
      <c r="E46" s="53"/>
      <c r="F46" s="39"/>
      <c r="G46" s="24"/>
    </row>
    <row r="47" spans="1:15" ht="14.4" x14ac:dyDescent="0.3">
      <c r="A47" s="52">
        <v>20</v>
      </c>
      <c r="B47" s="36" t="s">
        <v>1965</v>
      </c>
      <c r="C47" s="37">
        <f>MROUND('[1]F Y U 2024 Presupuesto'!C47,1000)</f>
        <v>217044000</v>
      </c>
      <c r="D47" s="53"/>
      <c r="E47" s="53"/>
      <c r="F47" s="39"/>
      <c r="G47" s="24"/>
    </row>
    <row r="48" spans="1:15" ht="14.4" x14ac:dyDescent="0.3">
      <c r="A48" s="52">
        <v>20</v>
      </c>
      <c r="B48" s="36" t="s">
        <v>1966</v>
      </c>
      <c r="C48" s="37">
        <f>MROUND('[1]F Y U 2024 Presupuesto'!C48,1000)</f>
        <v>1000000</v>
      </c>
      <c r="D48" s="53"/>
      <c r="E48" s="53"/>
      <c r="F48" s="39"/>
      <c r="G48" s="24"/>
    </row>
    <row r="49" spans="1:14" ht="14.4" x14ac:dyDescent="0.3">
      <c r="A49" s="52">
        <v>20</v>
      </c>
      <c r="B49" s="36" t="s">
        <v>1967</v>
      </c>
      <c r="C49" s="37">
        <f>MROUND('[1]F Y U 2024 Presupuesto'!C49,1000)</f>
        <v>1000000</v>
      </c>
      <c r="D49" s="53"/>
      <c r="E49" s="53"/>
      <c r="F49" s="39"/>
      <c r="G49" s="24"/>
    </row>
    <row r="50" spans="1:14" ht="14.4" x14ac:dyDescent="0.3">
      <c r="A50" s="52">
        <v>20</v>
      </c>
      <c r="B50" s="36" t="s">
        <v>1968</v>
      </c>
      <c r="C50" s="37">
        <f>MROUND('[1]F Y U 2024 Presupuesto'!C50,1000)</f>
        <v>77643000</v>
      </c>
      <c r="D50" s="53"/>
      <c r="E50" s="53"/>
      <c r="F50" s="39"/>
      <c r="G50" s="24"/>
    </row>
    <row r="51" spans="1:14" ht="14.4" x14ac:dyDescent="0.3">
      <c r="A51" s="52">
        <v>47</v>
      </c>
      <c r="B51" s="54" t="s">
        <v>1969</v>
      </c>
      <c r="C51" s="37">
        <f>MROUND('[1]F Y U 2024 Presupuesto'!C51,1000)</f>
        <v>103859000</v>
      </c>
      <c r="D51" s="53">
        <f>+C51</f>
        <v>103859000</v>
      </c>
      <c r="E51" s="53"/>
      <c r="F51" s="39"/>
      <c r="G51" s="24"/>
    </row>
    <row r="52" spans="1:14" s="47" customFormat="1" ht="21" customHeight="1" x14ac:dyDescent="0.3">
      <c r="A52" s="155" t="s">
        <v>1970</v>
      </c>
      <c r="B52" s="156"/>
      <c r="C52" s="55">
        <f>SUM(C7:C51)</f>
        <v>201609580000</v>
      </c>
      <c r="D52" s="56">
        <f>SUM(D7:D51)</f>
        <v>26549508000</v>
      </c>
      <c r="E52" s="56">
        <f>SUM(E7:E51)</f>
        <v>45349897000</v>
      </c>
      <c r="F52" s="56">
        <f>SUM(F7:F51)</f>
        <v>129413488000</v>
      </c>
      <c r="H52" s="45"/>
      <c r="I52" s="46"/>
      <c r="J52" s="45"/>
      <c r="K52" s="45"/>
      <c r="L52" s="45"/>
      <c r="M52" s="45"/>
      <c r="N52" s="45"/>
    </row>
    <row r="53" spans="1:14" x14ac:dyDescent="0.3">
      <c r="A53" s="57"/>
      <c r="B53" s="58"/>
      <c r="C53" s="59"/>
      <c r="D53" s="60"/>
      <c r="E53" s="61"/>
      <c r="F53" s="62"/>
      <c r="H53" s="63"/>
    </row>
    <row r="54" spans="1:14" ht="26.4" x14ac:dyDescent="0.3">
      <c r="A54" s="41">
        <v>50</v>
      </c>
      <c r="B54" s="36" t="s">
        <v>1971</v>
      </c>
      <c r="C54" s="37">
        <f>MROUND('[1]F Y U 2024 Presupuesto'!C54,1000)</f>
        <v>200000000</v>
      </c>
      <c r="D54" s="38"/>
      <c r="E54" s="38">
        <f>+C54</f>
        <v>200000000</v>
      </c>
      <c r="F54" s="38"/>
      <c r="H54" s="50" t="s">
        <v>1954</v>
      </c>
    </row>
    <row r="55" spans="1:14" ht="14.4" x14ac:dyDescent="0.3">
      <c r="A55" s="41">
        <v>135</v>
      </c>
      <c r="B55" s="36" t="s">
        <v>1972</v>
      </c>
      <c r="C55" s="37">
        <f>MROUND('[1]F Y U 2024 Presupuesto'!C55,1000)</f>
        <v>9000000000</v>
      </c>
      <c r="D55" s="42"/>
      <c r="E55" s="38">
        <f>+C55</f>
        <v>9000000000</v>
      </c>
      <c r="F55" s="39"/>
      <c r="G55" s="24"/>
    </row>
    <row r="56" spans="1:14" ht="14.4" x14ac:dyDescent="0.3">
      <c r="A56" s="41">
        <v>20</v>
      </c>
      <c r="B56" s="36" t="s">
        <v>459</v>
      </c>
      <c r="C56" s="37">
        <f>MROUND('[1]F Y U 2024 Presupuesto'!C56,1000)</f>
        <v>10000000</v>
      </c>
      <c r="D56" s="38"/>
      <c r="E56" s="38"/>
      <c r="F56" s="38">
        <f>+C56</f>
        <v>10000000</v>
      </c>
    </row>
    <row r="57" spans="1:14" ht="26.4" x14ac:dyDescent="0.3">
      <c r="A57" s="41">
        <v>20</v>
      </c>
      <c r="B57" s="36" t="s">
        <v>1973</v>
      </c>
      <c r="C57" s="37">
        <f>MROUND('[1]F Y U 2024 Presupuesto'!C57,1000)</f>
        <v>300000000</v>
      </c>
      <c r="D57" s="38"/>
      <c r="E57" s="38"/>
      <c r="F57" s="38">
        <f>+C57</f>
        <v>300000000</v>
      </c>
    </row>
    <row r="58" spans="1:14" ht="26.4" x14ac:dyDescent="0.3">
      <c r="A58" s="41">
        <v>4</v>
      </c>
      <c r="B58" s="36" t="s">
        <v>1974</v>
      </c>
      <c r="C58" s="37">
        <f>MROUND('[1]F Y U 2024 Presupuesto'!C58,1000)</f>
        <v>20000000</v>
      </c>
      <c r="D58" s="38">
        <f>+C58</f>
        <v>20000000</v>
      </c>
      <c r="E58" s="38"/>
      <c r="F58" s="38"/>
    </row>
    <row r="59" spans="1:14" ht="26.4" x14ac:dyDescent="0.3">
      <c r="A59" s="41">
        <v>176</v>
      </c>
      <c r="B59" s="36" t="s">
        <v>1975</v>
      </c>
      <c r="C59" s="37">
        <f>MROUND('[1]F Y U 2024 Presupuesto'!C59,1000)</f>
        <v>5000000</v>
      </c>
      <c r="D59" s="38"/>
      <c r="E59" s="38">
        <f>+C59</f>
        <v>5000000</v>
      </c>
      <c r="F59" s="38"/>
    </row>
    <row r="60" spans="1:14" ht="26.4" x14ac:dyDescent="0.3">
      <c r="A60" s="41">
        <v>5</v>
      </c>
      <c r="B60" s="36" t="s">
        <v>1976</v>
      </c>
      <c r="C60" s="37">
        <f>MROUND('[1]F Y U 2024 Presupuesto'!C60,1000)</f>
        <v>2000000</v>
      </c>
      <c r="D60" s="38"/>
      <c r="E60" s="38">
        <f>+C60</f>
        <v>2000000</v>
      </c>
      <c r="F60" s="38"/>
    </row>
    <row r="61" spans="1:14" ht="26.4" x14ac:dyDescent="0.3">
      <c r="A61" s="41">
        <v>33</v>
      </c>
      <c r="B61" s="36" t="s">
        <v>1977</v>
      </c>
      <c r="C61" s="37">
        <f>MROUND('[1]F Y U 2024 Presupuesto'!C61,1000)</f>
        <v>1000000</v>
      </c>
      <c r="D61" s="38">
        <f>+C61</f>
        <v>1000000</v>
      </c>
      <c r="E61" s="38"/>
      <c r="F61" s="38"/>
    </row>
    <row r="62" spans="1:14" ht="26.4" x14ac:dyDescent="0.3">
      <c r="A62" s="41">
        <v>34</v>
      </c>
      <c r="B62" s="36" t="s">
        <v>1978</v>
      </c>
      <c r="C62" s="37">
        <f>MROUND('[1]F Y U 2024 Presupuesto'!C62,1000)</f>
        <v>1000000</v>
      </c>
      <c r="D62" s="38">
        <f>+C62</f>
        <v>1000000</v>
      </c>
      <c r="E62" s="38"/>
      <c r="F62" s="38"/>
    </row>
    <row r="63" spans="1:14" ht="26.4" x14ac:dyDescent="0.3">
      <c r="A63" s="41">
        <v>39</v>
      </c>
      <c r="B63" s="36" t="s">
        <v>1979</v>
      </c>
      <c r="C63" s="37">
        <f>MROUND('[1]F Y U 2024 Presupuesto'!C63,1000)</f>
        <v>5000000</v>
      </c>
      <c r="D63" s="38">
        <f>+C63</f>
        <v>5000000</v>
      </c>
      <c r="E63" s="38"/>
      <c r="F63" s="38"/>
    </row>
    <row r="64" spans="1:14" ht="26.4" x14ac:dyDescent="0.3">
      <c r="A64" s="41">
        <v>41</v>
      </c>
      <c r="B64" s="36" t="s">
        <v>1980</v>
      </c>
      <c r="C64" s="37">
        <f>MROUND('[1]F Y U 2024 Presupuesto'!C64,1000)</f>
        <v>1000000</v>
      </c>
      <c r="D64" s="38">
        <f>+C64</f>
        <v>1000000</v>
      </c>
      <c r="E64" s="38"/>
      <c r="F64" s="38"/>
    </row>
    <row r="65" spans="1:14" ht="26.4" x14ac:dyDescent="0.3">
      <c r="A65" s="41">
        <v>6</v>
      </c>
      <c r="B65" s="36" t="s">
        <v>1981</v>
      </c>
      <c r="C65" s="37">
        <f>MROUND('[1]F Y U 2024 Presupuesto'!C65,1000)</f>
        <v>20000000</v>
      </c>
      <c r="D65" s="38">
        <f>+C65</f>
        <v>20000000</v>
      </c>
      <c r="E65" s="38"/>
      <c r="F65" s="38"/>
    </row>
    <row r="66" spans="1:14" ht="26.4" x14ac:dyDescent="0.3">
      <c r="A66" s="41">
        <v>178</v>
      </c>
      <c r="B66" s="36" t="s">
        <v>1982</v>
      </c>
      <c r="C66" s="37">
        <f>MROUND('[1]F Y U 2024 Presupuesto'!C66,1000)+T31</f>
        <v>4004000</v>
      </c>
      <c r="D66" s="38"/>
      <c r="E66" s="38">
        <f>+C66</f>
        <v>4004000</v>
      </c>
      <c r="F66" s="38"/>
    </row>
    <row r="67" spans="1:14" ht="26.4" x14ac:dyDescent="0.3">
      <c r="A67" s="41">
        <v>42</v>
      </c>
      <c r="B67" s="36" t="s">
        <v>1983</v>
      </c>
      <c r="C67" s="37">
        <f>MROUND('[1]F Y U 2024 Presupuesto'!C67,1000)</f>
        <v>30000000</v>
      </c>
      <c r="D67" s="38">
        <f>+C67</f>
        <v>30000000</v>
      </c>
      <c r="E67" s="38"/>
      <c r="F67" s="38"/>
    </row>
    <row r="68" spans="1:14" ht="26.4" x14ac:dyDescent="0.3">
      <c r="A68" s="41">
        <v>27</v>
      </c>
      <c r="B68" s="36" t="s">
        <v>1984</v>
      </c>
      <c r="C68" s="37">
        <f>MROUND('[1]F Y U 2024 Presupuesto'!C68,1000)</f>
        <v>7000000</v>
      </c>
      <c r="D68" s="38">
        <f>+C68</f>
        <v>7000000</v>
      </c>
      <c r="E68" s="38"/>
      <c r="F68" s="38"/>
    </row>
    <row r="69" spans="1:14" ht="26.4" x14ac:dyDescent="0.3">
      <c r="A69" s="41">
        <v>136</v>
      </c>
      <c r="B69" s="36" t="s">
        <v>1985</v>
      </c>
      <c r="C69" s="37">
        <f>MROUND('[1]F Y U 2024 Presupuesto'!C69,1000)</f>
        <v>10000000</v>
      </c>
      <c r="D69" s="38"/>
      <c r="E69" s="38">
        <f>+C69</f>
        <v>10000000</v>
      </c>
      <c r="F69" s="38"/>
    </row>
    <row r="70" spans="1:14" ht="14.4" x14ac:dyDescent="0.3">
      <c r="A70" s="41">
        <v>20</v>
      </c>
      <c r="B70" s="36" t="s">
        <v>1986</v>
      </c>
      <c r="C70" s="37">
        <f>MROUND('[1]F Y U 2024 Presupuesto'!C70,1000)</f>
        <v>200000000</v>
      </c>
      <c r="D70" s="38"/>
      <c r="E70" s="38"/>
      <c r="F70" s="38">
        <f>+C70</f>
        <v>200000000</v>
      </c>
    </row>
    <row r="71" spans="1:14" ht="21" customHeight="1" x14ac:dyDescent="0.3">
      <c r="A71" s="155" t="s">
        <v>1987</v>
      </c>
      <c r="B71" s="156"/>
      <c r="C71" s="64">
        <f>SUM(C54:C70)</f>
        <v>9816004000</v>
      </c>
      <c r="D71" s="65">
        <f>SUM(D54:D70)</f>
        <v>85000000</v>
      </c>
      <c r="E71" s="65">
        <f>SUM(E54:E70)</f>
        <v>9221004000</v>
      </c>
      <c r="F71" s="65">
        <f>SUM(F54:F70)</f>
        <v>510000000</v>
      </c>
    </row>
    <row r="72" spans="1:14" x14ac:dyDescent="0.3">
      <c r="B72" s="66"/>
      <c r="C72" s="67"/>
      <c r="D72" s="68"/>
      <c r="E72" s="68"/>
      <c r="F72" s="68"/>
    </row>
    <row r="73" spans="1:14" s="47" customFormat="1" x14ac:dyDescent="0.3">
      <c r="A73" s="27"/>
      <c r="B73" s="157" t="s">
        <v>1988</v>
      </c>
      <c r="C73" s="157"/>
      <c r="H73" s="45"/>
      <c r="I73" s="46"/>
      <c r="J73" s="45"/>
      <c r="K73" s="45"/>
      <c r="L73" s="45"/>
      <c r="M73" s="45"/>
      <c r="N73" s="45"/>
    </row>
    <row r="74" spans="1:14" s="47" customFormat="1" ht="6.75" customHeight="1" x14ac:dyDescent="0.3">
      <c r="A74" s="27"/>
      <c r="B74" s="27"/>
      <c r="C74" s="27"/>
      <c r="D74" s="27"/>
      <c r="H74" s="45"/>
      <c r="I74" s="46"/>
      <c r="J74" s="45"/>
      <c r="K74" s="45"/>
      <c r="L74" s="45"/>
      <c r="M74" s="45"/>
      <c r="N74" s="45"/>
    </row>
    <row r="75" spans="1:14" ht="28.5" customHeight="1" x14ac:dyDescent="0.3">
      <c r="B75" s="158" t="s">
        <v>1989</v>
      </c>
      <c r="C75" s="159"/>
      <c r="D75" s="68"/>
      <c r="E75" s="68"/>
      <c r="F75" s="68"/>
    </row>
    <row r="76" spans="1:14" ht="26.4" x14ac:dyDescent="0.3">
      <c r="A76" s="41">
        <v>25</v>
      </c>
      <c r="B76" s="36" t="s">
        <v>1990</v>
      </c>
      <c r="C76" s="37">
        <f>MROUND('[1]F Y U 2024 Presupuesto'!C76,1000)</f>
        <v>173431997000</v>
      </c>
      <c r="D76" s="38">
        <f t="shared" ref="D76:D83" si="5">+C76</f>
        <v>173431997000</v>
      </c>
      <c r="E76" s="38"/>
      <c r="F76" s="38"/>
    </row>
    <row r="77" spans="1:14" s="47" customFormat="1" ht="26.4" x14ac:dyDescent="0.3">
      <c r="A77" s="41">
        <v>26</v>
      </c>
      <c r="B77" s="36" t="s">
        <v>1991</v>
      </c>
      <c r="C77" s="37">
        <f>MROUND('[1]F Y U 2024 Presupuesto'!C77,1000)</f>
        <v>33454400000</v>
      </c>
      <c r="D77" s="38">
        <f t="shared" si="5"/>
        <v>33454400000</v>
      </c>
      <c r="E77" s="38"/>
      <c r="F77" s="38"/>
      <c r="H77" s="45"/>
      <c r="I77" s="46"/>
      <c r="J77" s="45"/>
      <c r="K77" s="45"/>
      <c r="L77" s="45"/>
      <c r="M77" s="45"/>
      <c r="N77" s="45"/>
    </row>
    <row r="78" spans="1:14" ht="14.4" x14ac:dyDescent="0.3">
      <c r="A78" s="41">
        <v>25</v>
      </c>
      <c r="B78" s="36" t="s">
        <v>1992</v>
      </c>
      <c r="C78" s="37">
        <f>MROUND('[1]F Y U 2024 Presupuesto'!C78,1000)</f>
        <v>684320000</v>
      </c>
      <c r="D78" s="38">
        <f t="shared" si="5"/>
        <v>684320000</v>
      </c>
      <c r="E78" s="38"/>
      <c r="F78" s="38"/>
    </row>
    <row r="79" spans="1:14" ht="14.4" x14ac:dyDescent="0.3">
      <c r="A79" s="41">
        <v>25</v>
      </c>
      <c r="B79" s="36" t="s">
        <v>1993</v>
      </c>
      <c r="C79" s="37">
        <f>MROUND('[1]F Y U 2024 Presupuesto'!C79,1000)</f>
        <v>1559043000</v>
      </c>
      <c r="D79" s="38">
        <f t="shared" si="5"/>
        <v>1559043000</v>
      </c>
      <c r="E79" s="38"/>
      <c r="F79" s="38"/>
    </row>
    <row r="80" spans="1:14" ht="14.4" x14ac:dyDescent="0.3">
      <c r="A80" s="41">
        <v>81</v>
      </c>
      <c r="B80" s="36" t="s">
        <v>1994</v>
      </c>
      <c r="C80" s="37">
        <f>MROUND('[1]F Y U 2024 Presupuesto'!C80,1000)</f>
        <v>9901551000</v>
      </c>
      <c r="D80" s="38">
        <f t="shared" si="5"/>
        <v>9901551000</v>
      </c>
      <c r="E80" s="38"/>
      <c r="F80" s="38"/>
    </row>
    <row r="81" spans="1:14" s="47" customFormat="1" ht="26.4" x14ac:dyDescent="0.3">
      <c r="A81" s="41">
        <v>21</v>
      </c>
      <c r="B81" s="36" t="s">
        <v>1995</v>
      </c>
      <c r="C81" s="37">
        <f>MROUND('[1]F Y U 2024 Presupuesto'!C81,1000)</f>
        <v>248000000</v>
      </c>
      <c r="D81" s="38">
        <f t="shared" si="5"/>
        <v>248000000</v>
      </c>
      <c r="E81" s="38"/>
      <c r="F81" s="38"/>
      <c r="H81" s="45"/>
      <c r="I81" s="46"/>
      <c r="J81" s="45"/>
      <c r="K81" s="45"/>
      <c r="L81" s="45"/>
      <c r="M81" s="45">
        <v>4000000</v>
      </c>
      <c r="N81" s="45"/>
    </row>
    <row r="82" spans="1:14" s="47" customFormat="1" ht="26.4" x14ac:dyDescent="0.3">
      <c r="A82" s="41">
        <v>81</v>
      </c>
      <c r="B82" s="36" t="s">
        <v>1996</v>
      </c>
      <c r="C82" s="37">
        <f>MROUND('[1]F Y U 2024 Presupuesto'!C82,1000)</f>
        <v>10000000</v>
      </c>
      <c r="D82" s="38">
        <f t="shared" si="5"/>
        <v>10000000</v>
      </c>
      <c r="E82" s="38"/>
      <c r="F82" s="38"/>
      <c r="H82" s="45"/>
      <c r="I82" s="46"/>
      <c r="J82" s="45"/>
      <c r="K82" s="45"/>
      <c r="L82" s="45"/>
      <c r="M82" s="45">
        <v>8226708</v>
      </c>
      <c r="N82" s="45"/>
    </row>
    <row r="83" spans="1:14" s="47" customFormat="1" ht="14.4" x14ac:dyDescent="0.3">
      <c r="A83" s="41">
        <v>9</v>
      </c>
      <c r="B83" s="36" t="s">
        <v>459</v>
      </c>
      <c r="C83" s="69">
        <v>0</v>
      </c>
      <c r="D83" s="38">
        <f t="shared" si="5"/>
        <v>0</v>
      </c>
      <c r="E83" s="38"/>
      <c r="F83" s="38"/>
      <c r="H83" s="45"/>
      <c r="I83" s="46"/>
      <c r="J83" s="45"/>
      <c r="K83" s="45"/>
      <c r="L83" s="45"/>
      <c r="M83" s="45">
        <v>93990000</v>
      </c>
      <c r="N83" s="45"/>
    </row>
    <row r="84" spans="1:14" s="47" customFormat="1" ht="31.5" customHeight="1" x14ac:dyDescent="0.3">
      <c r="A84" s="41"/>
      <c r="B84" s="70" t="s">
        <v>1997</v>
      </c>
      <c r="C84" s="64">
        <f>SUM(C76:C83)</f>
        <v>219289311000</v>
      </c>
      <c r="D84" s="38"/>
      <c r="E84" s="38"/>
      <c r="F84" s="38"/>
      <c r="H84" s="45"/>
      <c r="I84" s="46"/>
      <c r="J84" s="45"/>
      <c r="K84" s="45"/>
      <c r="L84" s="45"/>
      <c r="M84" s="45"/>
      <c r="N84" s="45"/>
    </row>
    <row r="85" spans="1:14" s="47" customFormat="1" x14ac:dyDescent="0.3">
      <c r="A85" s="41"/>
      <c r="B85" s="38"/>
      <c r="C85" s="38"/>
      <c r="D85" s="38"/>
      <c r="E85" s="38"/>
      <c r="F85" s="38"/>
      <c r="H85" s="45"/>
      <c r="I85" s="46"/>
      <c r="J85" s="45"/>
      <c r="K85" s="45"/>
      <c r="L85" s="45"/>
      <c r="M85" s="45"/>
      <c r="N85" s="45"/>
    </row>
    <row r="86" spans="1:14" s="47" customFormat="1" ht="25.5" customHeight="1" x14ac:dyDescent="0.3">
      <c r="A86" s="41"/>
      <c r="B86" s="155" t="s">
        <v>1998</v>
      </c>
      <c r="C86" s="156"/>
      <c r="D86" s="38"/>
      <c r="E86" s="38"/>
      <c r="F86" s="38"/>
      <c r="H86" s="45"/>
      <c r="I86" s="46"/>
      <c r="J86" s="45"/>
      <c r="K86" s="45"/>
      <c r="L86" s="45"/>
      <c r="M86" s="45"/>
      <c r="N86" s="45"/>
    </row>
    <row r="87" spans="1:14" s="47" customFormat="1" ht="26.4" x14ac:dyDescent="0.3">
      <c r="A87" s="41">
        <v>61</v>
      </c>
      <c r="B87" s="36" t="s">
        <v>1999</v>
      </c>
      <c r="C87" s="37">
        <f>MROUND('[1]F Y U 2024 Presupuesto'!C87,1000)</f>
        <v>5409655000</v>
      </c>
      <c r="D87" s="38">
        <f t="shared" ref="D87:D107" si="6">+C87</f>
        <v>5409655000</v>
      </c>
      <c r="E87" s="38"/>
      <c r="F87" s="38"/>
      <c r="H87" s="45"/>
      <c r="I87" s="46"/>
      <c r="J87" s="45"/>
      <c r="K87" s="45"/>
      <c r="L87" s="45"/>
      <c r="M87" s="45"/>
      <c r="N87" s="45"/>
    </row>
    <row r="88" spans="1:14" s="47" customFormat="1" ht="26.4" x14ac:dyDescent="0.3">
      <c r="A88" s="41">
        <v>171</v>
      </c>
      <c r="B88" s="36" t="s">
        <v>2000</v>
      </c>
      <c r="C88" s="37">
        <f>MROUND('[1]F Y U 2024 Presupuesto'!C88,1000)</f>
        <v>2148092000</v>
      </c>
      <c r="D88" s="38">
        <f t="shared" si="6"/>
        <v>2148092000</v>
      </c>
      <c r="E88" s="38"/>
      <c r="F88" s="38"/>
      <c r="H88" s="45"/>
      <c r="I88" s="46"/>
      <c r="J88" s="45"/>
      <c r="K88" s="45"/>
      <c r="L88" s="45"/>
      <c r="M88" s="45"/>
      <c r="N88" s="45"/>
    </row>
    <row r="89" spans="1:14" s="47" customFormat="1" ht="26.4" x14ac:dyDescent="0.3">
      <c r="A89" s="41">
        <v>61</v>
      </c>
      <c r="B89" s="36" t="str">
        <f>+'[2]Plan Financiero 2021'!A100</f>
        <v>Rendimientos por Operaciones Financieras. (SGP - Salud Pública )</v>
      </c>
      <c r="C89" s="37">
        <f>MROUND('[1]F Y U 2024 Presupuesto'!C89,1000)</f>
        <v>3000000</v>
      </c>
      <c r="D89" s="38">
        <f t="shared" si="6"/>
        <v>3000000</v>
      </c>
      <c r="E89" s="38"/>
      <c r="F89" s="38"/>
      <c r="H89" s="45"/>
      <c r="I89" s="46"/>
      <c r="J89" s="45"/>
      <c r="K89" s="45"/>
      <c r="L89" s="45"/>
      <c r="M89" s="45"/>
      <c r="N89" s="45"/>
    </row>
    <row r="90" spans="1:14" s="47" customFormat="1" ht="26.4" x14ac:dyDescent="0.3">
      <c r="A90" s="41">
        <v>171</v>
      </c>
      <c r="B90" s="36" t="str">
        <f>+'[2]Plan Financiero 2021'!A101</f>
        <v>Rendimientos por Operaciones Financieras. (SGP - Oferta)</v>
      </c>
      <c r="C90" s="37">
        <f>MROUND('[1]F Y U 2024 Presupuesto'!C90,1000)</f>
        <v>1000000</v>
      </c>
      <c r="D90" s="38">
        <f t="shared" si="6"/>
        <v>1000000</v>
      </c>
      <c r="E90" s="38"/>
      <c r="F90" s="38"/>
      <c r="H90" s="45"/>
      <c r="I90" s="46"/>
      <c r="J90" s="45"/>
      <c r="K90" s="45"/>
      <c r="L90" s="45"/>
      <c r="M90" s="45"/>
      <c r="N90" s="45"/>
    </row>
    <row r="91" spans="1:14" s="47" customFormat="1" ht="26.4" x14ac:dyDescent="0.3">
      <c r="A91" s="41"/>
      <c r="B91" s="36" t="str">
        <f>+'[2]Plan Financiero 2021'!A102</f>
        <v>Rendimientos por Operaciones Financieras. (Fondo Estupefacientes )</v>
      </c>
      <c r="C91" s="37">
        <f>MROUND('[1]F Y U 2024 Presupuesto'!C91,1000)</f>
        <v>1000000</v>
      </c>
      <c r="D91" s="38">
        <f t="shared" si="6"/>
        <v>1000000</v>
      </c>
      <c r="E91" s="38"/>
      <c r="F91" s="38"/>
      <c r="H91" s="45"/>
      <c r="I91" s="46"/>
      <c r="J91" s="45"/>
      <c r="K91" s="45"/>
      <c r="L91" s="45"/>
      <c r="M91" s="45"/>
      <c r="N91" s="45"/>
    </row>
    <row r="92" spans="1:14" s="47" customFormat="1" ht="26.4" x14ac:dyDescent="0.3">
      <c r="A92" s="41"/>
      <c r="B92" s="36" t="str">
        <f>+'[2]Plan Financiero 2021'!A103</f>
        <v>Rendimientos por Operaciones Financieras. (Rentas Cedidas )</v>
      </c>
      <c r="C92" s="37">
        <f>MROUND('[1]F Y U 2024 Presupuesto'!C92,1000)</f>
        <v>2000000</v>
      </c>
      <c r="D92" s="38">
        <f t="shared" si="6"/>
        <v>2000000</v>
      </c>
      <c r="E92" s="38"/>
      <c r="F92" s="38"/>
      <c r="H92" s="45"/>
      <c r="I92" s="46"/>
      <c r="J92" s="45"/>
      <c r="K92" s="45"/>
      <c r="L92" s="45"/>
      <c r="M92" s="45"/>
      <c r="N92" s="45"/>
    </row>
    <row r="93" spans="1:14" s="47" customFormat="1" ht="14.4" x14ac:dyDescent="0.3">
      <c r="A93" s="41"/>
      <c r="B93" s="36" t="s">
        <v>2001</v>
      </c>
      <c r="C93" s="37">
        <f>MROUND('[1]F Y U 2024 Presupuesto'!C93,1000)</f>
        <v>13674983000</v>
      </c>
      <c r="D93" s="38">
        <f t="shared" si="6"/>
        <v>13674983000</v>
      </c>
      <c r="E93" s="38"/>
      <c r="F93" s="38"/>
      <c r="G93" s="71">
        <f>+D93+C39+C40+C42</f>
        <v>36958741000</v>
      </c>
      <c r="H93" s="72">
        <f>+G93*14%</f>
        <v>5174223740.000001</v>
      </c>
      <c r="I93" s="73">
        <f>+H93-C39</f>
        <v>-94259.999999046326</v>
      </c>
      <c r="J93" s="45"/>
      <c r="K93" s="45"/>
      <c r="L93" s="45">
        <f>14+46+3</f>
        <v>63</v>
      </c>
      <c r="M93" s="45"/>
      <c r="N93" s="45"/>
    </row>
    <row r="94" spans="1:14" s="47" customFormat="1" ht="14.4" x14ac:dyDescent="0.3">
      <c r="A94" s="41"/>
      <c r="B94" s="36" t="s">
        <v>2002</v>
      </c>
      <c r="C94" s="37">
        <f>MROUND('[1]F Y U 2024 Presupuesto'!C94,1000)</f>
        <v>4294347000</v>
      </c>
      <c r="D94" s="38">
        <f t="shared" si="6"/>
        <v>4294347000</v>
      </c>
      <c r="E94" s="38"/>
      <c r="F94" s="38"/>
      <c r="G94" s="71"/>
      <c r="H94" s="72">
        <f>+G93*3%</f>
        <v>1108762230</v>
      </c>
      <c r="I94" s="46">
        <f>+H94-C40</f>
        <v>652230</v>
      </c>
      <c r="J94" s="45"/>
      <c r="K94" s="45"/>
      <c r="L94" s="45">
        <f>100-L93</f>
        <v>37</v>
      </c>
      <c r="M94" s="45"/>
      <c r="N94" s="45"/>
    </row>
    <row r="95" spans="1:14" s="47" customFormat="1" ht="14.4" x14ac:dyDescent="0.3">
      <c r="A95" s="41"/>
      <c r="B95" s="36" t="s">
        <v>2003</v>
      </c>
      <c r="C95" s="37">
        <f>MROUND('[1]F Y U 2024 Presupuesto'!C95,1000)</f>
        <v>6555523000</v>
      </c>
      <c r="D95" s="38">
        <f t="shared" si="6"/>
        <v>6555523000</v>
      </c>
      <c r="E95" s="38"/>
      <c r="F95" s="38"/>
      <c r="G95" s="71"/>
      <c r="H95" s="72">
        <f>+G93*46%</f>
        <v>17001020860</v>
      </c>
      <c r="I95" s="46">
        <f>+H95-C42</f>
        <v>-309140</v>
      </c>
      <c r="J95" s="45"/>
      <c r="K95" s="45"/>
      <c r="L95" s="45"/>
      <c r="M95" s="45"/>
      <c r="N95" s="45"/>
    </row>
    <row r="96" spans="1:14" s="47" customFormat="1" ht="14.4" x14ac:dyDescent="0.3">
      <c r="A96" s="41"/>
      <c r="B96" s="36" t="s">
        <v>2004</v>
      </c>
      <c r="C96" s="37">
        <f>MROUND('[1]F Y U 2024 Presupuesto'!C96,1000)</f>
        <v>1039156000</v>
      </c>
      <c r="D96" s="38">
        <f t="shared" si="6"/>
        <v>1039156000</v>
      </c>
      <c r="E96" s="38"/>
      <c r="F96" s="38"/>
      <c r="G96" s="71"/>
      <c r="H96" s="72"/>
      <c r="I96" s="46"/>
      <c r="J96" s="45"/>
      <c r="K96" s="45"/>
      <c r="L96" s="45"/>
      <c r="M96" s="45"/>
      <c r="N96" s="45"/>
    </row>
    <row r="97" spans="1:14" ht="15.75" customHeight="1" x14ac:dyDescent="0.3">
      <c r="A97" s="41"/>
      <c r="B97" s="36" t="s">
        <v>2005</v>
      </c>
      <c r="C97" s="37">
        <f>MROUND('[1]F Y U 2024 Presupuesto'!C97,1000)</f>
        <v>32160000</v>
      </c>
      <c r="D97" s="38">
        <f t="shared" si="6"/>
        <v>32160000</v>
      </c>
      <c r="E97" s="38"/>
      <c r="F97" s="38"/>
      <c r="G97" s="71"/>
      <c r="H97" s="72"/>
    </row>
    <row r="98" spans="1:14" s="47" customFormat="1" ht="26.4" x14ac:dyDescent="0.3">
      <c r="A98" s="41"/>
      <c r="B98" s="36" t="s">
        <v>2006</v>
      </c>
      <c r="C98" s="37">
        <f>MROUND('[1]F Y U 2024 Presupuesto'!C98,1000)</f>
        <v>2874685000</v>
      </c>
      <c r="D98" s="38">
        <f t="shared" si="6"/>
        <v>2874685000</v>
      </c>
      <c r="E98" s="38"/>
      <c r="F98" s="38"/>
      <c r="G98" s="71"/>
      <c r="H98" s="72"/>
      <c r="I98" s="46"/>
      <c r="J98" s="45"/>
      <c r="K98" s="45"/>
      <c r="L98" s="45"/>
      <c r="M98" s="45"/>
      <c r="N98" s="45"/>
    </row>
    <row r="99" spans="1:14" ht="14.4" x14ac:dyDescent="0.3">
      <c r="A99" s="41"/>
      <c r="B99" s="36" t="s">
        <v>2007</v>
      </c>
      <c r="C99" s="37">
        <f>MROUND('[1]F Y U 2024 Presupuesto'!C99,1000)</f>
        <v>935708000</v>
      </c>
      <c r="D99" s="38">
        <f t="shared" si="6"/>
        <v>935708000</v>
      </c>
      <c r="E99" s="38"/>
      <c r="F99" s="38"/>
      <c r="G99" s="71"/>
      <c r="H99" s="72"/>
    </row>
    <row r="100" spans="1:14" ht="14.4" x14ac:dyDescent="0.3">
      <c r="A100" s="41"/>
      <c r="B100" s="36" t="s">
        <v>2008</v>
      </c>
      <c r="C100" s="37">
        <f>MROUND('[1]F Y U 2024 Presupuesto'!C100,1000)</f>
        <v>2710326000</v>
      </c>
      <c r="D100" s="38">
        <f t="shared" si="6"/>
        <v>2710326000</v>
      </c>
      <c r="E100" s="38"/>
      <c r="F100" s="38"/>
      <c r="G100" s="71"/>
      <c r="H100" s="72"/>
    </row>
    <row r="101" spans="1:14" s="47" customFormat="1" ht="14.4" x14ac:dyDescent="0.3">
      <c r="A101" s="41"/>
      <c r="B101" s="36" t="s">
        <v>2009</v>
      </c>
      <c r="C101" s="37">
        <f>MROUND('[1]F Y U 2024 Presupuesto'!C101,1000)</f>
        <v>1496247000</v>
      </c>
      <c r="D101" s="38">
        <f t="shared" si="6"/>
        <v>1496247000</v>
      </c>
      <c r="E101" s="38"/>
      <c r="F101" s="38"/>
      <c r="G101" s="71"/>
      <c r="H101" s="72"/>
      <c r="I101" s="46"/>
      <c r="J101" s="45"/>
      <c r="K101" s="45"/>
      <c r="L101" s="45"/>
      <c r="M101" s="45"/>
      <c r="N101" s="45"/>
    </row>
    <row r="102" spans="1:14" ht="14.4" x14ac:dyDescent="0.3">
      <c r="A102" s="41"/>
      <c r="B102" s="36" t="s">
        <v>2010</v>
      </c>
      <c r="C102" s="37">
        <f>MROUND('[1]F Y U 2024 Presupuesto'!C102,1000)</f>
        <v>300000000</v>
      </c>
      <c r="D102" s="38">
        <f t="shared" si="6"/>
        <v>300000000</v>
      </c>
      <c r="E102" s="38"/>
      <c r="F102" s="38"/>
      <c r="G102" s="25"/>
    </row>
    <row r="103" spans="1:14" s="47" customFormat="1" ht="14.4" x14ac:dyDescent="0.3">
      <c r="A103" s="41"/>
      <c r="B103" s="36" t="s">
        <v>2011</v>
      </c>
      <c r="C103" s="37">
        <f>MROUND('[1]F Y U 2024 Presupuesto'!C103,1000)</f>
        <v>15500000000</v>
      </c>
      <c r="D103" s="38">
        <f t="shared" si="6"/>
        <v>15500000000</v>
      </c>
      <c r="E103" s="38"/>
      <c r="F103" s="38"/>
      <c r="G103" s="45"/>
      <c r="H103" s="45"/>
      <c r="I103" s="46"/>
      <c r="J103" s="45"/>
      <c r="K103" s="45"/>
      <c r="L103" s="45"/>
      <c r="M103" s="45"/>
      <c r="N103" s="45"/>
    </row>
    <row r="104" spans="1:14" s="47" customFormat="1" ht="14.4" x14ac:dyDescent="0.3">
      <c r="A104" s="41"/>
      <c r="B104" s="36" t="s">
        <v>2012</v>
      </c>
      <c r="C104" s="37">
        <f>MROUND('[1]F Y U 2024 Presupuesto'!C104,1000)</f>
        <v>5061794000</v>
      </c>
      <c r="D104" s="38">
        <f t="shared" si="6"/>
        <v>5061794000</v>
      </c>
      <c r="E104" s="38"/>
      <c r="F104" s="38"/>
      <c r="G104" s="45"/>
      <c r="H104" s="45"/>
      <c r="I104" s="46"/>
      <c r="J104" s="45"/>
      <c r="K104" s="45"/>
      <c r="L104" s="45"/>
      <c r="M104" s="45"/>
      <c r="N104" s="45"/>
    </row>
    <row r="105" spans="1:14" s="47" customFormat="1" ht="14.4" x14ac:dyDescent="0.3">
      <c r="A105" s="41" t="s">
        <v>44</v>
      </c>
      <c r="B105" s="36" t="s">
        <v>2013</v>
      </c>
      <c r="C105" s="37">
        <f>MROUND('[1]F Y U 2024 Presupuesto'!C105,1000)</f>
        <v>2166183000</v>
      </c>
      <c r="D105" s="38">
        <f t="shared" si="6"/>
        <v>2166183000</v>
      </c>
      <c r="E105" s="38"/>
      <c r="F105" s="38"/>
      <c r="G105" s="45"/>
      <c r="H105" s="45"/>
      <c r="I105" s="46"/>
      <c r="J105" s="45"/>
      <c r="K105" s="45"/>
      <c r="L105" s="45"/>
      <c r="M105" s="45"/>
      <c r="N105" s="45"/>
    </row>
    <row r="106" spans="1:14" s="47" customFormat="1" ht="26.4" x14ac:dyDescent="0.3">
      <c r="A106" s="41"/>
      <c r="B106" s="36" t="str">
        <f>+'[2]Plan Financiero 2021'!A127</f>
        <v>IVA Cedido Sobre Licores, Vinos, Aperitivos y Similares</v>
      </c>
      <c r="C106" s="37">
        <f>MROUND('[1]F Y U 2024 Presupuesto'!C106,1000)</f>
        <v>2874685000</v>
      </c>
      <c r="D106" s="38">
        <f t="shared" si="6"/>
        <v>2874685000</v>
      </c>
      <c r="E106" s="38"/>
      <c r="F106" s="38"/>
      <c r="G106" s="45"/>
      <c r="H106" s="45"/>
      <c r="I106" s="46"/>
      <c r="J106" s="45"/>
      <c r="K106" s="45"/>
      <c r="L106" s="45"/>
      <c r="M106" s="45"/>
      <c r="N106" s="45"/>
    </row>
    <row r="107" spans="1:14" s="47" customFormat="1" ht="14.4" x14ac:dyDescent="0.3">
      <c r="A107" s="52"/>
      <c r="B107" s="74" t="s">
        <v>2014</v>
      </c>
      <c r="C107" s="37">
        <f>MROUND('[1]F Y U 2024 Presupuesto'!C107,1000)</f>
        <v>3963289000</v>
      </c>
      <c r="D107" s="53">
        <f t="shared" si="6"/>
        <v>3963289000</v>
      </c>
      <c r="E107" s="53"/>
      <c r="F107" s="53"/>
      <c r="G107" s="45"/>
      <c r="H107" s="45"/>
      <c r="I107" s="46"/>
      <c r="J107" s="45"/>
      <c r="K107" s="45"/>
      <c r="L107" s="45"/>
      <c r="M107" s="45"/>
      <c r="N107" s="45"/>
    </row>
    <row r="108" spans="1:14" s="47" customFormat="1" ht="18.75" customHeight="1" x14ac:dyDescent="0.3">
      <c r="A108" s="27"/>
      <c r="B108" s="70" t="s">
        <v>2015</v>
      </c>
      <c r="C108" s="64">
        <f>SUM(C87:C107)</f>
        <v>71043833000</v>
      </c>
      <c r="D108" s="27"/>
      <c r="E108" s="27"/>
      <c r="F108" s="27"/>
      <c r="G108" s="45">
        <f>+C108+C84</f>
        <v>290333144000</v>
      </c>
      <c r="H108" s="45"/>
      <c r="I108" s="46"/>
      <c r="J108" s="45"/>
      <c r="K108" s="45"/>
      <c r="L108" s="45"/>
      <c r="M108" s="45"/>
      <c r="N108" s="45"/>
    </row>
    <row r="109" spans="1:14" s="47" customFormat="1" x14ac:dyDescent="0.3">
      <c r="A109" s="27"/>
      <c r="B109" s="27"/>
      <c r="C109" s="27"/>
      <c r="D109" s="27"/>
      <c r="E109" s="27"/>
      <c r="F109" s="27"/>
      <c r="G109" s="45"/>
      <c r="H109" s="45"/>
      <c r="I109" s="46"/>
      <c r="J109" s="45"/>
      <c r="K109" s="45"/>
      <c r="L109" s="45"/>
      <c r="M109" s="45"/>
      <c r="N109" s="45"/>
    </row>
    <row r="110" spans="1:14" s="47" customFormat="1" ht="25.5" customHeight="1" x14ac:dyDescent="0.3">
      <c r="A110" s="27"/>
      <c r="B110" s="155" t="s">
        <v>2016</v>
      </c>
      <c r="C110" s="156"/>
      <c r="D110" s="27"/>
      <c r="E110" s="27"/>
      <c r="G110" s="45"/>
      <c r="H110" s="45"/>
      <c r="I110" s="46"/>
      <c r="J110" s="45"/>
      <c r="K110" s="45"/>
      <c r="L110" s="45"/>
      <c r="M110" s="45"/>
      <c r="N110" s="45"/>
    </row>
    <row r="111" spans="1:14" s="47" customFormat="1" ht="26.4" x14ac:dyDescent="0.3">
      <c r="A111" s="40">
        <v>27</v>
      </c>
      <c r="B111" s="36" t="s">
        <v>2017</v>
      </c>
      <c r="C111" s="37">
        <f>MROUND('[1]F Y U 2024 Presupuesto'!C111,1000)</f>
        <v>4052617000</v>
      </c>
      <c r="D111" s="38">
        <f>+C111</f>
        <v>4052617000</v>
      </c>
      <c r="E111" s="75"/>
      <c r="F111" s="75"/>
      <c r="H111" s="45"/>
      <c r="I111" s="46"/>
      <c r="J111" s="45"/>
      <c r="K111" s="45"/>
      <c r="L111" s="45"/>
      <c r="M111" s="45"/>
      <c r="N111" s="45"/>
    </row>
    <row r="112" spans="1:14" s="47" customFormat="1" ht="26.4" x14ac:dyDescent="0.3">
      <c r="A112" s="76"/>
      <c r="B112" s="70" t="s">
        <v>2018</v>
      </c>
      <c r="C112" s="64">
        <f>+C111</f>
        <v>4052617000</v>
      </c>
      <c r="D112" s="27"/>
      <c r="E112" s="27"/>
      <c r="F112" s="27"/>
      <c r="H112" s="45"/>
      <c r="I112" s="46"/>
      <c r="J112" s="45"/>
      <c r="K112" s="45"/>
      <c r="L112" s="45"/>
      <c r="M112" s="45"/>
      <c r="N112" s="45"/>
    </row>
    <row r="113" spans="1:16" s="47" customFormat="1" x14ac:dyDescent="0.3">
      <c r="A113" s="76"/>
      <c r="B113" s="76"/>
      <c r="C113" s="76"/>
      <c r="D113" s="27"/>
      <c r="E113" s="27"/>
      <c r="F113" s="27"/>
      <c r="H113" s="45"/>
      <c r="I113" s="46"/>
      <c r="J113" s="45"/>
      <c r="K113" s="45"/>
      <c r="L113" s="45"/>
      <c r="M113" s="45"/>
      <c r="N113" s="45"/>
    </row>
    <row r="114" spans="1:16" s="47" customFormat="1" x14ac:dyDescent="0.3">
      <c r="A114" s="76"/>
      <c r="B114" s="155" t="s">
        <v>2019</v>
      </c>
      <c r="C114" s="156"/>
      <c r="D114" s="38"/>
      <c r="E114" s="38"/>
      <c r="F114" s="38"/>
      <c r="H114" s="45"/>
      <c r="I114" s="46"/>
      <c r="J114" s="45"/>
      <c r="K114" s="45"/>
      <c r="L114" s="45"/>
      <c r="M114" s="45"/>
      <c r="N114" s="45"/>
    </row>
    <row r="115" spans="1:16" s="47" customFormat="1" ht="26.4" x14ac:dyDescent="0.3">
      <c r="A115" s="36"/>
      <c r="B115" s="36" t="s">
        <v>2020</v>
      </c>
      <c r="C115" s="37">
        <f>MROUND('[1]F Y U 2024 Presupuesto'!C115,1000)</f>
        <v>2461968000</v>
      </c>
      <c r="D115" s="38">
        <f>+C115</f>
        <v>2461968000</v>
      </c>
      <c r="E115" s="38"/>
      <c r="F115" s="38"/>
      <c r="H115" s="45"/>
      <c r="I115" s="46"/>
      <c r="J115" s="45"/>
      <c r="K115" s="45"/>
      <c r="L115" s="45"/>
      <c r="M115" s="45"/>
      <c r="N115" s="45"/>
    </row>
    <row r="116" spans="1:16" s="47" customFormat="1" ht="21" customHeight="1" x14ac:dyDescent="0.3">
      <c r="A116" s="36"/>
      <c r="B116" s="70" t="s">
        <v>2021</v>
      </c>
      <c r="C116" s="64">
        <f>+C115</f>
        <v>2461968000</v>
      </c>
      <c r="D116" s="38"/>
      <c r="E116" s="38"/>
      <c r="F116" s="38"/>
      <c r="H116" s="45"/>
      <c r="I116" s="46"/>
      <c r="J116" s="45"/>
      <c r="K116" s="45"/>
      <c r="L116" s="45"/>
      <c r="M116" s="45"/>
      <c r="N116" s="45"/>
    </row>
    <row r="117" spans="1:16" s="47" customFormat="1" x14ac:dyDescent="0.3">
      <c r="A117" s="27"/>
      <c r="B117" s="27"/>
      <c r="C117" s="27"/>
      <c r="E117" s="38"/>
      <c r="F117" s="38"/>
      <c r="H117" s="45"/>
      <c r="I117" s="46"/>
      <c r="J117" s="45"/>
      <c r="K117" s="45"/>
      <c r="L117" s="45"/>
      <c r="M117" s="45"/>
      <c r="N117" s="45"/>
    </row>
    <row r="118" spans="1:16" s="47" customFormat="1" ht="24" customHeight="1" x14ac:dyDescent="0.3">
      <c r="A118" s="147" t="s">
        <v>2022</v>
      </c>
      <c r="B118" s="148"/>
      <c r="C118" s="64">
        <f>+C84+C108+C112+C116</f>
        <v>296847729000</v>
      </c>
      <c r="D118" s="64">
        <f>SUM(D75:D116)</f>
        <v>296847729000</v>
      </c>
      <c r="E118" s="38"/>
      <c r="F118" s="38"/>
      <c r="H118" s="45"/>
      <c r="I118" s="46"/>
      <c r="J118" s="45"/>
      <c r="K118" s="45"/>
      <c r="L118" s="45"/>
      <c r="M118" s="45"/>
      <c r="N118" s="45"/>
    </row>
    <row r="119" spans="1:16" s="47" customFormat="1" x14ac:dyDescent="0.3">
      <c r="A119" s="78"/>
      <c r="B119" s="78"/>
      <c r="C119" s="78"/>
      <c r="D119" s="78"/>
      <c r="E119" s="78"/>
      <c r="F119" s="78"/>
      <c r="H119" s="45"/>
      <c r="I119" s="46"/>
      <c r="J119" s="45"/>
      <c r="K119" s="45"/>
      <c r="L119" s="45"/>
      <c r="M119" s="45"/>
      <c r="N119" s="45"/>
    </row>
    <row r="120" spans="1:16" s="47" customFormat="1" ht="36" customHeight="1" x14ac:dyDescent="0.3">
      <c r="A120" s="147" t="s">
        <v>2023</v>
      </c>
      <c r="B120" s="148"/>
      <c r="C120" s="64">
        <f>+C118+C52+C71</f>
        <v>508273313000</v>
      </c>
      <c r="D120" s="65">
        <f>+D118+D52+D71</f>
        <v>323482237000</v>
      </c>
      <c r="E120" s="65">
        <f>+E118+E52+E71</f>
        <v>54570901000</v>
      </c>
      <c r="F120" s="65">
        <f>+F118+F52+F71</f>
        <v>129923488000</v>
      </c>
      <c r="G120" s="45">
        <f>D120+E120+F120</f>
        <v>507976626000</v>
      </c>
      <c r="H120" s="45">
        <f>C120-G120</f>
        <v>296687000</v>
      </c>
      <c r="I120" s="46"/>
      <c r="J120" s="45"/>
      <c r="K120" s="45"/>
      <c r="L120" s="45"/>
      <c r="M120" s="149" t="s">
        <v>2024</v>
      </c>
      <c r="N120" s="149"/>
      <c r="O120" s="149"/>
      <c r="P120" s="149"/>
    </row>
    <row r="121" spans="1:16" s="47" customFormat="1" x14ac:dyDescent="0.3">
      <c r="A121" s="27"/>
      <c r="B121" s="150"/>
      <c r="C121" s="150"/>
      <c r="D121" s="79"/>
      <c r="E121" s="79"/>
      <c r="F121" s="80"/>
      <c r="G121" s="45"/>
      <c r="H121" s="45"/>
      <c r="I121" s="46"/>
      <c r="J121" s="45"/>
      <c r="K121" s="45"/>
      <c r="L121" s="45"/>
      <c r="M121" s="45">
        <v>1</v>
      </c>
      <c r="N121" s="45">
        <f>5730450*1.2</f>
        <v>6876540</v>
      </c>
      <c r="O121" s="45">
        <f>+M121*N121</f>
        <v>6876540</v>
      </c>
      <c r="P121" s="45">
        <f>+O121*1.76</f>
        <v>12102710.4</v>
      </c>
    </row>
    <row r="122" spans="1:16" s="47" customFormat="1" ht="14.4" x14ac:dyDescent="0.3">
      <c r="A122" s="27"/>
      <c r="B122" s="81" t="s">
        <v>2025</v>
      </c>
      <c r="C122" s="82">
        <f>ROUND(F120*0.01,0)</f>
        <v>1299234880</v>
      </c>
      <c r="E122" s="47">
        <v>508273313000</v>
      </c>
      <c r="F122" s="80">
        <f>157753937382+11236130587+338283245031</f>
        <v>507273313000</v>
      </c>
      <c r="G122" s="45">
        <f>+E122-F122</f>
        <v>1000000000</v>
      </c>
      <c r="H122" s="45"/>
      <c r="I122" s="46"/>
      <c r="J122" s="45"/>
      <c r="K122" s="45"/>
      <c r="L122" s="45"/>
      <c r="M122" s="45">
        <v>1</v>
      </c>
      <c r="N122" s="45">
        <f>5535226*1.2</f>
        <v>6642271.2000000002</v>
      </c>
      <c r="O122" s="45">
        <f t="shared" ref="O122:O125" si="7">+M122*N122</f>
        <v>6642271.2000000002</v>
      </c>
      <c r="P122" s="45">
        <f t="shared" ref="P122:P125" si="8">+O122*1.76</f>
        <v>11690397.312000001</v>
      </c>
    </row>
    <row r="123" spans="1:16" s="47" customFormat="1" ht="28.8" x14ac:dyDescent="0.3">
      <c r="A123" s="27"/>
      <c r="B123" s="83" t="s">
        <v>2026</v>
      </c>
      <c r="C123" s="84">
        <f>ROUND(F120*0.01,0)</f>
        <v>1299234880</v>
      </c>
      <c r="E123" s="47">
        <v>5168301321</v>
      </c>
      <c r="F123" s="85"/>
      <c r="G123" s="45"/>
      <c r="H123" s="45"/>
      <c r="I123" s="46"/>
      <c r="J123" s="45"/>
      <c r="K123" s="45"/>
      <c r="L123" s="45"/>
      <c r="M123" s="45">
        <v>3</v>
      </c>
      <c r="N123" s="45">
        <f>1.2*4789477</f>
        <v>5747372.3999999994</v>
      </c>
      <c r="O123" s="45">
        <f t="shared" si="7"/>
        <v>17242117.199999999</v>
      </c>
      <c r="P123" s="45">
        <f t="shared" si="8"/>
        <v>30346126.272</v>
      </c>
    </row>
    <row r="124" spans="1:16" s="47" customFormat="1" ht="28.8" x14ac:dyDescent="0.3">
      <c r="A124" s="27"/>
      <c r="B124" s="81" t="s">
        <v>2027</v>
      </c>
      <c r="C124" s="82">
        <f>ROUND(F120*0.007,0)</f>
        <v>909464416</v>
      </c>
      <c r="E124" s="47">
        <v>8523050371</v>
      </c>
      <c r="F124" s="80"/>
      <c r="G124" s="45"/>
      <c r="H124" s="45"/>
      <c r="I124" s="46"/>
      <c r="J124" s="45"/>
      <c r="K124" s="45"/>
      <c r="L124" s="45"/>
      <c r="M124" s="45">
        <v>1</v>
      </c>
      <c r="N124" s="45">
        <f>1.2*6500000</f>
        <v>7800000</v>
      </c>
      <c r="O124" s="45">
        <f t="shared" si="7"/>
        <v>7800000</v>
      </c>
      <c r="P124" s="45">
        <f t="shared" si="8"/>
        <v>13728000</v>
      </c>
    </row>
    <row r="125" spans="1:16" s="47" customFormat="1" ht="14.4" x14ac:dyDescent="0.3">
      <c r="A125" s="27"/>
      <c r="B125" s="83" t="s">
        <v>2028</v>
      </c>
      <c r="C125" s="84">
        <f>1.2*1627500000</f>
        <v>1953000000</v>
      </c>
      <c r="E125" s="47">
        <f>SUM(E122:E124)</f>
        <v>521964664692</v>
      </c>
      <c r="F125" s="86"/>
      <c r="G125" s="45"/>
      <c r="H125" s="45"/>
      <c r="I125" s="46"/>
      <c r="J125" s="45"/>
      <c r="K125" s="45"/>
      <c r="L125" s="45"/>
      <c r="M125" s="45">
        <v>1</v>
      </c>
      <c r="N125" s="45">
        <f>1.2*3555691</f>
        <v>4266829.2</v>
      </c>
      <c r="O125" s="45">
        <f t="shared" si="7"/>
        <v>4266829.2</v>
      </c>
      <c r="P125" s="45">
        <f t="shared" si="8"/>
        <v>7509619.392</v>
      </c>
    </row>
    <row r="126" spans="1:16" s="47" customFormat="1" ht="14.4" x14ac:dyDescent="0.3">
      <c r="A126" s="27"/>
      <c r="B126" s="81" t="s">
        <v>2029</v>
      </c>
      <c r="C126" s="82">
        <f>ROUND(F52*0.1,0)</f>
        <v>12941348800</v>
      </c>
      <c r="F126" s="80"/>
      <c r="G126" s="45"/>
      <c r="H126" s="45"/>
      <c r="I126" s="46"/>
      <c r="J126" s="45"/>
      <c r="K126" s="45"/>
      <c r="L126" s="45"/>
      <c r="M126" s="45"/>
      <c r="N126" s="45"/>
      <c r="O126" s="45"/>
      <c r="P126" s="45">
        <f>SUM(P121:P125)</f>
        <v>75376853.376000002</v>
      </c>
    </row>
    <row r="127" spans="1:16" x14ac:dyDescent="0.3">
      <c r="B127" s="151"/>
      <c r="C127" s="152"/>
      <c r="D127" s="87"/>
      <c r="E127" s="88"/>
      <c r="F127" s="89"/>
      <c r="G127" s="25"/>
      <c r="K127" s="45"/>
      <c r="L127" s="45"/>
      <c r="O127" s="25"/>
      <c r="P127" s="25">
        <f>+P126*13</f>
        <v>979899093.88800001</v>
      </c>
    </row>
    <row r="128" spans="1:16" ht="22.5" customHeight="1" x14ac:dyDescent="0.3">
      <c r="B128" s="77" t="s">
        <v>2030</v>
      </c>
      <c r="C128" s="90" t="s">
        <v>2031</v>
      </c>
      <c r="D128" s="90" t="s">
        <v>2032</v>
      </c>
      <c r="E128" s="88"/>
      <c r="F128" s="91"/>
      <c r="G128" s="25"/>
      <c r="K128" s="45"/>
      <c r="L128" s="45"/>
      <c r="O128" s="25"/>
      <c r="P128" s="25"/>
    </row>
    <row r="129" spans="2:12" ht="14.4" x14ac:dyDescent="0.3">
      <c r="B129" s="54" t="s">
        <v>2033</v>
      </c>
      <c r="C129" s="92">
        <f>+F120-C122-C124-C126-C123-C125</f>
        <v>111521205024</v>
      </c>
      <c r="D129" s="93">
        <v>1</v>
      </c>
      <c r="E129" s="88"/>
      <c r="F129" s="25">
        <f>C129*3.7%</f>
        <v>4126284585.8880005</v>
      </c>
      <c r="G129" s="25"/>
      <c r="K129" s="45"/>
      <c r="L129" s="45"/>
    </row>
    <row r="130" spans="2:12" ht="14.4" x14ac:dyDescent="0.3">
      <c r="B130" s="54" t="s">
        <v>2034</v>
      </c>
      <c r="C130" s="92">
        <f>+(C129*0.7)</f>
        <v>78064843516.799988</v>
      </c>
      <c r="D130" s="93">
        <f>+C130/$C$129</f>
        <v>0.69999999999999984</v>
      </c>
      <c r="E130" s="88"/>
      <c r="F130" s="25">
        <f>F129-C136</f>
        <v>18870000.000000477</v>
      </c>
      <c r="G130" s="25">
        <f>F71*3.7%</f>
        <v>18870000.000000004</v>
      </c>
      <c r="K130" s="45"/>
      <c r="L130" s="45"/>
    </row>
    <row r="131" spans="2:12" ht="14.4" x14ac:dyDescent="0.3">
      <c r="B131" s="94" t="s">
        <v>2035</v>
      </c>
      <c r="C131" s="95">
        <f>+C129-C130</f>
        <v>33456361507.200012</v>
      </c>
      <c r="D131" s="96">
        <f t="shared" ref="D131" si="9">+C131/$C$129</f>
        <v>0.3000000000000001</v>
      </c>
      <c r="E131" s="88"/>
      <c r="F131" s="25"/>
      <c r="G131" s="25"/>
      <c r="K131" s="45"/>
      <c r="L131" s="45"/>
    </row>
    <row r="132" spans="2:12" x14ac:dyDescent="0.3">
      <c r="B132" s="153"/>
      <c r="C132" s="154"/>
      <c r="D132" s="97"/>
      <c r="E132" s="79"/>
      <c r="F132" s="80"/>
      <c r="G132" s="25"/>
      <c r="K132" s="45"/>
      <c r="L132" s="45"/>
    </row>
    <row r="133" spans="2:12" ht="22.5" customHeight="1" x14ac:dyDescent="0.3">
      <c r="B133" s="141" t="s">
        <v>2036</v>
      </c>
      <c r="C133" s="141"/>
      <c r="D133" s="79"/>
      <c r="E133" s="79"/>
      <c r="F133" s="80"/>
      <c r="G133" s="25"/>
      <c r="K133" s="45"/>
      <c r="L133" s="45"/>
    </row>
    <row r="134" spans="2:12" ht="52.8" x14ac:dyDescent="0.3">
      <c r="B134" s="54" t="s">
        <v>2037</v>
      </c>
      <c r="C134" s="98">
        <f>11236130586.506-C46</f>
        <v>8365020586.5060005</v>
      </c>
      <c r="D134" s="88"/>
      <c r="E134" s="99" t="s">
        <v>2038</v>
      </c>
      <c r="F134" s="80"/>
      <c r="K134" s="45"/>
      <c r="L134" s="45"/>
    </row>
    <row r="135" spans="2:12" ht="39.6" x14ac:dyDescent="0.3">
      <c r="B135" s="54" t="s">
        <v>2039</v>
      </c>
      <c r="C135" s="98">
        <v>4668913388</v>
      </c>
      <c r="D135" s="88"/>
      <c r="E135" s="99" t="s">
        <v>2040</v>
      </c>
      <c r="F135" s="80"/>
      <c r="K135" s="45"/>
      <c r="L135" s="45"/>
    </row>
    <row r="136" spans="2:12" ht="145.19999999999999" x14ac:dyDescent="0.3">
      <c r="B136" s="94" t="s">
        <v>2041</v>
      </c>
      <c r="C136" s="100">
        <f>(F52-C123-C126-C124-C125-C122)*0.037</f>
        <v>4107414585.888</v>
      </c>
      <c r="D136" s="101" t="s">
        <v>2042</v>
      </c>
      <c r="E136" s="101" t="s">
        <v>2043</v>
      </c>
      <c r="F136" s="80"/>
    </row>
    <row r="137" spans="2:12" ht="15" x14ac:dyDescent="0.3">
      <c r="B137" s="54" t="s">
        <v>2044</v>
      </c>
      <c r="C137" s="100">
        <f>+C131-C134-C135-C136+E163+5000000000-F163+1428615287-G163</f>
        <v>27388676551.006027</v>
      </c>
      <c r="D137" s="88"/>
      <c r="E137" s="102"/>
      <c r="F137" s="80"/>
    </row>
    <row r="138" spans="2:12" x14ac:dyDescent="0.3">
      <c r="B138" s="103" t="s">
        <v>1918</v>
      </c>
      <c r="C138" s="104">
        <f>+C134+C135+C136+C137</f>
        <v>44530025111.400024</v>
      </c>
      <c r="D138" s="88"/>
      <c r="E138" s="88"/>
      <c r="F138" s="105"/>
    </row>
    <row r="139" spans="2:12" x14ac:dyDescent="0.3">
      <c r="B139" s="142"/>
      <c r="C139" s="142"/>
      <c r="D139" s="79"/>
      <c r="E139" s="79"/>
      <c r="F139" s="80"/>
    </row>
    <row r="140" spans="2:12" ht="24.75" customHeight="1" x14ac:dyDescent="0.3">
      <c r="B140" s="143" t="s">
        <v>2045</v>
      </c>
      <c r="C140" s="143"/>
      <c r="D140" s="91"/>
      <c r="E140" s="91"/>
      <c r="F140" s="91"/>
    </row>
    <row r="141" spans="2:12" ht="15" customHeight="1" x14ac:dyDescent="0.3">
      <c r="B141" s="106" t="s">
        <v>2046</v>
      </c>
      <c r="C141" s="107">
        <f>+C135</f>
        <v>4668913388</v>
      </c>
      <c r="D141" s="79"/>
      <c r="E141" s="79"/>
      <c r="F141" s="80"/>
    </row>
    <row r="142" spans="2:12" ht="15" customHeight="1" x14ac:dyDescent="0.3">
      <c r="B142" s="94" t="s">
        <v>2047</v>
      </c>
      <c r="C142" s="95">
        <f>+C136</f>
        <v>4107414585.888</v>
      </c>
      <c r="D142" s="88"/>
      <c r="E142" s="88"/>
      <c r="F142" s="80"/>
    </row>
    <row r="143" spans="2:12" ht="26.25" customHeight="1" x14ac:dyDescent="0.3">
      <c r="B143" s="54" t="s">
        <v>2048</v>
      </c>
      <c r="C143" s="92">
        <f>+E43</f>
        <v>681193000</v>
      </c>
      <c r="D143" s="108"/>
      <c r="E143" s="88"/>
      <c r="F143" s="80"/>
    </row>
    <row r="144" spans="2:12" ht="26.25" customHeight="1" x14ac:dyDescent="0.3">
      <c r="B144" s="109" t="s">
        <v>2049</v>
      </c>
      <c r="C144" s="110">
        <v>2538098716</v>
      </c>
      <c r="D144" s="79"/>
      <c r="E144" s="88"/>
      <c r="F144" s="80"/>
    </row>
    <row r="145" spans="1:8" ht="26.25" customHeight="1" x14ac:dyDescent="0.3">
      <c r="B145" s="94" t="s">
        <v>2050</v>
      </c>
      <c r="C145" s="111">
        <f>51589822235+296687000</f>
        <v>51886509235</v>
      </c>
      <c r="D145" s="88"/>
      <c r="E145" s="88"/>
      <c r="F145" s="80"/>
      <c r="G145" s="112"/>
    </row>
    <row r="146" spans="1:8" ht="26.25" customHeight="1" x14ac:dyDescent="0.3">
      <c r="B146" s="113" t="s">
        <v>2051</v>
      </c>
      <c r="C146" s="110">
        <v>7000000000</v>
      </c>
      <c r="D146" s="88"/>
      <c r="E146" s="88"/>
      <c r="F146" s="80"/>
      <c r="G146" s="114"/>
    </row>
    <row r="147" spans="1:8" ht="15" customHeight="1" x14ac:dyDescent="0.3">
      <c r="B147" s="113" t="s">
        <v>2052</v>
      </c>
      <c r="C147" s="115">
        <f>+(1969382468*1.2)+2500000000+1000000000</f>
        <v>5863258961.6000004</v>
      </c>
      <c r="D147" s="116"/>
      <c r="E147" s="117"/>
      <c r="F147" s="80"/>
    </row>
    <row r="148" spans="1:8" ht="15.75" customHeight="1" x14ac:dyDescent="0.3">
      <c r="B148" s="109" t="s">
        <v>2053</v>
      </c>
      <c r="C148" s="118">
        <f>+'[1]Salud 2024 '!F25</f>
        <v>10015793400</v>
      </c>
      <c r="D148" s="88"/>
      <c r="E148" s="117"/>
      <c r="F148" s="80"/>
    </row>
    <row r="149" spans="1:8" ht="26.4" x14ac:dyDescent="0.3">
      <c r="B149" s="54" t="s">
        <v>2054</v>
      </c>
      <c r="C149" s="119">
        <f>+E14+E22+E24+E30+E55+E59+E60+E66+E69+E37+E36+E54</f>
        <v>25965781000</v>
      </c>
      <c r="D149" s="120"/>
      <c r="E149" s="117"/>
      <c r="F149" s="80"/>
    </row>
    <row r="150" spans="1:8" ht="15" customHeight="1" x14ac:dyDescent="0.3">
      <c r="B150" s="94" t="s">
        <v>2055</v>
      </c>
      <c r="C150" s="121">
        <f>+C126+C124+C122+C125</f>
        <v>17103048096</v>
      </c>
      <c r="D150" s="122"/>
      <c r="E150" s="123"/>
      <c r="F150" s="80"/>
    </row>
    <row r="151" spans="1:8" ht="15" customHeight="1" x14ac:dyDescent="0.3">
      <c r="B151" s="54" t="s">
        <v>2056</v>
      </c>
      <c r="C151" s="119">
        <f>+E11+E15+E23+E31+E33+E40+E13+C41</f>
        <v>27923927000</v>
      </c>
      <c r="D151" s="120"/>
      <c r="E151" s="102"/>
      <c r="F151" s="80"/>
      <c r="H151" s="63"/>
    </row>
    <row r="152" spans="1:8" x14ac:dyDescent="0.3">
      <c r="B152" s="124" t="s">
        <v>2057</v>
      </c>
      <c r="C152" s="125">
        <f>+C141+C142+C145+C150+C151+C143+C149+C147+C148+C144+C146</f>
        <v>157753937382.48801</v>
      </c>
      <c r="D152" s="126"/>
      <c r="E152" s="127"/>
      <c r="F152" s="78"/>
    </row>
    <row r="153" spans="1:8" x14ac:dyDescent="0.3">
      <c r="B153" s="144"/>
      <c r="C153" s="144"/>
      <c r="D153" s="79"/>
      <c r="E153" s="79"/>
      <c r="F153" s="80"/>
    </row>
    <row r="154" spans="1:8" x14ac:dyDescent="0.3">
      <c r="B154" s="124" t="s">
        <v>2058</v>
      </c>
      <c r="C154" s="125">
        <f>C156+C155</f>
        <v>11236130586.506001</v>
      </c>
      <c r="D154" s="127"/>
      <c r="E154" s="127"/>
      <c r="F154" s="78"/>
    </row>
    <row r="155" spans="1:8" ht="14.4" x14ac:dyDescent="0.3">
      <c r="B155" s="94" t="s">
        <v>2059</v>
      </c>
      <c r="C155" s="95">
        <f>+C46</f>
        <v>2871110000</v>
      </c>
      <c r="D155" s="127"/>
      <c r="E155" s="128"/>
      <c r="F155" s="78"/>
    </row>
    <row r="156" spans="1:8" ht="14.4" x14ac:dyDescent="0.3">
      <c r="B156" s="54" t="s">
        <v>2060</v>
      </c>
      <c r="C156" s="107">
        <f>C134</f>
        <v>8365020586.5060005</v>
      </c>
      <c r="D156" s="127"/>
      <c r="E156" s="127"/>
      <c r="F156" s="78"/>
    </row>
    <row r="157" spans="1:8" x14ac:dyDescent="0.3">
      <c r="B157" s="124" t="s">
        <v>2061</v>
      </c>
      <c r="D157" s="79"/>
      <c r="E157" s="79"/>
      <c r="F157" s="80"/>
    </row>
    <row r="158" spans="1:8" x14ac:dyDescent="0.3">
      <c r="B158" s="129" t="s">
        <v>2062</v>
      </c>
      <c r="C158" s="130">
        <f>+C137+C122</f>
        <v>28687911431.006027</v>
      </c>
      <c r="D158" s="88"/>
      <c r="E158" s="79"/>
      <c r="F158" s="80"/>
    </row>
    <row r="159" spans="1:8" x14ac:dyDescent="0.3">
      <c r="A159" s="131"/>
      <c r="B159" s="89" t="s">
        <v>2063</v>
      </c>
      <c r="C159" s="130">
        <f>+D12+D21+D25+D26+D27+D28+D29+D39+D44+D51+D58+D61+D62+D63+D64+D65+D67+D68+C115+C111+D45</f>
        <v>30277983000</v>
      </c>
      <c r="D159" s="88"/>
      <c r="E159" s="79"/>
      <c r="F159" s="80"/>
    </row>
    <row r="160" spans="1:8" ht="15" x14ac:dyDescent="0.3">
      <c r="B160" s="129" t="s">
        <v>2064</v>
      </c>
      <c r="C160" s="132">
        <f>+D76+D77+D78+D79+D80+D81+D82+D83+D87+D88+D89+D90+D91+D92+D93+D94+D95+D96+D97+D98+D99+D100+D101+D102+D103+D104+D105+D106+D107-C148</f>
        <v>280317350600</v>
      </c>
      <c r="D160" s="88"/>
      <c r="E160" s="123"/>
      <c r="F160" s="80"/>
    </row>
    <row r="161" spans="2:7" x14ac:dyDescent="0.3">
      <c r="B161" s="124" t="s">
        <v>2065</v>
      </c>
      <c r="C161" s="125">
        <f>+C160+C159+C158</f>
        <v>339283245031.00604</v>
      </c>
      <c r="D161" s="128"/>
      <c r="E161" s="128"/>
      <c r="F161" s="78"/>
    </row>
    <row r="162" spans="2:7" x14ac:dyDescent="0.3">
      <c r="B162" s="145"/>
      <c r="C162" s="145"/>
      <c r="D162" s="128"/>
      <c r="E162" s="133"/>
      <c r="F162" s="78"/>
    </row>
    <row r="163" spans="2:7" x14ac:dyDescent="0.3">
      <c r="B163" s="124" t="s">
        <v>2066</v>
      </c>
      <c r="C163" s="125">
        <f>C161+C154+C152</f>
        <v>508273313000</v>
      </c>
      <c r="D163" s="128"/>
      <c r="E163" s="134">
        <v>10475258063.809999</v>
      </c>
      <c r="F163" s="25">
        <v>5602359746.6099854</v>
      </c>
      <c r="G163" s="25">
        <v>227850000</v>
      </c>
    </row>
    <row r="164" spans="2:7" x14ac:dyDescent="0.3">
      <c r="B164" s="89"/>
      <c r="C164" s="78"/>
      <c r="D164" s="88"/>
      <c r="E164" s="88"/>
      <c r="F164" s="80"/>
    </row>
    <row r="165" spans="2:7" x14ac:dyDescent="0.3">
      <c r="C165" s="135"/>
    </row>
    <row r="166" spans="2:7" x14ac:dyDescent="0.3">
      <c r="B166" s="146" t="s">
        <v>2067</v>
      </c>
      <c r="C166" s="146"/>
      <c r="D166" s="146"/>
    </row>
    <row r="167" spans="2:7" x14ac:dyDescent="0.3">
      <c r="B167" s="77" t="s">
        <v>2030</v>
      </c>
      <c r="C167" s="90" t="s">
        <v>2031</v>
      </c>
      <c r="D167" s="90" t="s">
        <v>2032</v>
      </c>
    </row>
    <row r="168" spans="2:7" ht="14.4" x14ac:dyDescent="0.3">
      <c r="B168" s="54" t="s">
        <v>2033</v>
      </c>
      <c r="C168" s="92">
        <f>+C129</f>
        <v>111521205024</v>
      </c>
      <c r="D168" s="93">
        <v>1</v>
      </c>
    </row>
    <row r="169" spans="2:7" ht="14.4" x14ac:dyDescent="0.3">
      <c r="B169" s="54" t="s">
        <v>2034</v>
      </c>
      <c r="C169" s="92">
        <f>+C145+C147+C144+C146</f>
        <v>67287866912.599998</v>
      </c>
      <c r="D169" s="93">
        <f>+C169/$C$129</f>
        <v>0.60336387952514736</v>
      </c>
    </row>
    <row r="170" spans="2:7" ht="14.4" x14ac:dyDescent="0.3">
      <c r="B170" s="94" t="s">
        <v>2035</v>
      </c>
      <c r="C170" s="95">
        <f>+C134+C135+C136+C137</f>
        <v>44530025111.400024</v>
      </c>
      <c r="D170" s="96">
        <f t="shared" ref="D170" si="10">+C170/$C$129</f>
        <v>0.39929648448308025</v>
      </c>
    </row>
    <row r="173" spans="2:7" ht="12.75" customHeight="1" x14ac:dyDescent="0.3"/>
    <row r="176" spans="2:7" x14ac:dyDescent="0.3">
      <c r="B176" s="33"/>
      <c r="C176" s="25"/>
    </row>
    <row r="177" spans="2:3" x14ac:dyDescent="0.3">
      <c r="B177" s="33" t="s">
        <v>2068</v>
      </c>
      <c r="C177" s="25">
        <f>+C145</f>
        <v>51886509235</v>
      </c>
    </row>
    <row r="178" spans="2:3" x14ac:dyDescent="0.3">
      <c r="B178" s="33" t="s">
        <v>2069</v>
      </c>
      <c r="C178" s="25">
        <f>+C147</f>
        <v>5863258961.6000004</v>
      </c>
    </row>
    <row r="179" spans="2:3" x14ac:dyDescent="0.3">
      <c r="B179" s="33" t="s">
        <v>2070</v>
      </c>
      <c r="C179" s="25">
        <f>+C146</f>
        <v>7000000000</v>
      </c>
    </row>
    <row r="180" spans="2:3" x14ac:dyDescent="0.3">
      <c r="B180" s="33" t="s">
        <v>2071</v>
      </c>
      <c r="C180" s="25">
        <f>+C144</f>
        <v>2538098716</v>
      </c>
    </row>
    <row r="181" spans="2:3" x14ac:dyDescent="0.3">
      <c r="B181" s="33" t="s">
        <v>2072</v>
      </c>
      <c r="C181" s="25">
        <f>+C142</f>
        <v>4107414585.888</v>
      </c>
    </row>
    <row r="182" spans="2:3" x14ac:dyDescent="0.3">
      <c r="B182" s="33" t="s">
        <v>2073</v>
      </c>
      <c r="C182" s="25">
        <f>+C135</f>
        <v>4668913388</v>
      </c>
    </row>
    <row r="183" spans="2:3" x14ac:dyDescent="0.3">
      <c r="B183" s="33" t="s">
        <v>2074</v>
      </c>
      <c r="C183" s="25">
        <f>+C122+C124+C125+C126</f>
        <v>17103048096</v>
      </c>
    </row>
    <row r="184" spans="2:3" x14ac:dyDescent="0.3">
      <c r="B184" s="33" t="s">
        <v>2075</v>
      </c>
      <c r="C184" s="25">
        <f>SUM(C177:C183)</f>
        <v>93167242982.487991</v>
      </c>
    </row>
    <row r="185" spans="2:3" x14ac:dyDescent="0.3">
      <c r="B185" s="33" t="s">
        <v>2076</v>
      </c>
      <c r="C185" s="25">
        <f>+C156</f>
        <v>8365020586.5060005</v>
      </c>
    </row>
    <row r="186" spans="2:3" x14ac:dyDescent="0.3">
      <c r="B186" s="33" t="s">
        <v>2077</v>
      </c>
      <c r="C186" s="25">
        <f>+C184+C185</f>
        <v>101532263568.99399</v>
      </c>
    </row>
    <row r="187" spans="2:3" x14ac:dyDescent="0.3">
      <c r="B187" s="33" t="s">
        <v>2078</v>
      </c>
      <c r="C187" s="25">
        <f>+C186-F120</f>
        <v>-28391224431.006012</v>
      </c>
    </row>
    <row r="188" spans="2:3" x14ac:dyDescent="0.3">
      <c r="B188" s="33"/>
      <c r="C188" s="25">
        <f>+C158</f>
        <v>28687911431.006027</v>
      </c>
    </row>
  </sheetData>
  <mergeCells count="24">
    <mergeCell ref="G8:G9"/>
    <mergeCell ref="A52:B52"/>
    <mergeCell ref="B114:C114"/>
    <mergeCell ref="A2:F2"/>
    <mergeCell ref="A3:F3"/>
    <mergeCell ref="A4:F4"/>
    <mergeCell ref="A5:F5"/>
    <mergeCell ref="A71:B71"/>
    <mergeCell ref="B73:C73"/>
    <mergeCell ref="B75:C75"/>
    <mergeCell ref="B86:C86"/>
    <mergeCell ref="B110:C110"/>
    <mergeCell ref="B166:D166"/>
    <mergeCell ref="A118:B118"/>
    <mergeCell ref="A120:B120"/>
    <mergeCell ref="M120:P120"/>
    <mergeCell ref="B121:C121"/>
    <mergeCell ref="B127:C127"/>
    <mergeCell ref="B132:C132"/>
    <mergeCell ref="B133:C133"/>
    <mergeCell ref="B139:C139"/>
    <mergeCell ref="B140:C140"/>
    <mergeCell ref="B153:C153"/>
    <mergeCell ref="B162:C1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189B8-8D2C-44CC-8852-26F31B3768FA}">
  <sheetPr filterMode="1"/>
  <dimension ref="A1:AX564"/>
  <sheetViews>
    <sheetView workbookViewId="0">
      <pane xSplit="4" ySplit="1" topLeftCell="H538" activePane="bottomRight" state="frozen"/>
      <selection pane="topRight" activeCell="E1" sqref="E1"/>
      <selection pane="bottomLeft" activeCell="A2" sqref="A2"/>
      <selection pane="bottomRight" activeCell="AT1" sqref="AT1"/>
    </sheetView>
  </sheetViews>
  <sheetFormatPr baseColWidth="10" defaultRowHeight="14.4" outlineLevelCol="1" x14ac:dyDescent="0.3"/>
  <cols>
    <col min="4" max="4" width="12.109375" style="5" customWidth="1"/>
    <col min="5" max="5" width="47.5546875" style="8" bestFit="1" customWidth="1"/>
    <col min="7" max="7" width="17.6640625" customWidth="1"/>
    <col min="8" max="8" width="36.77734375" style="8" customWidth="1"/>
    <col min="9" max="9" width="19.6640625" hidden="1" customWidth="1" outlineLevel="1"/>
    <col min="10" max="11" width="18.21875" style="11" hidden="1" customWidth="1" outlineLevel="1"/>
    <col min="12" max="12" width="17.21875" style="11" hidden="1" customWidth="1" outlineLevel="1"/>
    <col min="13" max="13" width="16.21875" style="11" hidden="1" customWidth="1" outlineLevel="1"/>
    <col min="14" max="15" width="17.21875" style="11" hidden="1" customWidth="1" outlineLevel="1"/>
    <col min="16" max="16" width="16.21875" style="11" hidden="1" customWidth="1" outlineLevel="1"/>
    <col min="17" max="17" width="18.21875" style="11" hidden="1" customWidth="1" outlineLevel="1"/>
    <col min="18" max="18" width="17.21875" style="11" hidden="1" customWidth="1" outlineLevel="1"/>
    <col min="19" max="19" width="14.6640625" style="11" hidden="1" customWidth="1" outlineLevel="1"/>
    <col min="20" max="20" width="17.21875" style="11" hidden="1" customWidth="1" outlineLevel="1"/>
    <col min="21" max="23" width="11" style="11" hidden="1" customWidth="1" outlineLevel="1"/>
    <col min="24" max="24" width="18.21875" style="11" hidden="1" customWidth="1" outlineLevel="1"/>
    <col min="25" max="25" width="17.21875" style="11" hidden="1" customWidth="1" outlineLevel="1"/>
    <col min="26" max="26" width="18.21875" style="17" bestFit="1" customWidth="1" collapsed="1"/>
    <col min="27" max="27" width="17.21875" style="11" hidden="1" customWidth="1" outlineLevel="1"/>
    <col min="28" max="28" width="14.6640625" style="11" hidden="1" customWidth="1" outlineLevel="1"/>
    <col min="29" max="29" width="17.21875" style="11" hidden="1" customWidth="1" outlineLevel="1"/>
    <col min="30" max="32" width="11" style="11" hidden="1" customWidth="1" outlineLevel="1"/>
    <col min="33" max="33" width="18.21875" style="11" hidden="1" customWidth="1" outlineLevel="1"/>
    <col min="34" max="34" width="17.21875" style="11" hidden="1" customWidth="1" outlineLevel="1"/>
    <col min="35" max="35" width="22.109375" style="12" hidden="1" customWidth="1" outlineLevel="1"/>
    <col min="36" max="36" width="18.21875" style="11" hidden="1" customWidth="1" outlineLevel="1"/>
    <col min="37" max="38" width="17.21875" style="11" hidden="1" customWidth="1" outlineLevel="1"/>
    <col min="39" max="40" width="18.21875" style="11" hidden="1" customWidth="1" outlineLevel="1"/>
    <col min="41" max="41" width="16.21875" style="11" hidden="1" customWidth="1" outlineLevel="1"/>
    <col min="42" max="42" width="18.21875" style="11" hidden="1" customWidth="1" outlineLevel="1"/>
    <col min="43" max="43" width="11" style="11" hidden="1" customWidth="1" outlineLevel="1"/>
    <col min="44" max="44" width="16.21875" style="11" hidden="1" customWidth="1" outlineLevel="1"/>
    <col min="45" max="45" width="13.33203125" customWidth="1" collapsed="1"/>
    <col min="46" max="46" width="27.33203125" style="4" customWidth="1"/>
  </cols>
  <sheetData>
    <row r="1" spans="1:50" s="2" customFormat="1" x14ac:dyDescent="0.3">
      <c r="A1" s="2" t="s">
        <v>0</v>
      </c>
      <c r="B1" s="2" t="s">
        <v>1</v>
      </c>
      <c r="C1" s="2" t="s">
        <v>2</v>
      </c>
      <c r="D1" s="16" t="s">
        <v>3</v>
      </c>
      <c r="E1" s="9" t="s">
        <v>4</v>
      </c>
      <c r="F1" s="2" t="s">
        <v>5</v>
      </c>
      <c r="H1" s="9" t="s">
        <v>6</v>
      </c>
      <c r="I1" s="2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1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19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  <c r="AQ1" s="6" t="s">
        <v>41</v>
      </c>
      <c r="AR1" s="6" t="s">
        <v>42</v>
      </c>
      <c r="AS1" s="2" t="s">
        <v>43</v>
      </c>
      <c r="AT1" s="13" t="s">
        <v>1905</v>
      </c>
      <c r="AX1">
        <f>+SUMIFS(CRUCE!C:C,CRUCE!A:A,D1,CRUCE!B:B,'2021'!H1)</f>
        <v>0</v>
      </c>
    </row>
    <row r="2" spans="1:50" hidden="1" x14ac:dyDescent="0.3">
      <c r="A2">
        <v>2021</v>
      </c>
      <c r="B2">
        <v>307</v>
      </c>
      <c r="C2">
        <v>1</v>
      </c>
      <c r="D2" s="5" t="s">
        <v>44</v>
      </c>
      <c r="E2" s="8" t="s">
        <v>45</v>
      </c>
      <c r="F2">
        <v>1</v>
      </c>
      <c r="H2" s="8" t="s">
        <v>46</v>
      </c>
      <c r="I2" t="s">
        <v>47</v>
      </c>
      <c r="J2" s="11">
        <v>135535026442.8</v>
      </c>
      <c r="K2" s="11">
        <v>135535026442.8</v>
      </c>
      <c r="L2" s="11">
        <v>53862317914.559998</v>
      </c>
      <c r="M2" s="11">
        <v>5964035993.8599997</v>
      </c>
      <c r="N2" s="11">
        <v>47898281920.699997</v>
      </c>
      <c r="O2" s="11">
        <v>53862317914.559998</v>
      </c>
      <c r="P2" s="11">
        <v>5964035993.8599997</v>
      </c>
      <c r="Q2" s="11">
        <v>183433308363.5</v>
      </c>
      <c r="R2" s="11">
        <v>30655608678.869999</v>
      </c>
      <c r="S2" s="11">
        <v>800621245.32000005</v>
      </c>
      <c r="T2" s="11">
        <v>29854987433.549999</v>
      </c>
      <c r="U2" s="11">
        <v>0</v>
      </c>
      <c r="V2" s="11">
        <v>0</v>
      </c>
      <c r="W2" s="11">
        <v>0</v>
      </c>
      <c r="X2" s="11">
        <v>203643096198.98001</v>
      </c>
      <c r="Y2" s="11">
        <v>14485386660.950001</v>
      </c>
      <c r="Z2" s="17">
        <v>189157709538.03</v>
      </c>
      <c r="AA2" s="11">
        <v>30655608678.869999</v>
      </c>
      <c r="AB2" s="11">
        <v>800621245.32000005</v>
      </c>
      <c r="AC2" s="11">
        <v>29854987433.549999</v>
      </c>
      <c r="AD2" s="11">
        <v>0</v>
      </c>
      <c r="AE2" s="11">
        <v>0</v>
      </c>
      <c r="AF2" s="11">
        <v>0</v>
      </c>
      <c r="AG2" s="11">
        <v>203643096198.98001</v>
      </c>
      <c r="AH2" s="11">
        <v>14485386660.950001</v>
      </c>
      <c r="AI2" s="12">
        <v>189157709538.03</v>
      </c>
      <c r="AJ2" s="11">
        <v>189157709538.03</v>
      </c>
      <c r="AK2" s="11">
        <v>38240508526.860001</v>
      </c>
      <c r="AL2" s="11">
        <v>38240508526.860001</v>
      </c>
      <c r="AM2" s="11">
        <v>156647323372.31</v>
      </c>
      <c r="AN2" s="11">
        <v>164750030261.44</v>
      </c>
      <c r="AO2" s="11">
        <v>8102706889.1300001</v>
      </c>
      <c r="AP2" s="11">
        <v>164750030261.44</v>
      </c>
      <c r="AQ2" s="11">
        <v>0</v>
      </c>
      <c r="AR2" s="11">
        <v>8102706889.1300001</v>
      </c>
      <c r="AS2" t="s">
        <v>48</v>
      </c>
      <c r="AT2"/>
    </row>
    <row r="3" spans="1:50" hidden="1" x14ac:dyDescent="0.3">
      <c r="A3">
        <v>2021</v>
      </c>
      <c r="B3">
        <v>307</v>
      </c>
      <c r="C3">
        <v>11</v>
      </c>
      <c r="D3" s="5" t="s">
        <v>44</v>
      </c>
      <c r="E3" s="8" t="s">
        <v>49</v>
      </c>
      <c r="F3">
        <v>11</v>
      </c>
      <c r="H3" s="8" t="s">
        <v>50</v>
      </c>
      <c r="I3" t="s">
        <v>47</v>
      </c>
      <c r="J3" s="11">
        <v>127022897078.8</v>
      </c>
      <c r="K3" s="11">
        <v>127022897078.8</v>
      </c>
      <c r="L3" s="11">
        <v>15207350684.700001</v>
      </c>
      <c r="M3" s="11">
        <v>5964035993.8599997</v>
      </c>
      <c r="N3" s="11">
        <v>9243314690.8400002</v>
      </c>
      <c r="O3" s="11">
        <v>15207350684.700001</v>
      </c>
      <c r="P3" s="11">
        <v>5964035993.8599997</v>
      </c>
      <c r="Q3" s="11">
        <v>136266211769.64</v>
      </c>
      <c r="R3" s="11">
        <v>30655608678.869999</v>
      </c>
      <c r="S3" s="11">
        <v>800621245.32000005</v>
      </c>
      <c r="T3" s="11">
        <v>29854987433.549999</v>
      </c>
      <c r="U3" s="11">
        <v>0</v>
      </c>
      <c r="V3" s="11">
        <v>0</v>
      </c>
      <c r="W3" s="11">
        <v>0</v>
      </c>
      <c r="X3" s="11">
        <v>155672629726.20999</v>
      </c>
      <c r="Y3" s="11">
        <v>13772662053</v>
      </c>
      <c r="Z3" s="17">
        <v>141899967673.20999</v>
      </c>
      <c r="AA3" s="11">
        <v>30655608678.869999</v>
      </c>
      <c r="AB3" s="11">
        <v>800621245.32000005</v>
      </c>
      <c r="AC3" s="11">
        <v>29854987433.549999</v>
      </c>
      <c r="AD3" s="11">
        <v>0</v>
      </c>
      <c r="AE3" s="11">
        <v>0</v>
      </c>
      <c r="AF3" s="11">
        <v>0</v>
      </c>
      <c r="AG3" s="11">
        <v>155672629726.20999</v>
      </c>
      <c r="AH3" s="11">
        <v>13772662053</v>
      </c>
      <c r="AI3" s="12">
        <v>141899967673.20999</v>
      </c>
      <c r="AJ3" s="11">
        <v>141899967673.20999</v>
      </c>
      <c r="AK3" s="11">
        <v>141163803</v>
      </c>
      <c r="AL3" s="11">
        <v>141163803</v>
      </c>
      <c r="AM3" s="11">
        <v>146869226106.89001</v>
      </c>
      <c r="AN3" s="11">
        <v>154878908512.53</v>
      </c>
      <c r="AO3" s="11">
        <v>8009682405.6400003</v>
      </c>
      <c r="AP3" s="11">
        <v>154878908512.53</v>
      </c>
      <c r="AQ3" s="11">
        <v>0</v>
      </c>
      <c r="AR3" s="11">
        <v>8009682405.6400003</v>
      </c>
      <c r="AS3" t="s">
        <v>48</v>
      </c>
      <c r="AT3"/>
    </row>
    <row r="4" spans="1:50" hidden="1" x14ac:dyDescent="0.3">
      <c r="A4">
        <v>2021</v>
      </c>
      <c r="B4">
        <v>307</v>
      </c>
      <c r="C4">
        <v>1101</v>
      </c>
      <c r="D4" s="5" t="s">
        <v>44</v>
      </c>
      <c r="E4" s="8" t="s">
        <v>51</v>
      </c>
      <c r="F4">
        <v>1101</v>
      </c>
      <c r="H4" s="8" t="s">
        <v>52</v>
      </c>
      <c r="I4" t="s">
        <v>47</v>
      </c>
      <c r="J4" s="11">
        <v>100297234309.8</v>
      </c>
      <c r="K4" s="11">
        <v>100297234309.8</v>
      </c>
      <c r="L4" s="11">
        <v>442161654.86000001</v>
      </c>
      <c r="M4" s="11">
        <v>442161654.86000001</v>
      </c>
      <c r="N4" s="11">
        <v>0</v>
      </c>
      <c r="O4" s="11">
        <v>442161654.86000001</v>
      </c>
      <c r="P4" s="11">
        <v>442161654.86000001</v>
      </c>
      <c r="Q4" s="11">
        <v>100297234309.8</v>
      </c>
      <c r="R4" s="11">
        <v>20280324459.689999</v>
      </c>
      <c r="S4" s="11">
        <v>251838944.40000001</v>
      </c>
      <c r="T4" s="11">
        <v>20028485515.290001</v>
      </c>
      <c r="U4" s="11">
        <v>0</v>
      </c>
      <c r="V4" s="11">
        <v>0</v>
      </c>
      <c r="W4" s="11">
        <v>0</v>
      </c>
      <c r="X4" s="11">
        <v>121132684318.75999</v>
      </c>
      <c r="Y4" s="11">
        <v>10934944729.969999</v>
      </c>
      <c r="Z4" s="17">
        <v>110197739588.78999</v>
      </c>
      <c r="AA4" s="11">
        <v>20280324459.689999</v>
      </c>
      <c r="AB4" s="11">
        <v>251838944.40000001</v>
      </c>
      <c r="AC4" s="11">
        <v>20028485515.290001</v>
      </c>
      <c r="AD4" s="11">
        <v>0</v>
      </c>
      <c r="AE4" s="11">
        <v>0</v>
      </c>
      <c r="AF4" s="11">
        <v>0</v>
      </c>
      <c r="AG4" s="11">
        <v>121132684318.75999</v>
      </c>
      <c r="AH4" s="11">
        <v>10934944729.969999</v>
      </c>
      <c r="AI4" s="12">
        <v>110197739588.78999</v>
      </c>
      <c r="AJ4" s="11">
        <v>110197739588.78999</v>
      </c>
      <c r="AK4" s="11">
        <v>0</v>
      </c>
      <c r="AL4" s="11">
        <v>0</v>
      </c>
      <c r="AM4" s="11">
        <v>115295428893.33</v>
      </c>
      <c r="AN4" s="11">
        <v>120480145308.08</v>
      </c>
      <c r="AO4" s="11">
        <v>5184716414.75</v>
      </c>
      <c r="AP4" s="11">
        <v>120480145308.08</v>
      </c>
      <c r="AQ4" s="11">
        <v>0</v>
      </c>
      <c r="AR4" s="11">
        <v>5184716414.75</v>
      </c>
      <c r="AS4" t="s">
        <v>48</v>
      </c>
      <c r="AT4"/>
    </row>
    <row r="5" spans="1:50" hidden="1" x14ac:dyDescent="0.3">
      <c r="A5">
        <v>2021</v>
      </c>
      <c r="B5">
        <v>307</v>
      </c>
      <c r="C5">
        <v>110101</v>
      </c>
      <c r="D5" s="5" t="s">
        <v>44</v>
      </c>
      <c r="E5" s="8" t="s">
        <v>53</v>
      </c>
      <c r="F5">
        <v>110101</v>
      </c>
      <c r="H5" s="8" t="s">
        <v>54</v>
      </c>
      <c r="I5" t="s">
        <v>47</v>
      </c>
      <c r="J5" s="11">
        <v>18334260464</v>
      </c>
      <c r="K5" s="11">
        <v>18334260464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18334260464</v>
      </c>
      <c r="R5" s="11">
        <v>20280324459.689999</v>
      </c>
      <c r="S5" s="11">
        <v>251838944.40000001</v>
      </c>
      <c r="T5" s="11">
        <v>20028485515.290001</v>
      </c>
      <c r="U5" s="11">
        <v>0</v>
      </c>
      <c r="V5" s="11">
        <v>0</v>
      </c>
      <c r="W5" s="11">
        <v>0</v>
      </c>
      <c r="X5" s="11">
        <v>19225343815.169998</v>
      </c>
      <c r="Y5" s="11">
        <v>9465911.8599999994</v>
      </c>
      <c r="Z5" s="17">
        <v>19215877903.310001</v>
      </c>
      <c r="AA5" s="11">
        <v>20280324459.689999</v>
      </c>
      <c r="AB5" s="11">
        <v>251838944.40000001</v>
      </c>
      <c r="AC5" s="11">
        <v>20028485515.290001</v>
      </c>
      <c r="AD5" s="11">
        <v>0</v>
      </c>
      <c r="AE5" s="11">
        <v>0</v>
      </c>
      <c r="AF5" s="11">
        <v>0</v>
      </c>
      <c r="AG5" s="11">
        <v>19225343815.169998</v>
      </c>
      <c r="AH5" s="11">
        <v>9465911.8599999994</v>
      </c>
      <c r="AI5" s="12">
        <v>19215877903.310001</v>
      </c>
      <c r="AJ5" s="11">
        <v>19215877903.310001</v>
      </c>
      <c r="AK5" s="11">
        <v>0</v>
      </c>
      <c r="AL5" s="11">
        <v>0</v>
      </c>
      <c r="AM5" s="11">
        <v>19224671015.169998</v>
      </c>
      <c r="AN5" s="11">
        <v>19225247015.169998</v>
      </c>
      <c r="AO5" s="11">
        <v>576000</v>
      </c>
      <c r="AP5" s="11">
        <v>19225247015.169998</v>
      </c>
      <c r="AQ5" s="11">
        <v>0</v>
      </c>
      <c r="AR5" s="11">
        <v>576000</v>
      </c>
      <c r="AS5" t="s">
        <v>48</v>
      </c>
      <c r="AT5"/>
    </row>
    <row r="6" spans="1:50" x14ac:dyDescent="0.3">
      <c r="A6">
        <v>2021</v>
      </c>
      <c r="B6">
        <v>307</v>
      </c>
      <c r="C6">
        <v>110101100</v>
      </c>
      <c r="D6" s="5">
        <v>20</v>
      </c>
      <c r="E6" s="8" t="s">
        <v>55</v>
      </c>
      <c r="F6">
        <v>110101100</v>
      </c>
      <c r="G6" t="s">
        <v>1908</v>
      </c>
      <c r="H6" s="8" t="s">
        <v>56</v>
      </c>
      <c r="I6" t="s">
        <v>47</v>
      </c>
      <c r="J6" s="11">
        <v>18334260464</v>
      </c>
      <c r="K6" s="11">
        <v>18334260464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18334260464</v>
      </c>
      <c r="R6" s="11">
        <v>20280324459.689999</v>
      </c>
      <c r="S6" s="11">
        <v>251838944.40000001</v>
      </c>
      <c r="T6" s="11">
        <v>20028485515.290001</v>
      </c>
      <c r="U6" s="11">
        <v>0</v>
      </c>
      <c r="V6" s="11">
        <v>0</v>
      </c>
      <c r="W6" s="11">
        <v>0</v>
      </c>
      <c r="X6" s="11">
        <v>19225343815.169998</v>
      </c>
      <c r="Y6" s="11">
        <v>9465911.8599999994</v>
      </c>
      <c r="Z6" s="17">
        <v>19215877903.310001</v>
      </c>
      <c r="AA6" s="11">
        <v>20280324459.689999</v>
      </c>
      <c r="AB6" s="11">
        <v>251838944.40000001</v>
      </c>
      <c r="AC6" s="11">
        <v>20028485515.290001</v>
      </c>
      <c r="AD6" s="11">
        <v>0</v>
      </c>
      <c r="AE6" s="11">
        <v>0</v>
      </c>
      <c r="AF6" s="11">
        <v>0</v>
      </c>
      <c r="AG6" s="11">
        <v>19225343815.169998</v>
      </c>
      <c r="AH6" s="11">
        <v>9465911.8599999994</v>
      </c>
      <c r="AI6" s="12">
        <v>19215877903.310001</v>
      </c>
      <c r="AJ6" s="11">
        <v>19215877903.310001</v>
      </c>
      <c r="AK6" s="11">
        <v>0</v>
      </c>
      <c r="AL6" s="11">
        <v>0</v>
      </c>
      <c r="AM6" s="11">
        <v>19224671015.169998</v>
      </c>
      <c r="AN6" s="11">
        <v>19225247015.169998</v>
      </c>
      <c r="AO6" s="11">
        <v>576000</v>
      </c>
      <c r="AP6" s="11">
        <v>19225247015.169998</v>
      </c>
      <c r="AQ6" s="11">
        <v>0</v>
      </c>
      <c r="AR6" s="11">
        <v>576000</v>
      </c>
      <c r="AS6" t="s">
        <v>57</v>
      </c>
      <c r="AT6" s="4" t="s">
        <v>56</v>
      </c>
      <c r="AU6" s="7" t="str">
        <f>+$D6&amp;$AT6&amp;Z6</f>
        <v>20Impuesto sobre vehículos automotores19215877903,31</v>
      </c>
      <c r="AV6" t="str">
        <f>+_xlfn.XLOOKUP(AU6,CRUCE!I:I,CRUCE!M:M)</f>
        <v>READY</v>
      </c>
      <c r="AW6" t="s">
        <v>1907</v>
      </c>
      <c r="AX6">
        <f>+SUMIFS(CRUCE!C:C,CRUCE!A:A,D6,CRUCE!B:B,'2021'!H6)</f>
        <v>19215877903.310001</v>
      </c>
    </row>
    <row r="7" spans="1:50" hidden="1" x14ac:dyDescent="0.3">
      <c r="A7">
        <v>2021</v>
      </c>
      <c r="B7">
        <v>307</v>
      </c>
      <c r="C7">
        <v>110102</v>
      </c>
      <c r="D7" s="5" t="s">
        <v>44</v>
      </c>
      <c r="E7" s="8" t="s">
        <v>58</v>
      </c>
      <c r="F7">
        <v>110102</v>
      </c>
      <c r="H7" s="8" t="s">
        <v>59</v>
      </c>
      <c r="I7" t="s">
        <v>47</v>
      </c>
      <c r="J7" s="11">
        <v>81962973845.800003</v>
      </c>
      <c r="K7" s="11">
        <v>81962973845.800003</v>
      </c>
      <c r="L7" s="11">
        <v>442161654.86000001</v>
      </c>
      <c r="M7" s="11">
        <v>442161654.86000001</v>
      </c>
      <c r="N7" s="11">
        <v>0</v>
      </c>
      <c r="O7" s="11">
        <v>442161654.86000001</v>
      </c>
      <c r="P7" s="11">
        <v>442161654.86000001</v>
      </c>
      <c r="Q7" s="11">
        <v>81962973845.800003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101907340503.59</v>
      </c>
      <c r="Y7" s="11">
        <v>10925478818.110001</v>
      </c>
      <c r="Z7" s="17">
        <v>90981861685.479996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101907340503.59</v>
      </c>
      <c r="AH7" s="11">
        <v>10925478818.110001</v>
      </c>
      <c r="AI7" s="12">
        <v>90981861685.479996</v>
      </c>
      <c r="AJ7" s="11">
        <v>90981861685.479996</v>
      </c>
      <c r="AK7" s="11">
        <v>0</v>
      </c>
      <c r="AL7" s="11">
        <v>0</v>
      </c>
      <c r="AM7" s="11">
        <v>96070757878.160004</v>
      </c>
      <c r="AN7" s="11">
        <v>101254898292.91</v>
      </c>
      <c r="AO7" s="11">
        <v>5184140414.75</v>
      </c>
      <c r="AP7" s="11">
        <v>101254898292.91</v>
      </c>
      <c r="AQ7" s="11">
        <v>0</v>
      </c>
      <c r="AR7" s="11">
        <v>5184140414.75</v>
      </c>
      <c r="AS7" t="s">
        <v>48</v>
      </c>
      <c r="AT7"/>
    </row>
    <row r="8" spans="1:50" hidden="1" x14ac:dyDescent="0.3">
      <c r="A8">
        <v>2021</v>
      </c>
      <c r="B8">
        <v>307</v>
      </c>
      <c r="C8">
        <v>110102100</v>
      </c>
      <c r="D8" s="5" t="s">
        <v>44</v>
      </c>
      <c r="E8" s="8" t="s">
        <v>60</v>
      </c>
      <c r="F8">
        <v>110102100</v>
      </c>
      <c r="H8" s="8" t="s">
        <v>61</v>
      </c>
      <c r="I8" t="s">
        <v>47</v>
      </c>
      <c r="J8" s="11">
        <v>16621807593.799999</v>
      </c>
      <c r="K8" s="11">
        <v>16621807593.799999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16621807593.799999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21362228785.59</v>
      </c>
      <c r="Y8" s="11">
        <v>721609094</v>
      </c>
      <c r="Z8" s="17">
        <v>20640619691.59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21362228785.59</v>
      </c>
      <c r="AH8" s="11">
        <v>721609094</v>
      </c>
      <c r="AI8" s="12">
        <v>20640619691.59</v>
      </c>
      <c r="AJ8" s="11">
        <v>20640619691.59</v>
      </c>
      <c r="AK8" s="11">
        <v>0</v>
      </c>
      <c r="AL8" s="11">
        <v>0</v>
      </c>
      <c r="AM8" s="11">
        <v>20761561076.59</v>
      </c>
      <c r="AN8" s="11">
        <v>21357607285.59</v>
      </c>
      <c r="AO8" s="11">
        <v>596046209</v>
      </c>
      <c r="AP8" s="11">
        <v>21357607285.59</v>
      </c>
      <c r="AQ8" s="11">
        <v>0</v>
      </c>
      <c r="AR8" s="11">
        <v>596046209</v>
      </c>
      <c r="AS8" t="s">
        <v>48</v>
      </c>
      <c r="AT8"/>
    </row>
    <row r="9" spans="1:50" x14ac:dyDescent="0.3">
      <c r="A9">
        <v>2021</v>
      </c>
      <c r="B9">
        <v>307</v>
      </c>
      <c r="C9">
        <v>11010210001</v>
      </c>
      <c r="D9" s="5">
        <v>1</v>
      </c>
      <c r="E9" s="8" t="s">
        <v>62</v>
      </c>
      <c r="F9">
        <v>11010210001</v>
      </c>
      <c r="G9" t="s">
        <v>1908</v>
      </c>
      <c r="H9" s="8" t="s">
        <v>63</v>
      </c>
      <c r="I9" t="s">
        <v>47</v>
      </c>
      <c r="J9" s="11">
        <v>668196665</v>
      </c>
      <c r="K9" s="11">
        <v>668196665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668196665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82163731.280000001</v>
      </c>
      <c r="Y9" s="11">
        <v>3115848.01</v>
      </c>
      <c r="Z9" s="17">
        <v>79047883.269999996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82163731.280000001</v>
      </c>
      <c r="AH9" s="11">
        <v>3115848.01</v>
      </c>
      <c r="AI9" s="12">
        <v>79047883.269999996</v>
      </c>
      <c r="AJ9" s="11">
        <v>79047883.269999996</v>
      </c>
      <c r="AK9" s="11">
        <v>0</v>
      </c>
      <c r="AL9" s="11">
        <v>0</v>
      </c>
      <c r="AM9" s="11">
        <v>79047883.269999996</v>
      </c>
      <c r="AN9" s="11">
        <v>82163731.280000001</v>
      </c>
      <c r="AO9" s="11">
        <v>3115848.01</v>
      </c>
      <c r="AP9" s="11">
        <v>82163731.280000001</v>
      </c>
      <c r="AQ9" s="11">
        <v>0</v>
      </c>
      <c r="AR9" s="11">
        <v>3115848.01</v>
      </c>
      <c r="AS9" t="s">
        <v>64</v>
      </c>
      <c r="AT9" s="4" t="s">
        <v>1026</v>
      </c>
      <c r="AU9" s="7" t="str">
        <f t="shared" ref="AU9:AU19" si="0">+$D9&amp;$AT9&amp;Z9</f>
        <v>1Impuesto de Registro - Cámaras de Comercio ( 20% FONPET)79047883,27</v>
      </c>
      <c r="AV9" t="str">
        <f>+_xlfn.XLOOKUP(AU9,CRUCE!I:I,CRUCE!M:M)</f>
        <v>READY</v>
      </c>
      <c r="AW9" t="s">
        <v>1907</v>
      </c>
      <c r="AX9">
        <f>+SUMIFS(CRUCE!C:C,CRUCE!A:A,D9,CRUCE!B:B,'2021'!H9)</f>
        <v>0</v>
      </c>
    </row>
    <row r="10" spans="1:50" x14ac:dyDescent="0.3">
      <c r="A10">
        <v>2021</v>
      </c>
      <c r="B10">
        <v>307</v>
      </c>
      <c r="C10">
        <v>11010210001</v>
      </c>
      <c r="D10" s="5">
        <v>13</v>
      </c>
      <c r="E10" s="8" t="s">
        <v>65</v>
      </c>
      <c r="F10">
        <v>11010210001</v>
      </c>
      <c r="G10" t="s">
        <v>1908</v>
      </c>
      <c r="H10" s="8" t="s">
        <v>63</v>
      </c>
      <c r="I10" t="s">
        <v>47</v>
      </c>
      <c r="J10" s="11">
        <v>498654227.80000001</v>
      </c>
      <c r="K10" s="11">
        <v>498654227.80000001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498654227.80000001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61316218.659999996</v>
      </c>
      <c r="Y10" s="11">
        <v>2325261</v>
      </c>
      <c r="Z10" s="17">
        <v>58990957.659999996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61316218.659999996</v>
      </c>
      <c r="AH10" s="11">
        <v>2325261</v>
      </c>
      <c r="AI10" s="12">
        <v>58990957.659999996</v>
      </c>
      <c r="AJ10" s="11">
        <v>58990957.659999996</v>
      </c>
      <c r="AK10" s="11">
        <v>0</v>
      </c>
      <c r="AL10" s="11">
        <v>0</v>
      </c>
      <c r="AM10" s="11">
        <v>58990957.659999996</v>
      </c>
      <c r="AN10" s="11">
        <v>61316218.659999996</v>
      </c>
      <c r="AO10" s="11">
        <v>2325261</v>
      </c>
      <c r="AP10" s="11">
        <v>61316218.659999996</v>
      </c>
      <c r="AQ10" s="11">
        <v>0</v>
      </c>
      <c r="AR10" s="11">
        <v>2325261</v>
      </c>
      <c r="AS10" t="s">
        <v>66</v>
      </c>
      <c r="AT10" s="4" t="s">
        <v>1028</v>
      </c>
      <c r="AU10" s="7" t="str">
        <f t="shared" si="0"/>
        <v>13Impuesto de Registro - Cámaras de Comercio (10% Cuotas Partes Pensionales)58990957,66</v>
      </c>
      <c r="AV10" t="str">
        <f>+_xlfn.XLOOKUP(AU10,CRUCE!I:I,CRUCE!M:M)</f>
        <v>READY</v>
      </c>
      <c r="AW10" t="s">
        <v>1907</v>
      </c>
      <c r="AX10">
        <f>+SUMIFS(CRUCE!C:C,CRUCE!A:A,D10,CRUCE!B:B,'2021'!H10)</f>
        <v>0</v>
      </c>
    </row>
    <row r="11" spans="1:50" x14ac:dyDescent="0.3">
      <c r="A11">
        <v>2021</v>
      </c>
      <c r="B11">
        <v>307</v>
      </c>
      <c r="C11">
        <v>11010210001</v>
      </c>
      <c r="D11" s="5">
        <v>20</v>
      </c>
      <c r="E11" s="8" t="s">
        <v>67</v>
      </c>
      <c r="F11">
        <v>11010210001</v>
      </c>
      <c r="G11" t="s">
        <v>1908</v>
      </c>
      <c r="H11" s="8" t="s">
        <v>63</v>
      </c>
      <c r="I11" t="s">
        <v>47</v>
      </c>
      <c r="J11" s="11">
        <v>3321037157</v>
      </c>
      <c r="K11" s="11">
        <v>3321037157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3321037157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408366016.01999998</v>
      </c>
      <c r="Y11" s="11">
        <v>15486238</v>
      </c>
      <c r="Z11" s="17">
        <v>392879778.01999998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408366016.01999998</v>
      </c>
      <c r="AH11" s="11">
        <v>15486238</v>
      </c>
      <c r="AI11" s="12">
        <v>392879778.01999998</v>
      </c>
      <c r="AJ11" s="11">
        <v>392879778.01999998</v>
      </c>
      <c r="AK11" s="11">
        <v>0</v>
      </c>
      <c r="AL11" s="11">
        <v>0</v>
      </c>
      <c r="AM11" s="11">
        <v>392879778.01999998</v>
      </c>
      <c r="AN11" s="11">
        <v>408366016.01999998</v>
      </c>
      <c r="AO11" s="11">
        <v>15486238</v>
      </c>
      <c r="AP11" s="11">
        <v>408366016.01999998</v>
      </c>
      <c r="AQ11" s="11">
        <v>0</v>
      </c>
      <c r="AR11" s="11">
        <v>15486238</v>
      </c>
      <c r="AS11" t="s">
        <v>57</v>
      </c>
      <c r="AT11" s="4" t="s">
        <v>1030</v>
      </c>
      <c r="AU11" s="7" t="str">
        <f t="shared" si="0"/>
        <v>20Impuesto de Registro - Cámaras de Comercio (ICLD)392879778,02</v>
      </c>
      <c r="AV11" t="str">
        <f>+_xlfn.XLOOKUP(AU11,CRUCE!I:I,CRUCE!M:M)</f>
        <v>READY</v>
      </c>
      <c r="AW11" t="s">
        <v>1907</v>
      </c>
      <c r="AX11">
        <f>+SUMIFS(CRUCE!C:C,CRUCE!A:A,D11,CRUCE!B:B,'2021'!H11)</f>
        <v>707863.9</v>
      </c>
    </row>
    <row r="12" spans="1:50" x14ac:dyDescent="0.3">
      <c r="A12">
        <v>2021</v>
      </c>
      <c r="B12">
        <v>307</v>
      </c>
      <c r="C12">
        <v>11010210001</v>
      </c>
      <c r="D12" s="5">
        <v>52</v>
      </c>
      <c r="E12" s="8" t="s">
        <v>68</v>
      </c>
      <c r="F12">
        <v>11010210001</v>
      </c>
      <c r="G12" t="s">
        <v>1908</v>
      </c>
      <c r="H12" s="8" t="s">
        <v>63</v>
      </c>
      <c r="I12" t="s">
        <v>47</v>
      </c>
      <c r="J12" s="11">
        <v>199461691.12</v>
      </c>
      <c r="K12" s="11">
        <v>199461691.12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199461691.12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24526488.07</v>
      </c>
      <c r="Y12" s="11">
        <v>930105</v>
      </c>
      <c r="Z12" s="17">
        <v>23596383.07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24526488.07</v>
      </c>
      <c r="AH12" s="11">
        <v>930105</v>
      </c>
      <c r="AI12" s="12">
        <v>23596383.07</v>
      </c>
      <c r="AJ12" s="11">
        <v>23596383.07</v>
      </c>
      <c r="AK12" s="11">
        <v>0</v>
      </c>
      <c r="AL12" s="11">
        <v>0</v>
      </c>
      <c r="AM12" s="11">
        <v>23596383.07</v>
      </c>
      <c r="AN12" s="11">
        <v>24526488.07</v>
      </c>
      <c r="AO12" s="11">
        <v>930105</v>
      </c>
      <c r="AP12" s="11">
        <v>24526488.07</v>
      </c>
      <c r="AQ12" s="11">
        <v>0</v>
      </c>
      <c r="AR12" s="11">
        <v>930105</v>
      </c>
      <c r="AS12" t="s">
        <v>69</v>
      </c>
      <c r="AT12" s="4" t="s">
        <v>1032</v>
      </c>
      <c r="AU12" s="7" t="str">
        <f t="shared" si="0"/>
        <v>52Impuesto de Registro - Cámaras de Comercio (4% Turismo)23596383,07</v>
      </c>
      <c r="AV12" t="str">
        <f>+_xlfn.XLOOKUP(AU12,CRUCE!I:I,CRUCE!M:M)</f>
        <v>READY</v>
      </c>
      <c r="AW12" t="s">
        <v>1907</v>
      </c>
      <c r="AX12">
        <f>+SUMIFS(CRUCE!C:C,CRUCE!A:A,D12,CRUCE!B:B,'2021'!H12)</f>
        <v>0</v>
      </c>
    </row>
    <row r="13" spans="1:50" x14ac:dyDescent="0.3">
      <c r="A13">
        <v>2021</v>
      </c>
      <c r="B13">
        <v>307</v>
      </c>
      <c r="C13">
        <v>11010210001</v>
      </c>
      <c r="D13" s="5">
        <v>53</v>
      </c>
      <c r="E13" s="8" t="s">
        <v>70</v>
      </c>
      <c r="F13">
        <v>11010210001</v>
      </c>
      <c r="G13" t="s">
        <v>1908</v>
      </c>
      <c r="H13" s="8" t="s">
        <v>63</v>
      </c>
      <c r="I13" t="s">
        <v>47</v>
      </c>
      <c r="J13" s="11">
        <v>299192536.68000001</v>
      </c>
      <c r="K13" s="11">
        <v>299192536.68000001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299192536.68000001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36789731.560000002</v>
      </c>
      <c r="Y13" s="11">
        <v>1395156.99</v>
      </c>
      <c r="Z13" s="17">
        <v>35394574.57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36789731.560000002</v>
      </c>
      <c r="AH13" s="11">
        <v>1395156.99</v>
      </c>
      <c r="AI13" s="12">
        <v>35394574.57</v>
      </c>
      <c r="AJ13" s="11">
        <v>35394574.57</v>
      </c>
      <c r="AK13" s="11">
        <v>0</v>
      </c>
      <c r="AL13" s="11">
        <v>0</v>
      </c>
      <c r="AM13" s="11">
        <v>35394574.57</v>
      </c>
      <c r="AN13" s="11">
        <v>36789731.560000002</v>
      </c>
      <c r="AO13" s="11">
        <v>1395156.99</v>
      </c>
      <c r="AP13" s="11">
        <v>36789731.560000002</v>
      </c>
      <c r="AQ13" s="11">
        <v>0</v>
      </c>
      <c r="AR13" s="11">
        <v>1395156.99</v>
      </c>
      <c r="AS13" t="s">
        <v>71</v>
      </c>
      <c r="AT13" s="4" t="s">
        <v>1034</v>
      </c>
      <c r="AU13" s="7" t="str">
        <f t="shared" si="0"/>
        <v>53Impuesto de Registro - Cámaras de Comercio (6% Proyecta)35394574,57</v>
      </c>
      <c r="AV13" t="str">
        <f>+_xlfn.XLOOKUP(AU13,CRUCE!I:I,CRUCE!M:M)</f>
        <v>READY</v>
      </c>
      <c r="AW13" t="s">
        <v>1907</v>
      </c>
      <c r="AX13">
        <f>+SUMIFS(CRUCE!C:C,CRUCE!A:A,D13,CRUCE!B:B,'2021'!H13)</f>
        <v>0</v>
      </c>
    </row>
    <row r="14" spans="1:50" x14ac:dyDescent="0.3">
      <c r="A14">
        <v>2021</v>
      </c>
      <c r="B14">
        <v>307</v>
      </c>
      <c r="C14">
        <v>11010210002</v>
      </c>
      <c r="D14" s="5">
        <v>1</v>
      </c>
      <c r="E14" s="8" t="s">
        <v>72</v>
      </c>
      <c r="F14">
        <v>11010210002</v>
      </c>
      <c r="G14" t="s">
        <v>1908</v>
      </c>
      <c r="H14" s="8" t="s">
        <v>73</v>
      </c>
      <c r="I14" t="s">
        <v>47</v>
      </c>
      <c r="J14" s="11">
        <v>1559125553</v>
      </c>
      <c r="K14" s="11">
        <v>1559125553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1559125553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2780409155.4099998</v>
      </c>
      <c r="Y14" s="11">
        <v>93614000</v>
      </c>
      <c r="Z14" s="17">
        <v>2686795155.4099998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2780409155.4099998</v>
      </c>
      <c r="AH14" s="11">
        <v>93614000</v>
      </c>
      <c r="AI14" s="12">
        <v>2686795155.4099998</v>
      </c>
      <c r="AJ14" s="11">
        <v>2686795155.4099998</v>
      </c>
      <c r="AK14" s="11">
        <v>0</v>
      </c>
      <c r="AL14" s="11">
        <v>0</v>
      </c>
      <c r="AM14" s="11">
        <v>2703001286.21</v>
      </c>
      <c r="AN14" s="11">
        <v>2779755629.21</v>
      </c>
      <c r="AO14" s="11">
        <v>76754343</v>
      </c>
      <c r="AP14" s="11">
        <v>2779755629.21</v>
      </c>
      <c r="AQ14" s="11">
        <v>0</v>
      </c>
      <c r="AR14" s="11">
        <v>76754343</v>
      </c>
      <c r="AS14" t="s">
        <v>64</v>
      </c>
      <c r="AT14" s="4" t="s">
        <v>1037</v>
      </c>
      <c r="AU14" s="7" t="str">
        <f t="shared" si="0"/>
        <v>1Impuesto de Registro - Oficinas de Instrumentos Públicos ( 20% FONPET)2686795155,41</v>
      </c>
      <c r="AV14" t="str">
        <f>+_xlfn.XLOOKUP(AU14,CRUCE!I:I,CRUCE!M:M)</f>
        <v>READY</v>
      </c>
      <c r="AW14" t="s">
        <v>1907</v>
      </c>
      <c r="AX14">
        <f>+SUMIFS(CRUCE!C:C,CRUCE!A:A,D14,CRUCE!B:B,'2021'!H14)</f>
        <v>0</v>
      </c>
    </row>
    <row r="15" spans="1:50" x14ac:dyDescent="0.3">
      <c r="A15">
        <v>2021</v>
      </c>
      <c r="B15">
        <v>307</v>
      </c>
      <c r="C15">
        <v>11010210002</v>
      </c>
      <c r="D15" s="5">
        <v>13</v>
      </c>
      <c r="E15" s="8" t="s">
        <v>74</v>
      </c>
      <c r="F15">
        <v>11010210002</v>
      </c>
      <c r="G15" t="s">
        <v>1908</v>
      </c>
      <c r="H15" s="8" t="s">
        <v>73</v>
      </c>
      <c r="I15" t="s">
        <v>47</v>
      </c>
      <c r="J15" s="11">
        <v>1163526531.5999999</v>
      </c>
      <c r="K15" s="11">
        <v>1163526531.5999999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1163526531.5999999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2074906660.5</v>
      </c>
      <c r="Y15" s="11">
        <v>69835649</v>
      </c>
      <c r="Z15" s="17">
        <v>2005071011.5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2074906660.5</v>
      </c>
      <c r="AH15" s="11">
        <v>69835649</v>
      </c>
      <c r="AI15" s="12">
        <v>2005071011.5</v>
      </c>
      <c r="AJ15" s="11">
        <v>2005071011.5</v>
      </c>
      <c r="AK15" s="11">
        <v>0</v>
      </c>
      <c r="AL15" s="11">
        <v>0</v>
      </c>
      <c r="AM15" s="11">
        <v>2017165150.5</v>
      </c>
      <c r="AN15" s="11">
        <v>2074444510.5</v>
      </c>
      <c r="AO15" s="11">
        <v>57279360</v>
      </c>
      <c r="AP15" s="11">
        <v>2074444510.5</v>
      </c>
      <c r="AQ15" s="11">
        <v>0</v>
      </c>
      <c r="AR15" s="11">
        <v>57279360</v>
      </c>
      <c r="AS15" t="s">
        <v>66</v>
      </c>
      <c r="AT15" s="4" t="s">
        <v>1039</v>
      </c>
      <c r="AU15" s="7" t="str">
        <f t="shared" si="0"/>
        <v>13Impuesto de Registro - Oficinas de Instrumentos Públicos (10% Cuotas Partes Pensionales)2005071011,5</v>
      </c>
      <c r="AV15" t="str">
        <f>+_xlfn.XLOOKUP(AU15,CRUCE!I:I,CRUCE!M:M)</f>
        <v>READY</v>
      </c>
      <c r="AW15" t="s">
        <v>1907</v>
      </c>
      <c r="AX15">
        <f>+SUMIFS(CRUCE!C:C,CRUCE!A:A,D15,CRUCE!B:B,'2021'!H15)</f>
        <v>0</v>
      </c>
    </row>
    <row r="16" spans="1:50" x14ac:dyDescent="0.3">
      <c r="A16">
        <v>2021</v>
      </c>
      <c r="B16">
        <v>307</v>
      </c>
      <c r="C16">
        <v>11010210002</v>
      </c>
      <c r="D16" s="5">
        <v>20</v>
      </c>
      <c r="E16" s="8" t="s">
        <v>75</v>
      </c>
      <c r="F16">
        <v>11010210002</v>
      </c>
      <c r="G16" t="s">
        <v>1908</v>
      </c>
      <c r="H16" s="8" t="s">
        <v>73</v>
      </c>
      <c r="I16" t="s">
        <v>47</v>
      </c>
      <c r="J16" s="11">
        <v>7749086700</v>
      </c>
      <c r="K16" s="11">
        <v>7749086700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7749086700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13818844124.59</v>
      </c>
      <c r="Y16" s="11">
        <v>465071188</v>
      </c>
      <c r="Z16" s="17">
        <v>13353772936.59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13818844124.59</v>
      </c>
      <c r="AH16" s="11">
        <v>465071188</v>
      </c>
      <c r="AI16" s="12">
        <v>13353772936.59</v>
      </c>
      <c r="AJ16" s="11">
        <v>13353772936.59</v>
      </c>
      <c r="AK16" s="11">
        <v>0</v>
      </c>
      <c r="AL16" s="11">
        <v>0</v>
      </c>
      <c r="AM16" s="11">
        <v>13434319913.790001</v>
      </c>
      <c r="AN16" s="11">
        <v>13815800450.790001</v>
      </c>
      <c r="AO16" s="11">
        <v>381480537</v>
      </c>
      <c r="AP16" s="11">
        <v>13815800450.790001</v>
      </c>
      <c r="AQ16" s="11">
        <v>0</v>
      </c>
      <c r="AR16" s="11">
        <v>381480537</v>
      </c>
      <c r="AS16" t="s">
        <v>57</v>
      </c>
      <c r="AT16" s="4" t="s">
        <v>1041</v>
      </c>
      <c r="AU16" s="7" t="str">
        <f t="shared" si="0"/>
        <v>20Impuesto de Registro - Oficinas de Instrumentos Públicos (ICLD)13353772936,59</v>
      </c>
      <c r="AV16" t="str">
        <f>+_xlfn.XLOOKUP(AU16,CRUCE!I:I,CRUCE!M:M)</f>
        <v>READY</v>
      </c>
      <c r="AW16" t="s">
        <v>1907</v>
      </c>
      <c r="AX16">
        <f>+SUMIFS(CRUCE!C:C,CRUCE!A:A,D16,CRUCE!B:B,'2021'!H16)</f>
        <v>43900041.82</v>
      </c>
    </row>
    <row r="17" spans="1:50" x14ac:dyDescent="0.3">
      <c r="A17">
        <v>2021</v>
      </c>
      <c r="B17">
        <v>307</v>
      </c>
      <c r="C17">
        <v>11010210002</v>
      </c>
      <c r="D17" s="5">
        <v>52</v>
      </c>
      <c r="E17" s="8" t="s">
        <v>76</v>
      </c>
      <c r="F17">
        <v>11010210002</v>
      </c>
      <c r="G17" t="s">
        <v>1908</v>
      </c>
      <c r="H17" s="8" t="s">
        <v>73</v>
      </c>
      <c r="I17" t="s">
        <v>47</v>
      </c>
      <c r="J17" s="11">
        <v>465410612.63999999</v>
      </c>
      <c r="K17" s="11">
        <v>465410612.63999999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465410612.63999999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829962663.60000002</v>
      </c>
      <c r="Y17" s="11">
        <v>27934259</v>
      </c>
      <c r="Z17" s="17">
        <v>802028404.60000002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829962663.60000002</v>
      </c>
      <c r="AH17" s="11">
        <v>27934259</v>
      </c>
      <c r="AI17" s="12">
        <v>802028404.60000002</v>
      </c>
      <c r="AJ17" s="11">
        <v>802028404.60000002</v>
      </c>
      <c r="AK17" s="11">
        <v>0</v>
      </c>
      <c r="AL17" s="11">
        <v>0</v>
      </c>
      <c r="AM17" s="11">
        <v>806866059.60000002</v>
      </c>
      <c r="AN17" s="11">
        <v>829777803.60000002</v>
      </c>
      <c r="AO17" s="11">
        <v>22911744</v>
      </c>
      <c r="AP17" s="11">
        <v>829777803.60000002</v>
      </c>
      <c r="AQ17" s="11">
        <v>0</v>
      </c>
      <c r="AR17" s="11">
        <v>22911744</v>
      </c>
      <c r="AS17" t="s">
        <v>69</v>
      </c>
      <c r="AT17" s="4" t="s">
        <v>1043</v>
      </c>
      <c r="AU17" s="7" t="str">
        <f t="shared" si="0"/>
        <v>52Impuesto de Registro - Oficinas de Instrumentos Públicos (4% Turismo)802028404,6</v>
      </c>
      <c r="AV17" t="str">
        <f>+_xlfn.XLOOKUP(AU17,CRUCE!I:I,CRUCE!M:M)</f>
        <v>READY</v>
      </c>
      <c r="AW17" t="s">
        <v>1907</v>
      </c>
      <c r="AX17">
        <f>+SUMIFS(CRUCE!C:C,CRUCE!A:A,D17,CRUCE!B:B,'2021'!H17)</f>
        <v>0</v>
      </c>
    </row>
    <row r="18" spans="1:50" x14ac:dyDescent="0.3">
      <c r="A18">
        <v>2021</v>
      </c>
      <c r="B18">
        <v>307</v>
      </c>
      <c r="C18">
        <v>11010210002</v>
      </c>
      <c r="D18" s="5">
        <v>53</v>
      </c>
      <c r="E18" s="8" t="s">
        <v>77</v>
      </c>
      <c r="F18">
        <v>11010210002</v>
      </c>
      <c r="G18" t="s">
        <v>1908</v>
      </c>
      <c r="H18" s="8" t="s">
        <v>73</v>
      </c>
      <c r="I18" t="s">
        <v>47</v>
      </c>
      <c r="J18" s="11">
        <v>698115918.96000004</v>
      </c>
      <c r="K18" s="11">
        <v>698115918.96000004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698115918.96000004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1244943995.9000001</v>
      </c>
      <c r="Y18" s="11">
        <v>41901389</v>
      </c>
      <c r="Z18" s="17">
        <v>1203042606.9000001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1244943995.9000001</v>
      </c>
      <c r="AH18" s="11">
        <v>41901389</v>
      </c>
      <c r="AI18" s="12">
        <v>1203042606.9000001</v>
      </c>
      <c r="AJ18" s="11">
        <v>1203042606.9000001</v>
      </c>
      <c r="AK18" s="11">
        <v>0</v>
      </c>
      <c r="AL18" s="11">
        <v>0</v>
      </c>
      <c r="AM18" s="11">
        <v>1210299089.9000001</v>
      </c>
      <c r="AN18" s="11">
        <v>1244666705.9000001</v>
      </c>
      <c r="AO18" s="11">
        <v>34367616</v>
      </c>
      <c r="AP18" s="11">
        <v>1244666705.9000001</v>
      </c>
      <c r="AQ18" s="11">
        <v>0</v>
      </c>
      <c r="AR18" s="11">
        <v>34367616</v>
      </c>
      <c r="AS18" t="s">
        <v>71</v>
      </c>
      <c r="AT18" s="4" t="s">
        <v>1045</v>
      </c>
      <c r="AU18" s="7" t="str">
        <f t="shared" si="0"/>
        <v>53Impuesto de Registro - Oficinas de Instrumentos Públicos (6% Proyecta)1203042606,9</v>
      </c>
      <c r="AV18" t="str">
        <f>+_xlfn.XLOOKUP(AU18,CRUCE!I:I,CRUCE!M:M)</f>
        <v>READY</v>
      </c>
      <c r="AW18" t="s">
        <v>1907</v>
      </c>
      <c r="AX18">
        <f>+SUMIFS(CRUCE!C:C,CRUCE!A:A,D18,CRUCE!B:B,'2021'!H18)</f>
        <v>0</v>
      </c>
    </row>
    <row r="19" spans="1:50" x14ac:dyDescent="0.3">
      <c r="A19">
        <v>2021</v>
      </c>
      <c r="B19">
        <v>307</v>
      </c>
      <c r="C19">
        <v>110102102</v>
      </c>
      <c r="D19" s="5">
        <v>20</v>
      </c>
      <c r="E19" s="8" t="s">
        <v>78</v>
      </c>
      <c r="F19">
        <v>110102102</v>
      </c>
      <c r="G19" t="s">
        <v>1908</v>
      </c>
      <c r="H19" s="8" t="s">
        <v>79</v>
      </c>
      <c r="I19" t="s">
        <v>47</v>
      </c>
      <c r="J19" s="11">
        <v>673449432</v>
      </c>
      <c r="K19" s="11">
        <v>673449432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673449432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660196800</v>
      </c>
      <c r="Y19" s="11">
        <v>0</v>
      </c>
      <c r="Z19" s="17">
        <v>660196800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660196800</v>
      </c>
      <c r="AH19" s="11">
        <v>0</v>
      </c>
      <c r="AI19" s="12">
        <v>660196800</v>
      </c>
      <c r="AJ19" s="11">
        <v>660196800</v>
      </c>
      <c r="AK19" s="11">
        <v>0</v>
      </c>
      <c r="AL19" s="11">
        <v>0</v>
      </c>
      <c r="AM19" s="11">
        <v>660196800</v>
      </c>
      <c r="AN19" s="11">
        <v>660196800</v>
      </c>
      <c r="AO19" s="11">
        <v>0</v>
      </c>
      <c r="AP19" s="11">
        <v>660196800</v>
      </c>
      <c r="AQ19" s="11">
        <v>0</v>
      </c>
      <c r="AR19" s="11">
        <v>0</v>
      </c>
      <c r="AS19" t="s">
        <v>57</v>
      </c>
      <c r="AT19" s="4" t="s">
        <v>79</v>
      </c>
      <c r="AU19" s="7" t="str">
        <f t="shared" si="0"/>
        <v>20Impuesto al degüello de ganado mayor660196800</v>
      </c>
      <c r="AV19" t="str">
        <f>+_xlfn.XLOOKUP(AU19,CRUCE!I:I,CRUCE!M:M)</f>
        <v>READY</v>
      </c>
      <c r="AW19" t="s">
        <v>1907</v>
      </c>
      <c r="AX19">
        <f>+SUMIFS(CRUCE!C:C,CRUCE!A:A,D19,CRUCE!B:B,'2021'!H19)</f>
        <v>660196800</v>
      </c>
    </row>
    <row r="20" spans="1:50" hidden="1" x14ac:dyDescent="0.3">
      <c r="A20">
        <v>2021</v>
      </c>
      <c r="B20">
        <v>307</v>
      </c>
      <c r="C20">
        <v>110102103</v>
      </c>
      <c r="D20" s="5" t="s">
        <v>44</v>
      </c>
      <c r="E20" s="8" t="s">
        <v>80</v>
      </c>
      <c r="F20">
        <v>110102103</v>
      </c>
      <c r="H20" s="8" t="s">
        <v>81</v>
      </c>
      <c r="I20" t="s">
        <v>47</v>
      </c>
      <c r="J20" s="11">
        <v>251730003</v>
      </c>
      <c r="K20" s="11">
        <v>251730003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251730003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369626923.94</v>
      </c>
      <c r="Y20" s="11">
        <v>16297830</v>
      </c>
      <c r="Z20" s="17">
        <v>353329093.94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369626923.94</v>
      </c>
      <c r="AH20" s="11">
        <v>16297830</v>
      </c>
      <c r="AI20" s="12">
        <v>353329093.94</v>
      </c>
      <c r="AJ20" s="11">
        <v>353329093.94</v>
      </c>
      <c r="AK20" s="11">
        <v>0</v>
      </c>
      <c r="AL20" s="11">
        <v>0</v>
      </c>
      <c r="AM20" s="11">
        <v>367172983.94</v>
      </c>
      <c r="AN20" s="11">
        <v>369626923.94</v>
      </c>
      <c r="AO20" s="11">
        <v>2453940</v>
      </c>
      <c r="AP20" s="11">
        <v>369626923.94</v>
      </c>
      <c r="AQ20" s="11">
        <v>0</v>
      </c>
      <c r="AR20" s="11">
        <v>2453940</v>
      </c>
      <c r="AS20" t="s">
        <v>48</v>
      </c>
      <c r="AT20"/>
    </row>
    <row r="21" spans="1:50" hidden="1" x14ac:dyDescent="0.3">
      <c r="A21">
        <v>2021</v>
      </c>
      <c r="B21">
        <v>307</v>
      </c>
      <c r="C21">
        <v>11010210302</v>
      </c>
      <c r="D21" s="5" t="s">
        <v>44</v>
      </c>
      <c r="E21" s="8" t="s">
        <v>82</v>
      </c>
      <c r="F21">
        <v>11010210302</v>
      </c>
      <c r="H21" s="8" t="s">
        <v>81</v>
      </c>
      <c r="I21" t="s">
        <v>47</v>
      </c>
      <c r="J21" s="11">
        <v>251730003</v>
      </c>
      <c r="K21" s="11">
        <v>251730003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251730003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369626923.94</v>
      </c>
      <c r="Y21" s="11">
        <v>16297830</v>
      </c>
      <c r="Z21" s="17">
        <v>353329093.94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369626923.94</v>
      </c>
      <c r="AH21" s="11">
        <v>16297830</v>
      </c>
      <c r="AI21" s="12">
        <v>353329093.94</v>
      </c>
      <c r="AJ21" s="11">
        <v>353329093.94</v>
      </c>
      <c r="AK21" s="11">
        <v>0</v>
      </c>
      <c r="AL21" s="11">
        <v>0</v>
      </c>
      <c r="AM21" s="11">
        <v>367172983.94</v>
      </c>
      <c r="AN21" s="11">
        <v>369626923.94</v>
      </c>
      <c r="AO21" s="11">
        <v>2453940</v>
      </c>
      <c r="AP21" s="11">
        <v>369626923.94</v>
      </c>
      <c r="AQ21" s="11">
        <v>0</v>
      </c>
      <c r="AR21" s="11">
        <v>2453940</v>
      </c>
      <c r="AS21" t="s">
        <v>48</v>
      </c>
      <c r="AT21"/>
    </row>
    <row r="22" spans="1:50" x14ac:dyDescent="0.3">
      <c r="A22">
        <v>2021</v>
      </c>
      <c r="B22">
        <v>307</v>
      </c>
      <c r="C22">
        <v>1101021030201</v>
      </c>
      <c r="D22" s="5">
        <v>145</v>
      </c>
      <c r="E22" s="8" t="s">
        <v>83</v>
      </c>
      <c r="F22">
        <v>1101021030201</v>
      </c>
      <c r="G22" t="s">
        <v>1908</v>
      </c>
      <c r="H22" s="8" t="s">
        <v>81</v>
      </c>
      <c r="I22" t="s">
        <v>47</v>
      </c>
      <c r="J22" s="11">
        <v>251730003</v>
      </c>
      <c r="K22" s="11">
        <v>251730003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251730003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369626923.94</v>
      </c>
      <c r="Y22" s="11">
        <v>16297830</v>
      </c>
      <c r="Z22" s="17">
        <v>353329093.94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369626923.94</v>
      </c>
      <c r="AH22" s="11">
        <v>16297830</v>
      </c>
      <c r="AI22" s="12">
        <v>353329093.94</v>
      </c>
      <c r="AJ22" s="11">
        <v>353329093.94</v>
      </c>
      <c r="AK22" s="11">
        <v>0</v>
      </c>
      <c r="AL22" s="11">
        <v>0</v>
      </c>
      <c r="AM22" s="11">
        <v>367172983.94</v>
      </c>
      <c r="AN22" s="11">
        <v>369626923.94</v>
      </c>
      <c r="AO22" s="11">
        <v>2453940</v>
      </c>
      <c r="AP22" s="11">
        <v>369626923.94</v>
      </c>
      <c r="AQ22" s="11">
        <v>0</v>
      </c>
      <c r="AR22" s="11">
        <v>2453940</v>
      </c>
      <c r="AS22" t="s">
        <v>84</v>
      </c>
      <c r="AT22" s="4" t="s">
        <v>96</v>
      </c>
      <c r="AU22" s="7" t="str">
        <f>+$D22&amp;$AT22&amp;Z22</f>
        <v>145Impuesto al consumo de vinos, aperitivos y similares - Nacionales353329093,94</v>
      </c>
      <c r="AV22" t="str">
        <f>+_xlfn.XLOOKUP(AU22,CRUCE!I:I,CRUCE!M:M)</f>
        <v>READY</v>
      </c>
      <c r="AW22" t="s">
        <v>1907</v>
      </c>
      <c r="AX22">
        <f>+SUMIFS(CRUCE!C:C,CRUCE!A:A,D22,CRUCE!B:B,'2021'!H22)</f>
        <v>0</v>
      </c>
    </row>
    <row r="23" spans="1:50" hidden="1" x14ac:dyDescent="0.3">
      <c r="A23">
        <v>2021</v>
      </c>
      <c r="B23">
        <v>307</v>
      </c>
      <c r="C23">
        <v>110102104</v>
      </c>
      <c r="D23" s="5" t="s">
        <v>44</v>
      </c>
      <c r="E23" s="8" t="s">
        <v>85</v>
      </c>
      <c r="F23">
        <v>110102104</v>
      </c>
      <c r="H23" s="8" t="s">
        <v>86</v>
      </c>
      <c r="I23" t="s">
        <v>47</v>
      </c>
      <c r="J23" s="11">
        <v>5029922036</v>
      </c>
      <c r="K23" s="11">
        <v>5029922036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5029922036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10386392708.68</v>
      </c>
      <c r="Y23" s="11">
        <v>3960594441.3600001</v>
      </c>
      <c r="Z23" s="17">
        <v>6425798267.3199997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10386392708.68</v>
      </c>
      <c r="AH23" s="11">
        <v>3960594441.3600001</v>
      </c>
      <c r="AI23" s="12">
        <v>6425798267.3199997</v>
      </c>
      <c r="AJ23" s="11">
        <v>6425798267.3199997</v>
      </c>
      <c r="AK23" s="11">
        <v>0</v>
      </c>
      <c r="AL23" s="11">
        <v>0</v>
      </c>
      <c r="AM23" s="11">
        <v>9056042778</v>
      </c>
      <c r="AN23" s="11">
        <v>9740537998</v>
      </c>
      <c r="AO23" s="11">
        <v>684495220</v>
      </c>
      <c r="AP23" s="11">
        <v>9740537998</v>
      </c>
      <c r="AQ23" s="11">
        <v>0</v>
      </c>
      <c r="AR23" s="11">
        <v>684495220</v>
      </c>
      <c r="AS23" t="s">
        <v>48</v>
      </c>
      <c r="AT23"/>
    </row>
    <row r="24" spans="1:50" hidden="1" x14ac:dyDescent="0.3">
      <c r="A24">
        <v>2021</v>
      </c>
      <c r="B24">
        <v>307</v>
      </c>
      <c r="C24">
        <v>11010210401</v>
      </c>
      <c r="D24" s="5" t="s">
        <v>44</v>
      </c>
      <c r="E24" s="8" t="s">
        <v>87</v>
      </c>
      <c r="F24">
        <v>11010210401</v>
      </c>
      <c r="H24" s="8" t="s">
        <v>88</v>
      </c>
      <c r="I24" t="s">
        <v>47</v>
      </c>
      <c r="J24" s="11">
        <v>3690557412.6999998</v>
      </c>
      <c r="K24" s="11">
        <v>3690557412.6999998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3690557412.6999998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4283401870.6799998</v>
      </c>
      <c r="Y24" s="11">
        <v>1297479421.3599999</v>
      </c>
      <c r="Z24" s="17">
        <v>2985922449.3200002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4283401870.6799998</v>
      </c>
      <c r="AH24" s="11">
        <v>1297479421.3599999</v>
      </c>
      <c r="AI24" s="12">
        <v>2985922449.3200002</v>
      </c>
      <c r="AJ24" s="11">
        <v>2985922449.3200002</v>
      </c>
      <c r="AK24" s="11">
        <v>0</v>
      </c>
      <c r="AL24" s="11">
        <v>0</v>
      </c>
      <c r="AM24" s="11">
        <v>3637547160</v>
      </c>
      <c r="AN24" s="11">
        <v>3637547160</v>
      </c>
      <c r="AO24" s="11">
        <v>0</v>
      </c>
      <c r="AP24" s="11">
        <v>3637547160</v>
      </c>
      <c r="AQ24" s="11">
        <v>0</v>
      </c>
      <c r="AR24" s="11">
        <v>0</v>
      </c>
      <c r="AS24" t="s">
        <v>48</v>
      </c>
      <c r="AT24"/>
    </row>
    <row r="25" spans="1:50" x14ac:dyDescent="0.3">
      <c r="A25">
        <v>2021</v>
      </c>
      <c r="B25">
        <v>307</v>
      </c>
      <c r="C25">
        <v>1101021040101</v>
      </c>
      <c r="D25" s="5">
        <v>20</v>
      </c>
      <c r="E25" s="8" t="s">
        <v>89</v>
      </c>
      <c r="F25">
        <v>1101021040101</v>
      </c>
      <c r="G25" t="s">
        <v>1908</v>
      </c>
      <c r="H25" s="8" t="s">
        <v>90</v>
      </c>
      <c r="I25" t="s">
        <v>47</v>
      </c>
      <c r="J25" s="11">
        <v>644525552.5</v>
      </c>
      <c r="K25" s="11">
        <v>644525552.5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644525552.5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5770000</v>
      </c>
      <c r="Y25" s="11">
        <v>5770000</v>
      </c>
      <c r="Z25" s="17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5770000</v>
      </c>
      <c r="AH25" s="11">
        <v>5770000</v>
      </c>
      <c r="AI25" s="12">
        <v>0</v>
      </c>
      <c r="AJ25" s="11">
        <v>0</v>
      </c>
      <c r="AK25" s="11">
        <v>0</v>
      </c>
      <c r="AL25" s="11">
        <v>0</v>
      </c>
      <c r="AM25" s="11">
        <v>5770000</v>
      </c>
      <c r="AN25" s="11">
        <v>5770000</v>
      </c>
      <c r="AO25" s="11">
        <v>0</v>
      </c>
      <c r="AP25" s="11">
        <v>5770000</v>
      </c>
      <c r="AQ25" s="11">
        <v>0</v>
      </c>
      <c r="AR25" s="11">
        <v>0</v>
      </c>
      <c r="AS25" t="s">
        <v>57</v>
      </c>
      <c r="AT25" s="4" t="s">
        <v>90</v>
      </c>
      <c r="AU25" s="7" t="str">
        <f t="shared" ref="AU25:AU26" si="1">+$D25&amp;$AT25&amp;Z25</f>
        <v>20Impuesto al consumo de licores - Nacionales0</v>
      </c>
      <c r="AV25" t="e">
        <f>+_xlfn.XLOOKUP(AU25,CRUCE!I:I,CRUCE!M:M)</f>
        <v>#N/A</v>
      </c>
      <c r="AW25" t="s">
        <v>1907</v>
      </c>
      <c r="AX25">
        <f>+SUMIFS(CRUCE!C:C,CRUCE!A:A,D25,CRUCE!B:B,'2021'!H25)</f>
        <v>360.84</v>
      </c>
    </row>
    <row r="26" spans="1:50" x14ac:dyDescent="0.3">
      <c r="A26">
        <v>2021</v>
      </c>
      <c r="B26">
        <v>307</v>
      </c>
      <c r="C26">
        <v>1101021040102</v>
      </c>
      <c r="D26" s="5">
        <v>20</v>
      </c>
      <c r="E26" s="8" t="s">
        <v>91</v>
      </c>
      <c r="F26">
        <v>1101021040102</v>
      </c>
      <c r="G26" t="s">
        <v>1908</v>
      </c>
      <c r="H26" s="8" t="s">
        <v>92</v>
      </c>
      <c r="I26" t="s">
        <v>47</v>
      </c>
      <c r="J26" s="11">
        <v>3046031860.1999998</v>
      </c>
      <c r="K26" s="11">
        <v>3046031860.1999998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3046031860.1999998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4277631870.6799998</v>
      </c>
      <c r="Y26" s="11">
        <v>1291709421.3599999</v>
      </c>
      <c r="Z26" s="17">
        <v>2985922449.3200002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4277631870.6799998</v>
      </c>
      <c r="AH26" s="11">
        <v>1291709421.3599999</v>
      </c>
      <c r="AI26" s="12">
        <v>2985922449.3200002</v>
      </c>
      <c r="AJ26" s="11">
        <v>2985922449.3200002</v>
      </c>
      <c r="AK26" s="11">
        <v>0</v>
      </c>
      <c r="AL26" s="11">
        <v>0</v>
      </c>
      <c r="AM26" s="11">
        <v>3631777160</v>
      </c>
      <c r="AN26" s="11">
        <v>3631777160</v>
      </c>
      <c r="AO26" s="11">
        <v>0</v>
      </c>
      <c r="AP26" s="11">
        <v>3631777160</v>
      </c>
      <c r="AQ26" s="11">
        <v>0</v>
      </c>
      <c r="AR26" s="11">
        <v>0</v>
      </c>
      <c r="AS26" t="s">
        <v>57</v>
      </c>
      <c r="AT26" s="4" t="s">
        <v>92</v>
      </c>
      <c r="AU26" s="7" t="str">
        <f t="shared" si="1"/>
        <v>20Impuesto al consumo de licores - Extranjeros2985922449,32</v>
      </c>
      <c r="AV26" t="e">
        <f>+_xlfn.XLOOKUP(AU26,CRUCE!I:I,CRUCE!M:M)</f>
        <v>#N/A</v>
      </c>
      <c r="AW26" t="s">
        <v>1907</v>
      </c>
      <c r="AX26">
        <f>+SUMIFS(CRUCE!C:C,CRUCE!A:A,D26,CRUCE!B:B,'2021'!H26)</f>
        <v>2986190640.6100001</v>
      </c>
    </row>
    <row r="27" spans="1:50" hidden="1" x14ac:dyDescent="0.3">
      <c r="A27">
        <v>2021</v>
      </c>
      <c r="B27">
        <v>307</v>
      </c>
      <c r="C27">
        <v>11010210402</v>
      </c>
      <c r="D27" s="5" t="s">
        <v>44</v>
      </c>
      <c r="E27" s="8" t="s">
        <v>93</v>
      </c>
      <c r="F27">
        <v>11010210402</v>
      </c>
      <c r="H27" s="8" t="s">
        <v>94</v>
      </c>
      <c r="I27" t="s">
        <v>47</v>
      </c>
      <c r="J27" s="11">
        <v>1339364623.3</v>
      </c>
      <c r="K27" s="11">
        <v>1339364623.3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1339364623.3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6102990838</v>
      </c>
      <c r="Y27" s="11">
        <v>2663115020</v>
      </c>
      <c r="Z27" s="17">
        <v>3439875818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6102990838</v>
      </c>
      <c r="AH27" s="11">
        <v>2663115020</v>
      </c>
      <c r="AI27" s="12">
        <v>3439875818</v>
      </c>
      <c r="AJ27" s="11">
        <v>3439875818</v>
      </c>
      <c r="AK27" s="11">
        <v>0</v>
      </c>
      <c r="AL27" s="11">
        <v>0</v>
      </c>
      <c r="AM27" s="11">
        <v>5418495618</v>
      </c>
      <c r="AN27" s="11">
        <v>6102990838</v>
      </c>
      <c r="AO27" s="11">
        <v>684495220</v>
      </c>
      <c r="AP27" s="11">
        <v>6102990838</v>
      </c>
      <c r="AQ27" s="11">
        <v>0</v>
      </c>
      <c r="AR27" s="11">
        <v>684495220</v>
      </c>
      <c r="AS27" t="s">
        <v>48</v>
      </c>
      <c r="AT27"/>
    </row>
    <row r="28" spans="1:50" x14ac:dyDescent="0.3">
      <c r="A28">
        <v>2021</v>
      </c>
      <c r="B28">
        <v>307</v>
      </c>
      <c r="C28">
        <v>1101021040201</v>
      </c>
      <c r="D28" s="5">
        <v>20</v>
      </c>
      <c r="E28" s="8" t="s">
        <v>95</v>
      </c>
      <c r="F28">
        <v>1101021040201</v>
      </c>
      <c r="G28" t="s">
        <v>1908</v>
      </c>
      <c r="H28" s="8" t="s">
        <v>96</v>
      </c>
      <c r="I28" t="s">
        <v>47</v>
      </c>
      <c r="J28" s="11">
        <v>33922397.5</v>
      </c>
      <c r="K28" s="11">
        <v>33922397.5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33922397.5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1592977998</v>
      </c>
      <c r="Y28" s="11">
        <v>535705020</v>
      </c>
      <c r="Z28" s="17">
        <v>1057272978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1592977998</v>
      </c>
      <c r="AH28" s="11">
        <v>535705020</v>
      </c>
      <c r="AI28" s="12">
        <v>1057272978</v>
      </c>
      <c r="AJ28" s="11">
        <v>1057272978</v>
      </c>
      <c r="AK28" s="11">
        <v>0</v>
      </c>
      <c r="AL28" s="11">
        <v>0</v>
      </c>
      <c r="AM28" s="11">
        <v>1334150778</v>
      </c>
      <c r="AN28" s="11">
        <v>1592977998</v>
      </c>
      <c r="AO28" s="11">
        <v>258827220</v>
      </c>
      <c r="AP28" s="11">
        <v>1592977998</v>
      </c>
      <c r="AQ28" s="11">
        <v>0</v>
      </c>
      <c r="AR28" s="11">
        <v>258827220</v>
      </c>
      <c r="AS28" t="s">
        <v>57</v>
      </c>
      <c r="AT28" s="4" t="s">
        <v>96</v>
      </c>
      <c r="AU28" s="7" t="str">
        <f t="shared" ref="AU28:AU29" si="2">+$D28&amp;$AT28&amp;Z28</f>
        <v>20Impuesto al consumo de vinos, aperitivos y similares - Nacionales1057272978</v>
      </c>
      <c r="AV28" t="e">
        <f>+_xlfn.XLOOKUP(AU28,CRUCE!I:I,CRUCE!M:M)</f>
        <v>#N/A</v>
      </c>
      <c r="AW28" t="s">
        <v>1907</v>
      </c>
      <c r="AX28">
        <f>+SUMIFS(CRUCE!C:C,CRUCE!A:A,D28,CRUCE!B:B,'2021'!H28)</f>
        <v>1059472045.6799999</v>
      </c>
    </row>
    <row r="29" spans="1:50" x14ac:dyDescent="0.3">
      <c r="A29">
        <v>2021</v>
      </c>
      <c r="B29">
        <v>307</v>
      </c>
      <c r="C29">
        <v>1101021040202</v>
      </c>
      <c r="D29" s="5">
        <v>20</v>
      </c>
      <c r="E29" s="8" t="s">
        <v>97</v>
      </c>
      <c r="F29">
        <v>1101021040202</v>
      </c>
      <c r="G29" t="s">
        <v>1908</v>
      </c>
      <c r="H29" s="8" t="s">
        <v>98</v>
      </c>
      <c r="I29" t="s">
        <v>47</v>
      </c>
      <c r="J29" s="11">
        <v>1305442225.8</v>
      </c>
      <c r="K29" s="11">
        <v>1305442225.8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1305442225.8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4510012840</v>
      </c>
      <c r="Y29" s="11">
        <v>2127410000</v>
      </c>
      <c r="Z29" s="17">
        <v>2382602840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4510012840</v>
      </c>
      <c r="AH29" s="11">
        <v>2127410000</v>
      </c>
      <c r="AI29" s="12">
        <v>2382602840</v>
      </c>
      <c r="AJ29" s="11">
        <v>2382602840</v>
      </c>
      <c r="AK29" s="11">
        <v>0</v>
      </c>
      <c r="AL29" s="11">
        <v>0</v>
      </c>
      <c r="AM29" s="11">
        <v>4084344840</v>
      </c>
      <c r="AN29" s="11">
        <v>4510012840</v>
      </c>
      <c r="AO29" s="11">
        <v>425668000</v>
      </c>
      <c r="AP29" s="11">
        <v>4510012840</v>
      </c>
      <c r="AQ29" s="11">
        <v>0</v>
      </c>
      <c r="AR29" s="11">
        <v>425668000</v>
      </c>
      <c r="AS29" t="s">
        <v>57</v>
      </c>
      <c r="AT29" s="4" t="s">
        <v>98</v>
      </c>
      <c r="AU29" s="7" t="str">
        <f t="shared" si="2"/>
        <v>20Impuesto al consumo de vinos, aperitivos y similares - Extranjeros2382602840</v>
      </c>
      <c r="AV29" t="e">
        <f>+_xlfn.XLOOKUP(AU29,CRUCE!I:I,CRUCE!M:M)</f>
        <v>#N/A</v>
      </c>
      <c r="AW29" t="s">
        <v>1907</v>
      </c>
      <c r="AX29">
        <f>+SUMIFS(CRUCE!C:C,CRUCE!A:A,D29,CRUCE!B:B,'2021'!H29)</f>
        <v>2400475144.3800001</v>
      </c>
    </row>
    <row r="30" spans="1:50" hidden="1" x14ac:dyDescent="0.3">
      <c r="A30">
        <v>2021</v>
      </c>
      <c r="B30">
        <v>307</v>
      </c>
      <c r="C30">
        <v>110102105</v>
      </c>
      <c r="D30" s="5" t="s">
        <v>44</v>
      </c>
      <c r="E30" s="8" t="s">
        <v>99</v>
      </c>
      <c r="F30">
        <v>110102105</v>
      </c>
      <c r="H30" s="8" t="s">
        <v>100</v>
      </c>
      <c r="I30" t="s">
        <v>47</v>
      </c>
      <c r="J30" s="11">
        <v>17698214959</v>
      </c>
      <c r="K30" s="11">
        <v>17698214959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17698214959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18782929479.5</v>
      </c>
      <c r="Y30" s="11">
        <v>1525234479.5</v>
      </c>
      <c r="Z30" s="17">
        <v>17257695000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18782929479.5</v>
      </c>
      <c r="AH30" s="11">
        <v>1525234479.5</v>
      </c>
      <c r="AI30" s="12">
        <v>17257695000</v>
      </c>
      <c r="AJ30" s="11">
        <v>17257695000</v>
      </c>
      <c r="AK30" s="11">
        <v>0</v>
      </c>
      <c r="AL30" s="11">
        <v>0</v>
      </c>
      <c r="AM30" s="11">
        <v>17257695000</v>
      </c>
      <c r="AN30" s="11">
        <v>18782929479.5</v>
      </c>
      <c r="AO30" s="11">
        <v>1525234479.5</v>
      </c>
      <c r="AP30" s="11">
        <v>18782929479.5</v>
      </c>
      <c r="AQ30" s="11">
        <v>0</v>
      </c>
      <c r="AR30" s="11">
        <v>1525234479.5</v>
      </c>
      <c r="AS30" t="s">
        <v>48</v>
      </c>
      <c r="AT30"/>
    </row>
    <row r="31" spans="1:50" x14ac:dyDescent="0.3">
      <c r="A31">
        <v>2021</v>
      </c>
      <c r="B31">
        <v>307</v>
      </c>
      <c r="C31">
        <v>11010210501</v>
      </c>
      <c r="D31" s="5">
        <v>20</v>
      </c>
      <c r="E31" s="8" t="s">
        <v>101</v>
      </c>
      <c r="F31">
        <v>11010210501</v>
      </c>
      <c r="G31" t="s">
        <v>1908</v>
      </c>
      <c r="H31" s="8" t="s">
        <v>102</v>
      </c>
      <c r="I31" t="s">
        <v>47</v>
      </c>
      <c r="J31" s="11">
        <v>16781818042</v>
      </c>
      <c r="K31" s="11">
        <v>16781818042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16781818042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18526964479.5</v>
      </c>
      <c r="Y31" s="11">
        <v>1525234479.5</v>
      </c>
      <c r="Z31" s="17">
        <v>17001730000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18526964479.5</v>
      </c>
      <c r="AH31" s="11">
        <v>1525234479.5</v>
      </c>
      <c r="AI31" s="12">
        <v>17001730000</v>
      </c>
      <c r="AJ31" s="11">
        <v>17001730000</v>
      </c>
      <c r="AK31" s="11">
        <v>0</v>
      </c>
      <c r="AL31" s="11">
        <v>0</v>
      </c>
      <c r="AM31" s="11">
        <v>17001730000</v>
      </c>
      <c r="AN31" s="11">
        <v>18526964479.5</v>
      </c>
      <c r="AO31" s="11">
        <v>1525234479.5</v>
      </c>
      <c r="AP31" s="11">
        <v>18526964479.5</v>
      </c>
      <c r="AQ31" s="11">
        <v>0</v>
      </c>
      <c r="AR31" s="11">
        <v>1525234479.5</v>
      </c>
      <c r="AS31" t="s">
        <v>57</v>
      </c>
      <c r="AT31" s="4" t="s">
        <v>102</v>
      </c>
      <c r="AU31" s="7" t="str">
        <f t="shared" ref="AU31:AU32" si="3">+$D31&amp;$AT31&amp;Z31</f>
        <v>20Impuesto al consumo de cervezas, sifones, refajos y mezclas - Nacionales17001730000</v>
      </c>
      <c r="AV31" t="e">
        <f>+_xlfn.XLOOKUP(AU31,CRUCE!I:I,CRUCE!M:M)</f>
        <v>#N/A</v>
      </c>
      <c r="AW31" t="s">
        <v>1907</v>
      </c>
      <c r="AX31">
        <f>+SUMIFS(CRUCE!C:C,CRUCE!A:A,D31,CRUCE!B:B,'2021'!H31)</f>
        <v>17040804285.6</v>
      </c>
    </row>
    <row r="32" spans="1:50" x14ac:dyDescent="0.3">
      <c r="A32">
        <v>2021</v>
      </c>
      <c r="B32">
        <v>307</v>
      </c>
      <c r="C32">
        <v>11010210502</v>
      </c>
      <c r="D32" s="5">
        <v>20</v>
      </c>
      <c r="E32" s="8" t="s">
        <v>103</v>
      </c>
      <c r="F32">
        <v>11010210502</v>
      </c>
      <c r="G32" t="s">
        <v>1908</v>
      </c>
      <c r="H32" s="8" t="s">
        <v>104</v>
      </c>
      <c r="I32" t="s">
        <v>47</v>
      </c>
      <c r="J32" s="11">
        <v>916396917</v>
      </c>
      <c r="K32" s="11">
        <v>916396917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916396917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255965000</v>
      </c>
      <c r="Y32" s="11">
        <v>0</v>
      </c>
      <c r="Z32" s="17">
        <v>255965000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255965000</v>
      </c>
      <c r="AH32" s="11">
        <v>0</v>
      </c>
      <c r="AI32" s="12">
        <v>255965000</v>
      </c>
      <c r="AJ32" s="11">
        <v>255965000</v>
      </c>
      <c r="AK32" s="11">
        <v>0</v>
      </c>
      <c r="AL32" s="11">
        <v>0</v>
      </c>
      <c r="AM32" s="11">
        <v>255965000</v>
      </c>
      <c r="AN32" s="11">
        <v>255965000</v>
      </c>
      <c r="AO32" s="11">
        <v>0</v>
      </c>
      <c r="AP32" s="11">
        <v>255965000</v>
      </c>
      <c r="AQ32" s="11">
        <v>0</v>
      </c>
      <c r="AR32" s="11">
        <v>0</v>
      </c>
      <c r="AS32" t="s">
        <v>57</v>
      </c>
      <c r="AT32" s="4" t="s">
        <v>104</v>
      </c>
      <c r="AU32" s="7" t="str">
        <f t="shared" si="3"/>
        <v>20Impuesto al consumo de cervezas, sifones, refajos y mezclas - Extranjeras255965000</v>
      </c>
      <c r="AV32" t="e">
        <f>+_xlfn.XLOOKUP(AU32,CRUCE!I:I,CRUCE!M:M)</f>
        <v>#N/A</v>
      </c>
      <c r="AW32" t="s">
        <v>1907</v>
      </c>
      <c r="AX32">
        <f>+SUMIFS(CRUCE!C:C,CRUCE!A:A,D32,CRUCE!B:B,'2021'!H32)</f>
        <v>256712808.25</v>
      </c>
    </row>
    <row r="33" spans="1:50" hidden="1" x14ac:dyDescent="0.3">
      <c r="A33">
        <v>2021</v>
      </c>
      <c r="B33">
        <v>307</v>
      </c>
      <c r="C33">
        <v>110102106</v>
      </c>
      <c r="D33" s="5" t="s">
        <v>44</v>
      </c>
      <c r="E33" s="8" t="s">
        <v>105</v>
      </c>
      <c r="F33">
        <v>110102106</v>
      </c>
      <c r="H33" s="8" t="s">
        <v>106</v>
      </c>
      <c r="I33" t="s">
        <v>47</v>
      </c>
      <c r="J33" s="11">
        <v>9248945181</v>
      </c>
      <c r="K33" s="11">
        <v>9248945181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9248945181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12262187415</v>
      </c>
      <c r="Y33" s="11">
        <v>1741410289</v>
      </c>
      <c r="Z33" s="17">
        <v>10520777126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12262187415</v>
      </c>
      <c r="AH33" s="11">
        <v>1741410289</v>
      </c>
      <c r="AI33" s="12">
        <v>10520777126</v>
      </c>
      <c r="AJ33" s="11">
        <v>10520777126</v>
      </c>
      <c r="AK33" s="11">
        <v>0</v>
      </c>
      <c r="AL33" s="11">
        <v>0</v>
      </c>
      <c r="AM33" s="11">
        <v>12262187415</v>
      </c>
      <c r="AN33" s="11">
        <v>12262187415</v>
      </c>
      <c r="AO33" s="11">
        <v>0</v>
      </c>
      <c r="AP33" s="11">
        <v>12262187415</v>
      </c>
      <c r="AQ33" s="11">
        <v>0</v>
      </c>
      <c r="AR33" s="11">
        <v>0</v>
      </c>
      <c r="AS33" t="s">
        <v>48</v>
      </c>
      <c r="AT33"/>
    </row>
    <row r="34" spans="1:50" hidden="1" x14ac:dyDescent="0.3">
      <c r="A34">
        <v>2021</v>
      </c>
      <c r="B34">
        <v>307</v>
      </c>
      <c r="C34">
        <v>11010210601</v>
      </c>
      <c r="D34" s="5" t="s">
        <v>44</v>
      </c>
      <c r="E34" s="8" t="s">
        <v>107</v>
      </c>
      <c r="F34">
        <v>11010210601</v>
      </c>
      <c r="H34" s="8" t="s">
        <v>108</v>
      </c>
      <c r="I34" t="s">
        <v>47</v>
      </c>
      <c r="J34" s="11">
        <v>9248945181</v>
      </c>
      <c r="K34" s="11">
        <v>9248945181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9248945181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12262187415</v>
      </c>
      <c r="Y34" s="11">
        <v>1741410289</v>
      </c>
      <c r="Z34" s="17">
        <v>10520777126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12262187415</v>
      </c>
      <c r="AH34" s="11">
        <v>1741410289</v>
      </c>
      <c r="AI34" s="12">
        <v>10520777126</v>
      </c>
      <c r="AJ34" s="11">
        <v>10520777126</v>
      </c>
      <c r="AK34" s="11">
        <v>0</v>
      </c>
      <c r="AL34" s="11">
        <v>0</v>
      </c>
      <c r="AM34" s="11">
        <v>12262187415</v>
      </c>
      <c r="AN34" s="11">
        <v>12262187415</v>
      </c>
      <c r="AO34" s="11">
        <v>0</v>
      </c>
      <c r="AP34" s="11">
        <v>12262187415</v>
      </c>
      <c r="AQ34" s="11">
        <v>0</v>
      </c>
      <c r="AR34" s="11">
        <v>0</v>
      </c>
      <c r="AS34" t="s">
        <v>48</v>
      </c>
      <c r="AT34"/>
    </row>
    <row r="35" spans="1:50" x14ac:dyDescent="0.3">
      <c r="A35">
        <v>2021</v>
      </c>
      <c r="B35">
        <v>307</v>
      </c>
      <c r="C35">
        <v>1101021060102</v>
      </c>
      <c r="D35" s="5">
        <v>20</v>
      </c>
      <c r="E35" s="8" t="s">
        <v>109</v>
      </c>
      <c r="F35">
        <v>1101021060102</v>
      </c>
      <c r="G35" t="s">
        <v>1908</v>
      </c>
      <c r="H35" s="8" t="s">
        <v>110</v>
      </c>
      <c r="I35" t="s">
        <v>47</v>
      </c>
      <c r="J35" s="11">
        <v>9248945181</v>
      </c>
      <c r="K35" s="11">
        <v>9248945181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9248945181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12262187415</v>
      </c>
      <c r="Y35" s="11">
        <v>1741410289</v>
      </c>
      <c r="Z35" s="17">
        <v>10520777126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12262187415</v>
      </c>
      <c r="AH35" s="11">
        <v>1741410289</v>
      </c>
      <c r="AI35" s="12">
        <v>10520777126</v>
      </c>
      <c r="AJ35" s="11">
        <v>10520777126</v>
      </c>
      <c r="AK35" s="11">
        <v>0</v>
      </c>
      <c r="AL35" s="11">
        <v>0</v>
      </c>
      <c r="AM35" s="11">
        <v>12262187415</v>
      </c>
      <c r="AN35" s="11">
        <v>12262187415</v>
      </c>
      <c r="AO35" s="11">
        <v>0</v>
      </c>
      <c r="AP35" s="11">
        <v>12262187415</v>
      </c>
      <c r="AQ35" s="11">
        <v>0</v>
      </c>
      <c r="AR35" s="11">
        <v>0</v>
      </c>
      <c r="AS35" t="s">
        <v>57</v>
      </c>
      <c r="AT35" s="4" t="s">
        <v>110</v>
      </c>
      <c r="AU35" s="7" t="str">
        <f t="shared" ref="AU35:AU37" si="4">+$D35&amp;$AT35&amp;Z35</f>
        <v>20Componente específico del impuesto al consumo de cigarrillos y tabaco - Extranjeros10520777126</v>
      </c>
      <c r="AV35" t="e">
        <f>+_xlfn.XLOOKUP(AU35,CRUCE!I:I,CRUCE!M:M)</f>
        <v>#N/A</v>
      </c>
      <c r="AW35" t="s">
        <v>1907</v>
      </c>
      <c r="AX35">
        <f>+SUMIFS(CRUCE!C:C,CRUCE!A:A,D35,CRUCE!B:B,'2021'!H35)</f>
        <v>10636499437.49</v>
      </c>
    </row>
    <row r="36" spans="1:50" x14ac:dyDescent="0.3">
      <c r="A36">
        <v>2021</v>
      </c>
      <c r="B36">
        <v>307</v>
      </c>
      <c r="C36">
        <v>110102109</v>
      </c>
      <c r="D36" s="5">
        <v>20</v>
      </c>
      <c r="E36" s="8" t="s">
        <v>111</v>
      </c>
      <c r="F36">
        <v>110102109</v>
      </c>
      <c r="G36" t="s">
        <v>1908</v>
      </c>
      <c r="H36" s="8" t="s">
        <v>112</v>
      </c>
      <c r="I36" t="s">
        <v>47</v>
      </c>
      <c r="J36" s="11">
        <v>7715996801</v>
      </c>
      <c r="K36" s="11">
        <v>7715996801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7715996801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8456956040</v>
      </c>
      <c r="Y36" s="11">
        <v>476830640</v>
      </c>
      <c r="Z36" s="17">
        <v>7980125400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8456956040</v>
      </c>
      <c r="AH36" s="11">
        <v>476830640</v>
      </c>
      <c r="AI36" s="12">
        <v>7980125400</v>
      </c>
      <c r="AJ36" s="11">
        <v>7980125400</v>
      </c>
      <c r="AK36" s="11">
        <v>0</v>
      </c>
      <c r="AL36" s="11">
        <v>0</v>
      </c>
      <c r="AM36" s="11">
        <v>7980125400</v>
      </c>
      <c r="AN36" s="11">
        <v>8456956040</v>
      </c>
      <c r="AO36" s="11">
        <v>476830640</v>
      </c>
      <c r="AP36" s="11">
        <v>8456956040</v>
      </c>
      <c r="AQ36" s="11">
        <v>0</v>
      </c>
      <c r="AR36" s="11">
        <v>476830640</v>
      </c>
      <c r="AS36" t="s">
        <v>57</v>
      </c>
      <c r="AT36" s="4" t="s">
        <v>112</v>
      </c>
      <c r="AU36" s="7" t="str">
        <f t="shared" si="4"/>
        <v>20Sobretasa a la gasolina 7980125400</v>
      </c>
      <c r="AV36" t="e">
        <f>+_xlfn.XLOOKUP(AU36,CRUCE!I:I,CRUCE!M:M)</f>
        <v>#N/A</v>
      </c>
      <c r="AW36" t="s">
        <v>1907</v>
      </c>
      <c r="AX36">
        <f>+SUMIFS(CRUCE!C:C,CRUCE!A:A,D36,CRUCE!B:B,'2021'!H36)</f>
        <v>8034714604.3299999</v>
      </c>
    </row>
    <row r="37" spans="1:50" x14ac:dyDescent="0.3">
      <c r="A37">
        <v>2021</v>
      </c>
      <c r="B37">
        <v>307</v>
      </c>
      <c r="C37">
        <v>110102213</v>
      </c>
      <c r="D37" s="5">
        <v>42</v>
      </c>
      <c r="E37" s="8" t="s">
        <v>113</v>
      </c>
      <c r="F37">
        <v>110102213</v>
      </c>
      <c r="G37" t="s">
        <v>1908</v>
      </c>
      <c r="H37" s="8" t="s">
        <v>114</v>
      </c>
      <c r="I37" t="s">
        <v>47</v>
      </c>
      <c r="J37" s="11">
        <v>1648000000</v>
      </c>
      <c r="K37" s="11">
        <v>1648000000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1648000000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1644622369.6300001</v>
      </c>
      <c r="Y37" s="11">
        <v>3310163</v>
      </c>
      <c r="Z37" s="17">
        <v>1641312206.6300001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1644622369.6300001</v>
      </c>
      <c r="AH37" s="11">
        <v>3310163</v>
      </c>
      <c r="AI37" s="12">
        <v>1641312206.6300001</v>
      </c>
      <c r="AJ37" s="11">
        <v>1641312206.6300001</v>
      </c>
      <c r="AK37" s="11">
        <v>0</v>
      </c>
      <c r="AL37" s="11">
        <v>0</v>
      </c>
      <c r="AM37" s="11">
        <v>1644622369.6300001</v>
      </c>
      <c r="AN37" s="11">
        <v>1644622369.6300001</v>
      </c>
      <c r="AO37" s="11">
        <v>0</v>
      </c>
      <c r="AP37" s="11">
        <v>1644622369.6300001</v>
      </c>
      <c r="AQ37" s="11">
        <v>0</v>
      </c>
      <c r="AR37" s="11">
        <v>0</v>
      </c>
      <c r="AS37" t="s">
        <v>115</v>
      </c>
      <c r="AT37" s="4" t="s">
        <v>1327</v>
      </c>
      <c r="AU37" s="7" t="str">
        <f t="shared" si="4"/>
        <v>42Contribución especial sobre contratos de obras públicas1641312206,63</v>
      </c>
      <c r="AV37" t="str">
        <f>+_xlfn.XLOOKUP(AU37,CRUCE!I:I,CRUCE!M:M)</f>
        <v>READY</v>
      </c>
      <c r="AW37" t="s">
        <v>1907</v>
      </c>
      <c r="AX37">
        <f>+SUMIFS(CRUCE!C:C,CRUCE!A:A,D37,CRUCE!B:B,'2021'!H37)</f>
        <v>0</v>
      </c>
    </row>
    <row r="38" spans="1:50" hidden="1" x14ac:dyDescent="0.3">
      <c r="A38">
        <v>2021</v>
      </c>
      <c r="B38">
        <v>307</v>
      </c>
      <c r="C38">
        <v>110102300</v>
      </c>
      <c r="D38" s="5" t="s">
        <v>44</v>
      </c>
      <c r="E38" s="8" t="s">
        <v>116</v>
      </c>
      <c r="F38">
        <v>110102300</v>
      </c>
      <c r="H38" s="8" t="s">
        <v>117</v>
      </c>
      <c r="I38" t="s">
        <v>47</v>
      </c>
      <c r="J38" s="11">
        <v>23074907840</v>
      </c>
      <c r="K38" s="11">
        <v>23074907840</v>
      </c>
      <c r="L38" s="11">
        <v>442161654.86000001</v>
      </c>
      <c r="M38" s="11">
        <v>442161654.86000001</v>
      </c>
      <c r="N38" s="11">
        <v>0</v>
      </c>
      <c r="O38" s="11">
        <v>442161654.86000001</v>
      </c>
      <c r="P38" s="11">
        <v>442161654.86000001</v>
      </c>
      <c r="Q38" s="11">
        <v>23074907840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27982199981.25</v>
      </c>
      <c r="Y38" s="11">
        <v>2480191881.25</v>
      </c>
      <c r="Z38" s="17">
        <v>25502008100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27982199981.25</v>
      </c>
      <c r="AH38" s="11">
        <v>2480191881.25</v>
      </c>
      <c r="AI38" s="12">
        <v>25502008100</v>
      </c>
      <c r="AJ38" s="11">
        <v>25502008100</v>
      </c>
      <c r="AK38" s="11">
        <v>0</v>
      </c>
      <c r="AL38" s="11">
        <v>0</v>
      </c>
      <c r="AM38" s="11">
        <v>26081154055</v>
      </c>
      <c r="AN38" s="11">
        <v>27980233981.25</v>
      </c>
      <c r="AO38" s="11">
        <v>1899079926.25</v>
      </c>
      <c r="AP38" s="11">
        <v>27980233981.25</v>
      </c>
      <c r="AQ38" s="11">
        <v>0</v>
      </c>
      <c r="AR38" s="11">
        <v>1899079926.25</v>
      </c>
      <c r="AS38" t="s">
        <v>48</v>
      </c>
      <c r="AT38"/>
    </row>
    <row r="39" spans="1:50" x14ac:dyDescent="0.3">
      <c r="A39">
        <v>2021</v>
      </c>
      <c r="B39">
        <v>307</v>
      </c>
      <c r="C39">
        <v>11010230001</v>
      </c>
      <c r="D39" s="5">
        <v>6</v>
      </c>
      <c r="E39" s="8" t="s">
        <v>118</v>
      </c>
      <c r="F39">
        <v>11010230001</v>
      </c>
      <c r="G39" t="s">
        <v>1908</v>
      </c>
      <c r="H39" s="8" t="s">
        <v>119</v>
      </c>
      <c r="I39" t="s">
        <v>47</v>
      </c>
      <c r="J39" s="11">
        <v>3524009040</v>
      </c>
      <c r="K39" s="11">
        <v>3524009040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3524009040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3436598499.2399998</v>
      </c>
      <c r="Y39" s="11">
        <v>14519140</v>
      </c>
      <c r="Z39" s="17">
        <v>3422079359.2399998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3436598499.2399998</v>
      </c>
      <c r="AH39" s="11">
        <v>14519140</v>
      </c>
      <c r="AI39" s="12">
        <v>3422079359.2399998</v>
      </c>
      <c r="AJ39" s="11">
        <v>3422079359.2399998</v>
      </c>
      <c r="AK39" s="11">
        <v>0</v>
      </c>
      <c r="AL39" s="11">
        <v>0</v>
      </c>
      <c r="AM39" s="11">
        <v>3422079359.2399998</v>
      </c>
      <c r="AN39" s="11">
        <v>3436598499.2399998</v>
      </c>
      <c r="AO39" s="11">
        <v>14519140</v>
      </c>
      <c r="AP39" s="11">
        <v>3436598499.2399998</v>
      </c>
      <c r="AQ39" s="11">
        <v>0</v>
      </c>
      <c r="AR39" s="11">
        <v>14519140</v>
      </c>
      <c r="AS39" t="s">
        <v>120</v>
      </c>
      <c r="AT39" s="4" t="s">
        <v>1050</v>
      </c>
      <c r="AU39" s="7" t="str">
        <f t="shared" ref="AU39:AU49" si="5">+$D39&amp;$AT39&amp;Z39</f>
        <v>6Estampilla para el bienestar del adulto mayor (80% Inversion)3422079359,24</v>
      </c>
      <c r="AV39" t="str">
        <f>+_xlfn.XLOOKUP(AU39,CRUCE!I:I,CRUCE!M:M)</f>
        <v>READY</v>
      </c>
      <c r="AW39" t="s">
        <v>1907</v>
      </c>
      <c r="AX39">
        <f>+SUMIFS(CRUCE!C:C,CRUCE!A:A,D39,CRUCE!B:B,'2021'!H39)</f>
        <v>14259553.98</v>
      </c>
    </row>
    <row r="40" spans="1:50" x14ac:dyDescent="0.3">
      <c r="A40">
        <v>2021</v>
      </c>
      <c r="B40">
        <v>307</v>
      </c>
      <c r="C40">
        <v>11010230001</v>
      </c>
      <c r="D40" s="5">
        <v>178</v>
      </c>
      <c r="E40" s="8" t="s">
        <v>121</v>
      </c>
      <c r="F40">
        <v>11010230001</v>
      </c>
      <c r="G40" t="s">
        <v>1908</v>
      </c>
      <c r="H40" s="8" t="s">
        <v>119</v>
      </c>
      <c r="I40" t="s">
        <v>47</v>
      </c>
      <c r="J40" s="11">
        <v>881002260</v>
      </c>
      <c r="K40" s="11">
        <v>881002260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881002260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866546320.75999999</v>
      </c>
      <c r="Y40" s="11">
        <v>11026480</v>
      </c>
      <c r="Z40" s="17">
        <v>855519840.75999999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866546320.75999999</v>
      </c>
      <c r="AH40" s="11">
        <v>11026480</v>
      </c>
      <c r="AI40" s="12">
        <v>855519840.75999999</v>
      </c>
      <c r="AJ40" s="11">
        <v>855519840.75999999</v>
      </c>
      <c r="AK40" s="11">
        <v>0</v>
      </c>
      <c r="AL40" s="11">
        <v>0</v>
      </c>
      <c r="AM40" s="11">
        <v>858104160.75999999</v>
      </c>
      <c r="AN40" s="11">
        <v>866546320.75999999</v>
      </c>
      <c r="AO40" s="11">
        <v>8442160</v>
      </c>
      <c r="AP40" s="11">
        <v>866546320.75999999</v>
      </c>
      <c r="AQ40" s="11">
        <v>0</v>
      </c>
      <c r="AR40" s="11">
        <v>8442160</v>
      </c>
      <c r="AS40" t="s">
        <v>122</v>
      </c>
      <c r="AT40" s="4" t="s">
        <v>1052</v>
      </c>
      <c r="AU40" s="7" t="str">
        <f t="shared" si="5"/>
        <v>178Estampilla para el bienestar del adulto mayor (20% Pensiones)855519840,76</v>
      </c>
      <c r="AV40" t="str">
        <f>+_xlfn.XLOOKUP(AU40,CRUCE!I:I,CRUCE!M:M)</f>
        <v>READY</v>
      </c>
      <c r="AW40" t="s">
        <v>1907</v>
      </c>
      <c r="AX40">
        <f>+SUMIFS(CRUCE!C:C,CRUCE!A:A,D40,CRUCE!B:B,'2021'!H40)</f>
        <v>0</v>
      </c>
    </row>
    <row r="41" spans="1:50" x14ac:dyDescent="0.3">
      <c r="A41">
        <v>2021</v>
      </c>
      <c r="B41">
        <v>307</v>
      </c>
      <c r="C41">
        <v>11010230002</v>
      </c>
      <c r="D41" s="5">
        <v>4</v>
      </c>
      <c r="E41" s="8" t="s">
        <v>123</v>
      </c>
      <c r="F41">
        <v>11010230002</v>
      </c>
      <c r="G41" t="s">
        <v>1908</v>
      </c>
      <c r="H41" s="8" t="s">
        <v>124</v>
      </c>
      <c r="I41" t="s">
        <v>47</v>
      </c>
      <c r="J41" s="11">
        <v>4453257220.1000004</v>
      </c>
      <c r="K41" s="11">
        <v>4453257220.1000004</v>
      </c>
      <c r="L41" s="11">
        <v>0</v>
      </c>
      <c r="M41" s="11">
        <v>442161654.86000001</v>
      </c>
      <c r="N41" s="11">
        <v>-442161654.86000001</v>
      </c>
      <c r="O41" s="11">
        <v>0</v>
      </c>
      <c r="P41" s="11">
        <v>442161654.86000001</v>
      </c>
      <c r="Q41" s="11">
        <v>4011095565.2399998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5847777534.1300001</v>
      </c>
      <c r="Y41" s="11">
        <v>375085264.13</v>
      </c>
      <c r="Z41" s="17">
        <v>5472692270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5847777534.1300001</v>
      </c>
      <c r="AH41" s="11">
        <v>375085264.13</v>
      </c>
      <c r="AI41" s="12">
        <v>5472692270</v>
      </c>
      <c r="AJ41" s="11">
        <v>5472692270</v>
      </c>
      <c r="AK41" s="11">
        <v>0</v>
      </c>
      <c r="AL41" s="11">
        <v>0</v>
      </c>
      <c r="AM41" s="11">
        <v>5717097310</v>
      </c>
      <c r="AN41" s="11">
        <v>5847777534.1300001</v>
      </c>
      <c r="AO41" s="11">
        <v>130680224.13</v>
      </c>
      <c r="AP41" s="11">
        <v>5847777534.1300001</v>
      </c>
      <c r="AQ41" s="11">
        <v>0</v>
      </c>
      <c r="AR41" s="11">
        <v>130680224.13</v>
      </c>
      <c r="AS41" t="s">
        <v>125</v>
      </c>
      <c r="AT41" s="4" t="s">
        <v>1055</v>
      </c>
      <c r="AU41" s="7" t="str">
        <f t="shared" si="5"/>
        <v>4Estampilla pro desarrollo departamental (50% inversion)5472692270</v>
      </c>
      <c r="AV41" t="str">
        <f>+_xlfn.XLOOKUP(AU41,CRUCE!I:I,CRUCE!M:M)</f>
        <v>READY</v>
      </c>
      <c r="AW41" t="s">
        <v>1907</v>
      </c>
      <c r="AX41">
        <f>+SUMIFS(CRUCE!C:C,CRUCE!A:A,D41,CRUCE!B:B,'2021'!H41)</f>
        <v>18961910.350000001</v>
      </c>
    </row>
    <row r="42" spans="1:50" x14ac:dyDescent="0.3">
      <c r="A42">
        <v>2021</v>
      </c>
      <c r="B42">
        <v>307</v>
      </c>
      <c r="C42">
        <v>11010230002</v>
      </c>
      <c r="D42" s="5">
        <v>176</v>
      </c>
      <c r="E42" s="8" t="s">
        <v>126</v>
      </c>
      <c r="F42">
        <v>11010230002</v>
      </c>
      <c r="G42" t="s">
        <v>1908</v>
      </c>
      <c r="H42" s="8" t="s">
        <v>124</v>
      </c>
      <c r="I42" t="s">
        <v>47</v>
      </c>
      <c r="J42" s="11">
        <v>1370232990.8</v>
      </c>
      <c r="K42" s="11">
        <v>1370232990.8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1370232990.8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1792171857.2</v>
      </c>
      <c r="Y42" s="11">
        <v>38490457.200000003</v>
      </c>
      <c r="Z42" s="17">
        <v>1753681400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1792171857.2</v>
      </c>
      <c r="AH42" s="11">
        <v>38490457.200000003</v>
      </c>
      <c r="AI42" s="12">
        <v>1753681400</v>
      </c>
      <c r="AJ42" s="11">
        <v>1753681400</v>
      </c>
      <c r="AK42" s="11">
        <v>0</v>
      </c>
      <c r="AL42" s="11">
        <v>0</v>
      </c>
      <c r="AM42" s="11">
        <v>1753766680</v>
      </c>
      <c r="AN42" s="11">
        <v>1792171857.2</v>
      </c>
      <c r="AO42" s="11">
        <v>38405177.200000003</v>
      </c>
      <c r="AP42" s="11">
        <v>1792171857.2</v>
      </c>
      <c r="AQ42" s="11">
        <v>0</v>
      </c>
      <c r="AR42" s="11">
        <v>38405177.200000003</v>
      </c>
      <c r="AS42" t="s">
        <v>127</v>
      </c>
      <c r="AT42" s="4" t="s">
        <v>1057</v>
      </c>
      <c r="AU42" s="7" t="str">
        <f t="shared" si="5"/>
        <v>176Estampilla pro desarrollo departamental (20% Pension)1753681400</v>
      </c>
      <c r="AV42" t="str">
        <f>+_xlfn.XLOOKUP(AU42,CRUCE!I:I,CRUCE!M:M)</f>
        <v>READY</v>
      </c>
      <c r="AW42" t="s">
        <v>1907</v>
      </c>
      <c r="AX42">
        <f>+SUMIFS(CRUCE!C:C,CRUCE!A:A,D42,CRUCE!B:B,'2021'!H42)</f>
        <v>0</v>
      </c>
    </row>
    <row r="43" spans="1:50" x14ac:dyDescent="0.3">
      <c r="A43">
        <v>2021</v>
      </c>
      <c r="B43">
        <v>307</v>
      </c>
      <c r="C43">
        <v>11010230002</v>
      </c>
      <c r="D43" s="5">
        <v>177</v>
      </c>
      <c r="E43" s="8" t="s">
        <v>128</v>
      </c>
      <c r="F43">
        <v>11010230002</v>
      </c>
      <c r="G43" t="s">
        <v>1908</v>
      </c>
      <c r="H43" s="8" t="s">
        <v>124</v>
      </c>
      <c r="I43" t="s">
        <v>47</v>
      </c>
      <c r="J43" s="11">
        <v>1027674743.1</v>
      </c>
      <c r="K43" s="11">
        <v>1027674743.1</v>
      </c>
      <c r="L43" s="11">
        <v>442161654.86000001</v>
      </c>
      <c r="M43" s="11">
        <v>0</v>
      </c>
      <c r="N43" s="11">
        <v>442161654.86000001</v>
      </c>
      <c r="O43" s="11">
        <v>442161654.86000001</v>
      </c>
      <c r="P43" s="11">
        <v>0</v>
      </c>
      <c r="Q43" s="11">
        <v>1469836397.96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2088803386.3</v>
      </c>
      <c r="Y43" s="11">
        <v>546770056.29999995</v>
      </c>
      <c r="Z43" s="17">
        <v>1542033330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2088803386.3</v>
      </c>
      <c r="AH43" s="11">
        <v>546770056.29999995</v>
      </c>
      <c r="AI43" s="12">
        <v>1542033330</v>
      </c>
      <c r="AJ43" s="11">
        <v>1542033330</v>
      </c>
      <c r="AK43" s="11">
        <v>0</v>
      </c>
      <c r="AL43" s="11">
        <v>0</v>
      </c>
      <c r="AM43" s="11">
        <v>1872138645</v>
      </c>
      <c r="AN43" s="11">
        <v>2088803386.3</v>
      </c>
      <c r="AO43" s="11">
        <v>216664741.30000001</v>
      </c>
      <c r="AP43" s="11">
        <v>2088803386.3</v>
      </c>
      <c r="AQ43" s="11">
        <v>0</v>
      </c>
      <c r="AR43" s="11">
        <v>216664741.30000001</v>
      </c>
      <c r="AS43" t="s">
        <v>129</v>
      </c>
      <c r="AT43" s="4" t="s">
        <v>1059</v>
      </c>
      <c r="AU43" s="7" t="str">
        <f t="shared" si="5"/>
        <v>177Estampilla pro desarrollo departamental (30% Proyecta)1542033330</v>
      </c>
      <c r="AV43" t="str">
        <f>+_xlfn.XLOOKUP(AU43,CRUCE!I:I,CRUCE!M:M)</f>
        <v>READY</v>
      </c>
      <c r="AW43" t="s">
        <v>1907</v>
      </c>
      <c r="AX43">
        <f>+SUMIFS(CRUCE!C:C,CRUCE!A:A,D43,CRUCE!B:B,'2021'!H43)</f>
        <v>0</v>
      </c>
    </row>
    <row r="44" spans="1:50" x14ac:dyDescent="0.3">
      <c r="A44">
        <v>2021</v>
      </c>
      <c r="B44">
        <v>307</v>
      </c>
      <c r="C44">
        <v>11010230045</v>
      </c>
      <c r="D44" s="5">
        <v>8</v>
      </c>
      <c r="E44" s="8" t="s">
        <v>130</v>
      </c>
      <c r="F44">
        <v>11010230045</v>
      </c>
      <c r="G44" t="s">
        <v>1908</v>
      </c>
      <c r="H44" s="8" t="s">
        <v>131</v>
      </c>
      <c r="I44" t="s">
        <v>47</v>
      </c>
      <c r="J44" s="11">
        <v>10000000000</v>
      </c>
      <c r="K44" s="11">
        <v>10000000000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10000000000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12112076994</v>
      </c>
      <c r="Y44" s="11">
        <v>1445598794</v>
      </c>
      <c r="Z44" s="17">
        <v>10666478200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12112076994</v>
      </c>
      <c r="AH44" s="11">
        <v>1445598794</v>
      </c>
      <c r="AI44" s="12">
        <v>10666478200</v>
      </c>
      <c r="AJ44" s="11">
        <v>10666478200</v>
      </c>
      <c r="AK44" s="11">
        <v>0</v>
      </c>
      <c r="AL44" s="11">
        <v>0</v>
      </c>
      <c r="AM44" s="11">
        <v>10668444200</v>
      </c>
      <c r="AN44" s="11">
        <v>12110110994</v>
      </c>
      <c r="AO44" s="11">
        <v>1441666794</v>
      </c>
      <c r="AP44" s="11">
        <v>12110110994</v>
      </c>
      <c r="AQ44" s="11">
        <v>0</v>
      </c>
      <c r="AR44" s="11">
        <v>1441666794</v>
      </c>
      <c r="AS44" t="s">
        <v>132</v>
      </c>
      <c r="AT44" s="4" t="s">
        <v>131</v>
      </c>
      <c r="AU44" s="7" t="str">
        <f t="shared" si="5"/>
        <v>8Estampilla pro Hospital Departamental Universitario del Quindío San Juan de Dios10666478200</v>
      </c>
      <c r="AV44" t="str">
        <f>+_xlfn.XLOOKUP(AU44,CRUCE!I:I,CRUCE!M:M)</f>
        <v>READY</v>
      </c>
      <c r="AW44" t="s">
        <v>1907</v>
      </c>
      <c r="AX44">
        <f>+SUMIFS(CRUCE!C:C,CRUCE!A:A,D44,CRUCE!B:B,'2021'!H44)</f>
        <v>10666478200</v>
      </c>
    </row>
    <row r="45" spans="1:50" x14ac:dyDescent="0.3">
      <c r="A45">
        <v>2021</v>
      </c>
      <c r="B45">
        <v>307</v>
      </c>
      <c r="C45">
        <v>11010230055</v>
      </c>
      <c r="D45" s="5">
        <v>5</v>
      </c>
      <c r="E45" s="8" t="s">
        <v>133</v>
      </c>
      <c r="F45">
        <v>11010230055</v>
      </c>
      <c r="G45" t="s">
        <v>1908</v>
      </c>
      <c r="H45" s="8" t="s">
        <v>134</v>
      </c>
      <c r="I45" t="s">
        <v>47</v>
      </c>
      <c r="J45" s="11">
        <v>363746317.19999999</v>
      </c>
      <c r="K45" s="11">
        <v>363746317.19999999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363746317.19999999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367645078.20999998</v>
      </c>
      <c r="Y45" s="11">
        <v>9740338.2100000009</v>
      </c>
      <c r="Z45" s="17">
        <v>357904740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367645078.20999998</v>
      </c>
      <c r="AH45" s="11">
        <v>9740338.2100000009</v>
      </c>
      <c r="AI45" s="12">
        <v>357904740</v>
      </c>
      <c r="AJ45" s="11">
        <v>357904740</v>
      </c>
      <c r="AK45" s="11">
        <v>0</v>
      </c>
      <c r="AL45" s="11">
        <v>0</v>
      </c>
      <c r="AM45" s="11">
        <v>357904740</v>
      </c>
      <c r="AN45" s="11">
        <v>367645078.20999998</v>
      </c>
      <c r="AO45" s="11">
        <v>9740338.2100000009</v>
      </c>
      <c r="AP45" s="11">
        <v>367645078.20999998</v>
      </c>
      <c r="AQ45" s="11">
        <v>0</v>
      </c>
      <c r="AR45" s="11">
        <v>9740338.2100000009</v>
      </c>
      <c r="AS45" t="s">
        <v>135</v>
      </c>
      <c r="AT45" s="4" t="s">
        <v>1062</v>
      </c>
      <c r="AU45" s="7" t="str">
        <f t="shared" si="5"/>
        <v>5Estampilla pro cultura (20% Pensiones)357904740</v>
      </c>
      <c r="AV45" t="str">
        <f>+_xlfn.XLOOKUP(AU45,CRUCE!I:I,CRUCE!M:M)</f>
        <v>READY</v>
      </c>
      <c r="AW45" t="s">
        <v>1907</v>
      </c>
      <c r="AX45">
        <f>+SUMIFS(CRUCE!C:C,CRUCE!A:A,D45,CRUCE!B:B,'2021'!H45)</f>
        <v>1723833.62</v>
      </c>
    </row>
    <row r="46" spans="1:50" x14ac:dyDescent="0.3">
      <c r="A46">
        <v>2021</v>
      </c>
      <c r="B46">
        <v>307</v>
      </c>
      <c r="C46">
        <v>11010230055</v>
      </c>
      <c r="D46" s="5">
        <v>33</v>
      </c>
      <c r="E46" s="8" t="s">
        <v>136</v>
      </c>
      <c r="F46">
        <v>11010230055</v>
      </c>
      <c r="G46" t="s">
        <v>1908</v>
      </c>
      <c r="H46" s="8" t="s">
        <v>134</v>
      </c>
      <c r="I46" t="s">
        <v>47</v>
      </c>
      <c r="J46" s="11">
        <v>181873158.59999999</v>
      </c>
      <c r="K46" s="11">
        <v>181873158.59999999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181873158.59999999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183822538.81999999</v>
      </c>
      <c r="Y46" s="11">
        <v>4870168.83</v>
      </c>
      <c r="Z46" s="17">
        <v>178952369.99000001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183822538.81999999</v>
      </c>
      <c r="AH46" s="11">
        <v>4870168.83</v>
      </c>
      <c r="AI46" s="12">
        <v>178952369.99000001</v>
      </c>
      <c r="AJ46" s="11">
        <v>178952369.99000001</v>
      </c>
      <c r="AK46" s="11">
        <v>0</v>
      </c>
      <c r="AL46" s="11">
        <v>0</v>
      </c>
      <c r="AM46" s="11">
        <v>178952369.99000001</v>
      </c>
      <c r="AN46" s="11">
        <v>183822538.81999999</v>
      </c>
      <c r="AO46" s="11">
        <v>4870168.83</v>
      </c>
      <c r="AP46" s="11">
        <v>183822538.81999999</v>
      </c>
      <c r="AQ46" s="11">
        <v>0</v>
      </c>
      <c r="AR46" s="11">
        <v>4870168.83</v>
      </c>
      <c r="AS46" t="s">
        <v>137</v>
      </c>
      <c r="AT46" s="4" t="s">
        <v>1064</v>
      </c>
      <c r="AU46" s="7" t="str">
        <f t="shared" si="5"/>
        <v>33Estampilla pro cultura (10% Seguridad Social Artista)178952369,99</v>
      </c>
      <c r="AV46" t="str">
        <f>+_xlfn.XLOOKUP(AU46,CRUCE!I:I,CRUCE!M:M)</f>
        <v>READY</v>
      </c>
      <c r="AW46" t="s">
        <v>1907</v>
      </c>
      <c r="AX46">
        <f>+SUMIFS(CRUCE!C:C,CRUCE!A:A,D46,CRUCE!B:B,'2021'!H46)</f>
        <v>0</v>
      </c>
    </row>
    <row r="47" spans="1:50" x14ac:dyDescent="0.3">
      <c r="A47">
        <v>2021</v>
      </c>
      <c r="B47">
        <v>307</v>
      </c>
      <c r="C47">
        <v>11010230055</v>
      </c>
      <c r="D47" s="5">
        <v>34</v>
      </c>
      <c r="E47" s="8" t="s">
        <v>138</v>
      </c>
      <c r="F47">
        <v>11010230055</v>
      </c>
      <c r="G47" t="s">
        <v>1908</v>
      </c>
      <c r="H47" s="8" t="s">
        <v>134</v>
      </c>
      <c r="I47" t="s">
        <v>47</v>
      </c>
      <c r="J47" s="11">
        <v>181873158.59999999</v>
      </c>
      <c r="K47" s="11">
        <v>181873158.59999999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181873158.59999999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183822538.81999999</v>
      </c>
      <c r="Y47" s="11">
        <v>4870168.83</v>
      </c>
      <c r="Z47" s="17">
        <v>178952369.99000001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183822538.81999999</v>
      </c>
      <c r="AH47" s="11">
        <v>4870168.83</v>
      </c>
      <c r="AI47" s="12">
        <v>178952369.99000001</v>
      </c>
      <c r="AJ47" s="11">
        <v>178952369.99000001</v>
      </c>
      <c r="AK47" s="11">
        <v>0</v>
      </c>
      <c r="AL47" s="11">
        <v>0</v>
      </c>
      <c r="AM47" s="11">
        <v>178952369.99000001</v>
      </c>
      <c r="AN47" s="11">
        <v>183822538.81999999</v>
      </c>
      <c r="AO47" s="11">
        <v>4870168.83</v>
      </c>
      <c r="AP47" s="11">
        <v>183822538.81999999</v>
      </c>
      <c r="AQ47" s="11">
        <v>0</v>
      </c>
      <c r="AR47" s="11">
        <v>4870168.83</v>
      </c>
      <c r="AS47" t="s">
        <v>139</v>
      </c>
      <c r="AT47" s="4" t="s">
        <v>1066</v>
      </c>
      <c r="AU47" s="7" t="str">
        <f t="shared" si="5"/>
        <v>34Estampilla pro cultura (10% Bibliotecas)178952369,99</v>
      </c>
      <c r="AV47" t="str">
        <f>+_xlfn.XLOOKUP(AU47,CRUCE!I:I,CRUCE!M:M)</f>
        <v>READY</v>
      </c>
      <c r="AW47" t="s">
        <v>1907</v>
      </c>
      <c r="AX47">
        <f>+SUMIFS(CRUCE!C:C,CRUCE!A:A,D47,CRUCE!B:B,'2021'!H47)</f>
        <v>0</v>
      </c>
    </row>
    <row r="48" spans="1:50" x14ac:dyDescent="0.3">
      <c r="A48">
        <v>2021</v>
      </c>
      <c r="B48">
        <v>307</v>
      </c>
      <c r="C48">
        <v>11010230055</v>
      </c>
      <c r="D48" s="5">
        <v>39</v>
      </c>
      <c r="E48" s="8" t="s">
        <v>140</v>
      </c>
      <c r="F48">
        <v>11010230055</v>
      </c>
      <c r="G48" t="s">
        <v>1908</v>
      </c>
      <c r="H48" s="8" t="s">
        <v>134</v>
      </c>
      <c r="I48" t="s">
        <v>47</v>
      </c>
      <c r="J48" s="11">
        <v>909365793</v>
      </c>
      <c r="K48" s="11">
        <v>909365793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909365793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919112694.96000004</v>
      </c>
      <c r="Y48" s="11">
        <v>24350844.920000002</v>
      </c>
      <c r="Z48" s="17">
        <v>894761850.03999996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919112694.96000004</v>
      </c>
      <c r="AH48" s="11">
        <v>24350844.920000002</v>
      </c>
      <c r="AI48" s="12">
        <v>894761850.03999996</v>
      </c>
      <c r="AJ48" s="11">
        <v>894761850.03999996</v>
      </c>
      <c r="AK48" s="11">
        <v>0</v>
      </c>
      <c r="AL48" s="11">
        <v>0</v>
      </c>
      <c r="AM48" s="11">
        <v>894761850.03999996</v>
      </c>
      <c r="AN48" s="11">
        <v>919112694.96000004</v>
      </c>
      <c r="AO48" s="11">
        <v>24350844.920000002</v>
      </c>
      <c r="AP48" s="11">
        <v>919112694.96000004</v>
      </c>
      <c r="AQ48" s="11">
        <v>0</v>
      </c>
      <c r="AR48" s="11">
        <v>24350844.920000002</v>
      </c>
      <c r="AS48" t="s">
        <v>141</v>
      </c>
      <c r="AT48" s="4" t="s">
        <v>1068</v>
      </c>
      <c r="AU48" s="7" t="str">
        <f t="shared" si="5"/>
        <v>39Estampilla pro cultura (50% Concertacion)894761850,04</v>
      </c>
      <c r="AV48" t="str">
        <f>+_xlfn.XLOOKUP(AU48,CRUCE!I:I,CRUCE!M:M)</f>
        <v>READY</v>
      </c>
      <c r="AW48" t="s">
        <v>1907</v>
      </c>
      <c r="AX48">
        <f>+SUMIFS(CRUCE!C:C,CRUCE!A:A,D48,CRUCE!B:B,'2021'!H48)</f>
        <v>0</v>
      </c>
    </row>
    <row r="49" spans="1:50" x14ac:dyDescent="0.3">
      <c r="A49">
        <v>2021</v>
      </c>
      <c r="B49">
        <v>307</v>
      </c>
      <c r="C49">
        <v>11010230055</v>
      </c>
      <c r="D49" s="5">
        <v>41</v>
      </c>
      <c r="E49" s="8" t="s">
        <v>142</v>
      </c>
      <c r="F49">
        <v>11010230055</v>
      </c>
      <c r="G49" t="s">
        <v>1908</v>
      </c>
      <c r="H49" s="8" t="s">
        <v>134</v>
      </c>
      <c r="I49" t="s">
        <v>47</v>
      </c>
      <c r="J49" s="11">
        <v>181873158.59999999</v>
      </c>
      <c r="K49" s="11">
        <v>181873158.59999999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181873158.59999999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183822538.81</v>
      </c>
      <c r="Y49" s="11">
        <v>4870168.83</v>
      </c>
      <c r="Z49" s="17">
        <v>178952369.97999999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183822538.81</v>
      </c>
      <c r="AH49" s="11">
        <v>4870168.83</v>
      </c>
      <c r="AI49" s="12">
        <v>178952369.97999999</v>
      </c>
      <c r="AJ49" s="11">
        <v>178952369.97999999</v>
      </c>
      <c r="AK49" s="11">
        <v>0</v>
      </c>
      <c r="AL49" s="11">
        <v>0</v>
      </c>
      <c r="AM49" s="11">
        <v>178952369.97999999</v>
      </c>
      <c r="AN49" s="11">
        <v>183822538.81</v>
      </c>
      <c r="AO49" s="11">
        <v>4870168.83</v>
      </c>
      <c r="AP49" s="11">
        <v>183822538.81</v>
      </c>
      <c r="AQ49" s="11">
        <v>0</v>
      </c>
      <c r="AR49" s="11">
        <v>4870168.83</v>
      </c>
      <c r="AS49" t="s">
        <v>143</v>
      </c>
      <c r="AT49" s="4" t="s">
        <v>1070</v>
      </c>
      <c r="AU49" s="7" t="str">
        <f t="shared" si="5"/>
        <v>41Estampilla pro cultura (10% Estimulos)178952369,98</v>
      </c>
      <c r="AV49" t="str">
        <f>+_xlfn.XLOOKUP(AU49,CRUCE!I:I,CRUCE!M:M)</f>
        <v>READY</v>
      </c>
      <c r="AW49" t="s">
        <v>1907</v>
      </c>
      <c r="AX49">
        <f>+SUMIFS(CRUCE!C:C,CRUCE!A:A,D49,CRUCE!B:B,'2021'!H49)</f>
        <v>0</v>
      </c>
    </row>
    <row r="50" spans="1:50" hidden="1" x14ac:dyDescent="0.3">
      <c r="A50">
        <v>2021</v>
      </c>
      <c r="B50">
        <v>307</v>
      </c>
      <c r="C50">
        <v>1102</v>
      </c>
      <c r="D50" s="5" t="s">
        <v>44</v>
      </c>
      <c r="E50" s="8" t="s">
        <v>144</v>
      </c>
      <c r="F50">
        <v>1102</v>
      </c>
      <c r="H50" s="8" t="s">
        <v>145</v>
      </c>
      <c r="I50" t="s">
        <v>47</v>
      </c>
      <c r="J50" s="11">
        <v>26725662769</v>
      </c>
      <c r="K50" s="11">
        <v>26725662769</v>
      </c>
      <c r="L50" s="11">
        <v>14765189029.84</v>
      </c>
      <c r="M50" s="11">
        <v>5521874339</v>
      </c>
      <c r="N50" s="11">
        <v>9243314690.8400002</v>
      </c>
      <c r="O50" s="11">
        <v>14765189029.84</v>
      </c>
      <c r="P50" s="11">
        <v>5521874339</v>
      </c>
      <c r="Q50" s="11">
        <v>35968977459.839996</v>
      </c>
      <c r="R50" s="11">
        <v>10375284219.18</v>
      </c>
      <c r="S50" s="11">
        <v>548782300.91999996</v>
      </c>
      <c r="T50" s="11">
        <v>9826501918.2600002</v>
      </c>
      <c r="U50" s="11">
        <v>0</v>
      </c>
      <c r="V50" s="11">
        <v>0</v>
      </c>
      <c r="W50" s="11">
        <v>0</v>
      </c>
      <c r="X50" s="11">
        <v>34539945407.449997</v>
      </c>
      <c r="Y50" s="11">
        <v>2837717323.0300002</v>
      </c>
      <c r="Z50" s="17">
        <v>31702228084.419998</v>
      </c>
      <c r="AA50" s="11">
        <v>10375284219.18</v>
      </c>
      <c r="AB50" s="11">
        <v>548782300.91999996</v>
      </c>
      <c r="AC50" s="11">
        <v>9826501918.2600002</v>
      </c>
      <c r="AD50" s="11">
        <v>0</v>
      </c>
      <c r="AE50" s="11">
        <v>0</v>
      </c>
      <c r="AF50" s="11">
        <v>0</v>
      </c>
      <c r="AG50" s="11">
        <v>34539945407.449997</v>
      </c>
      <c r="AH50" s="11">
        <v>2837717323.0300002</v>
      </c>
      <c r="AI50" s="12">
        <v>31702228084.419998</v>
      </c>
      <c r="AJ50" s="11">
        <v>31702228084.419998</v>
      </c>
      <c r="AK50" s="11">
        <v>141163803</v>
      </c>
      <c r="AL50" s="11">
        <v>141163803</v>
      </c>
      <c r="AM50" s="11">
        <v>31573797213.560001</v>
      </c>
      <c r="AN50" s="11">
        <v>34398763204.449997</v>
      </c>
      <c r="AO50" s="11">
        <v>2824965990.8899999</v>
      </c>
      <c r="AP50" s="11">
        <v>34398763204.449997</v>
      </c>
      <c r="AQ50" s="11">
        <v>0</v>
      </c>
      <c r="AR50" s="11">
        <v>2824965990.8899999</v>
      </c>
      <c r="AS50" t="s">
        <v>48</v>
      </c>
      <c r="AT50"/>
    </row>
    <row r="51" spans="1:50" hidden="1" x14ac:dyDescent="0.3">
      <c r="A51">
        <v>2021</v>
      </c>
      <c r="B51">
        <v>307</v>
      </c>
      <c r="C51">
        <v>110201</v>
      </c>
      <c r="D51" s="5" t="s">
        <v>44</v>
      </c>
      <c r="E51" s="8" t="s">
        <v>146</v>
      </c>
      <c r="F51">
        <v>110201</v>
      </c>
      <c r="H51" s="8" t="s">
        <v>147</v>
      </c>
      <c r="I51" t="s">
        <v>47</v>
      </c>
      <c r="J51" s="11">
        <v>561606231</v>
      </c>
      <c r="K51" s="11">
        <v>561606231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561606231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561617414</v>
      </c>
      <c r="Y51" s="11">
        <v>0</v>
      </c>
      <c r="Z51" s="17">
        <v>561617414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561617414</v>
      </c>
      <c r="AH51" s="11">
        <v>0</v>
      </c>
      <c r="AI51" s="12">
        <v>561617414</v>
      </c>
      <c r="AJ51" s="11">
        <v>561617414</v>
      </c>
      <c r="AK51" s="11">
        <v>0</v>
      </c>
      <c r="AL51" s="11">
        <v>0</v>
      </c>
      <c r="AM51" s="11">
        <v>561617414</v>
      </c>
      <c r="AN51" s="11">
        <v>561617414</v>
      </c>
      <c r="AO51" s="11">
        <v>0</v>
      </c>
      <c r="AP51" s="11">
        <v>561617414</v>
      </c>
      <c r="AQ51" s="11">
        <v>0</v>
      </c>
      <c r="AR51" s="11">
        <v>0</v>
      </c>
      <c r="AS51" t="s">
        <v>48</v>
      </c>
      <c r="AT51"/>
    </row>
    <row r="52" spans="1:50" hidden="1" x14ac:dyDescent="0.3">
      <c r="A52">
        <v>2021</v>
      </c>
      <c r="B52">
        <v>307</v>
      </c>
      <c r="C52">
        <v>110201003</v>
      </c>
      <c r="D52" s="5" t="s">
        <v>44</v>
      </c>
      <c r="E52" s="8" t="s">
        <v>148</v>
      </c>
      <c r="F52">
        <v>110201003</v>
      </c>
      <c r="H52" s="8" t="s">
        <v>149</v>
      </c>
      <c r="I52" t="s">
        <v>47</v>
      </c>
      <c r="J52" s="11">
        <v>561606231</v>
      </c>
      <c r="K52" s="11">
        <v>561606231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561606231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561617414</v>
      </c>
      <c r="Y52" s="11">
        <v>0</v>
      </c>
      <c r="Z52" s="17">
        <v>561617414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561617414</v>
      </c>
      <c r="AH52" s="11">
        <v>0</v>
      </c>
      <c r="AI52" s="12">
        <v>561617414</v>
      </c>
      <c r="AJ52" s="11">
        <v>561617414</v>
      </c>
      <c r="AK52" s="11">
        <v>0</v>
      </c>
      <c r="AL52" s="11">
        <v>0</v>
      </c>
      <c r="AM52" s="11">
        <v>561617414</v>
      </c>
      <c r="AN52" s="11">
        <v>561617414</v>
      </c>
      <c r="AO52" s="11">
        <v>0</v>
      </c>
      <c r="AP52" s="11">
        <v>561617414</v>
      </c>
      <c r="AQ52" s="11">
        <v>0</v>
      </c>
      <c r="AR52" s="11">
        <v>0</v>
      </c>
      <c r="AS52" t="s">
        <v>48</v>
      </c>
      <c r="AT52"/>
    </row>
    <row r="53" spans="1:50" hidden="1" x14ac:dyDescent="0.3">
      <c r="A53">
        <v>2021</v>
      </c>
      <c r="B53">
        <v>307</v>
      </c>
      <c r="C53">
        <v>11020100301</v>
      </c>
      <c r="D53" s="5" t="s">
        <v>44</v>
      </c>
      <c r="E53" s="8" t="s">
        <v>150</v>
      </c>
      <c r="F53">
        <v>11020100301</v>
      </c>
      <c r="H53" s="8" t="s">
        <v>151</v>
      </c>
      <c r="I53" t="s">
        <v>47</v>
      </c>
      <c r="J53" s="11">
        <v>561606231</v>
      </c>
      <c r="K53" s="11">
        <v>561606231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561606231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561617414</v>
      </c>
      <c r="Y53" s="11">
        <v>0</v>
      </c>
      <c r="Z53" s="17">
        <v>561617414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561617414</v>
      </c>
      <c r="AH53" s="11">
        <v>0</v>
      </c>
      <c r="AI53" s="12">
        <v>561617414</v>
      </c>
      <c r="AJ53" s="11">
        <v>561617414</v>
      </c>
      <c r="AK53" s="11">
        <v>0</v>
      </c>
      <c r="AL53" s="11">
        <v>0</v>
      </c>
      <c r="AM53" s="11">
        <v>561617414</v>
      </c>
      <c r="AN53" s="11">
        <v>561617414</v>
      </c>
      <c r="AO53" s="11">
        <v>0</v>
      </c>
      <c r="AP53" s="11">
        <v>561617414</v>
      </c>
      <c r="AQ53" s="11">
        <v>0</v>
      </c>
      <c r="AR53" s="11">
        <v>0</v>
      </c>
      <c r="AS53" t="s">
        <v>48</v>
      </c>
      <c r="AT53"/>
    </row>
    <row r="54" spans="1:50" hidden="1" x14ac:dyDescent="0.3">
      <c r="A54">
        <v>2021</v>
      </c>
      <c r="B54">
        <v>307</v>
      </c>
      <c r="C54">
        <v>1102010030100</v>
      </c>
      <c r="D54" s="5" t="s">
        <v>44</v>
      </c>
      <c r="E54" s="8" t="s">
        <v>152</v>
      </c>
      <c r="F54">
        <v>1102010030100</v>
      </c>
      <c r="H54" s="8" t="s">
        <v>151</v>
      </c>
      <c r="I54" t="s">
        <v>47</v>
      </c>
      <c r="J54" s="11">
        <v>561606231</v>
      </c>
      <c r="K54" s="11">
        <v>561606231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561606231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561617414</v>
      </c>
      <c r="Y54" s="11">
        <v>0</v>
      </c>
      <c r="Z54" s="17">
        <v>561617414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561617414</v>
      </c>
      <c r="AH54" s="11">
        <v>0</v>
      </c>
      <c r="AI54" s="12">
        <v>561617414</v>
      </c>
      <c r="AJ54" s="11">
        <v>561617414</v>
      </c>
      <c r="AK54" s="11">
        <v>0</v>
      </c>
      <c r="AL54" s="11">
        <v>0</v>
      </c>
      <c r="AM54" s="11">
        <v>561617414</v>
      </c>
      <c r="AN54" s="11">
        <v>561617414</v>
      </c>
      <c r="AO54" s="11">
        <v>0</v>
      </c>
      <c r="AP54" s="11">
        <v>561617414</v>
      </c>
      <c r="AQ54" s="11">
        <v>0</v>
      </c>
      <c r="AR54" s="11">
        <v>0</v>
      </c>
      <c r="AS54" t="s">
        <v>48</v>
      </c>
      <c r="AT54"/>
    </row>
    <row r="55" spans="1:50" hidden="1" x14ac:dyDescent="0.3">
      <c r="A55">
        <v>2021</v>
      </c>
      <c r="B55">
        <v>307</v>
      </c>
      <c r="C55">
        <v>110201003010000</v>
      </c>
      <c r="D55" s="5" t="s">
        <v>44</v>
      </c>
      <c r="E55" s="8" t="s">
        <v>153</v>
      </c>
      <c r="F55">
        <v>110201003010000</v>
      </c>
      <c r="H55" s="8" t="s">
        <v>151</v>
      </c>
      <c r="I55" t="s">
        <v>47</v>
      </c>
      <c r="J55" s="11">
        <v>561606231</v>
      </c>
      <c r="K55" s="11">
        <v>561606231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561606231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561617414</v>
      </c>
      <c r="Y55" s="11">
        <v>0</v>
      </c>
      <c r="Z55" s="17">
        <v>561617414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561617414</v>
      </c>
      <c r="AH55" s="11">
        <v>0</v>
      </c>
      <c r="AI55" s="12">
        <v>561617414</v>
      </c>
      <c r="AJ55" s="11">
        <v>561617414</v>
      </c>
      <c r="AK55" s="11">
        <v>0</v>
      </c>
      <c r="AL55" s="11">
        <v>0</v>
      </c>
      <c r="AM55" s="11">
        <v>561617414</v>
      </c>
      <c r="AN55" s="11">
        <v>561617414</v>
      </c>
      <c r="AO55" s="11">
        <v>0</v>
      </c>
      <c r="AP55" s="11">
        <v>561617414</v>
      </c>
      <c r="AQ55" s="11">
        <v>0</v>
      </c>
      <c r="AR55" s="11">
        <v>0</v>
      </c>
      <c r="AS55" t="s">
        <v>48</v>
      </c>
      <c r="AT55"/>
    </row>
    <row r="56" spans="1:50" hidden="1" x14ac:dyDescent="0.3">
      <c r="A56">
        <v>2021</v>
      </c>
      <c r="B56">
        <v>307</v>
      </c>
      <c r="C56">
        <v>1.1020100301E+17</v>
      </c>
      <c r="D56" s="5" t="s">
        <v>44</v>
      </c>
      <c r="E56" s="8" t="s">
        <v>154</v>
      </c>
      <c r="F56">
        <v>1.1020100301E+17</v>
      </c>
      <c r="H56" s="8" t="s">
        <v>151</v>
      </c>
      <c r="I56" t="s">
        <v>47</v>
      </c>
      <c r="J56" s="11">
        <v>561606231</v>
      </c>
      <c r="K56" s="11">
        <v>561606231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561606231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561617414</v>
      </c>
      <c r="Y56" s="11">
        <v>0</v>
      </c>
      <c r="Z56" s="17">
        <v>561617414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561617414</v>
      </c>
      <c r="AH56" s="11">
        <v>0</v>
      </c>
      <c r="AI56" s="12">
        <v>561617414</v>
      </c>
      <c r="AJ56" s="11">
        <v>561617414</v>
      </c>
      <c r="AK56" s="11">
        <v>0</v>
      </c>
      <c r="AL56" s="11">
        <v>0</v>
      </c>
      <c r="AM56" s="11">
        <v>561617414</v>
      </c>
      <c r="AN56" s="11">
        <v>561617414</v>
      </c>
      <c r="AO56" s="11">
        <v>0</v>
      </c>
      <c r="AP56" s="11">
        <v>561617414</v>
      </c>
      <c r="AQ56" s="11">
        <v>0</v>
      </c>
      <c r="AR56" s="11">
        <v>0</v>
      </c>
      <c r="AS56" t="s">
        <v>48</v>
      </c>
      <c r="AT56"/>
    </row>
    <row r="57" spans="1:50" hidden="1" x14ac:dyDescent="0.3">
      <c r="A57">
        <v>2021</v>
      </c>
      <c r="B57">
        <v>307</v>
      </c>
      <c r="C57">
        <v>1.1020100300999999E+20</v>
      </c>
      <c r="D57" s="5" t="s">
        <v>44</v>
      </c>
      <c r="E57" s="8" t="s">
        <v>155</v>
      </c>
      <c r="F57">
        <v>1.1020100300999999E+20</v>
      </c>
      <c r="H57" s="8" t="s">
        <v>151</v>
      </c>
      <c r="I57" t="s">
        <v>47</v>
      </c>
      <c r="J57" s="11">
        <v>561606231</v>
      </c>
      <c r="K57" s="11">
        <v>561606231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561606231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561617414</v>
      </c>
      <c r="Y57" s="11">
        <v>0</v>
      </c>
      <c r="Z57" s="17">
        <v>561617414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561617414</v>
      </c>
      <c r="AH57" s="11">
        <v>0</v>
      </c>
      <c r="AI57" s="12">
        <v>561617414</v>
      </c>
      <c r="AJ57" s="11">
        <v>561617414</v>
      </c>
      <c r="AK57" s="11">
        <v>0</v>
      </c>
      <c r="AL57" s="11">
        <v>0</v>
      </c>
      <c r="AM57" s="11">
        <v>561617414</v>
      </c>
      <c r="AN57" s="11">
        <v>561617414</v>
      </c>
      <c r="AO57" s="11">
        <v>0</v>
      </c>
      <c r="AP57" s="11">
        <v>561617414</v>
      </c>
      <c r="AQ57" s="11">
        <v>0</v>
      </c>
      <c r="AR57" s="11">
        <v>0</v>
      </c>
      <c r="AS57" t="s">
        <v>48</v>
      </c>
      <c r="AT57"/>
    </row>
    <row r="58" spans="1:50" x14ac:dyDescent="0.3">
      <c r="A58">
        <v>2021</v>
      </c>
      <c r="B58">
        <v>307</v>
      </c>
      <c r="C58">
        <v>1.1020100301000001E+35</v>
      </c>
      <c r="D58" s="5">
        <v>18</v>
      </c>
      <c r="E58" s="8" t="s">
        <v>156</v>
      </c>
      <c r="F58">
        <v>1.1020100301000001E+35</v>
      </c>
      <c r="G58" t="s">
        <v>1908</v>
      </c>
      <c r="H58" s="8" t="s">
        <v>157</v>
      </c>
      <c r="I58" t="s">
        <v>47</v>
      </c>
      <c r="J58" s="11">
        <v>41853216</v>
      </c>
      <c r="K58" s="11">
        <v>41853216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41853216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41853216</v>
      </c>
      <c r="Y58" s="11">
        <v>0</v>
      </c>
      <c r="Z58" s="17">
        <v>41853216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41853216</v>
      </c>
      <c r="AH58" s="11">
        <v>0</v>
      </c>
      <c r="AI58" s="12">
        <v>41853216</v>
      </c>
      <c r="AJ58" s="11">
        <v>41853216</v>
      </c>
      <c r="AK58" s="11">
        <v>0</v>
      </c>
      <c r="AL58" s="11">
        <v>0</v>
      </c>
      <c r="AM58" s="11">
        <v>41853216</v>
      </c>
      <c r="AN58" s="11">
        <v>41853216</v>
      </c>
      <c r="AO58" s="11">
        <v>0</v>
      </c>
      <c r="AP58" s="11">
        <v>41853216</v>
      </c>
      <c r="AQ58" s="11">
        <v>0</v>
      </c>
      <c r="AR58" s="11">
        <v>0</v>
      </c>
      <c r="AS58" t="s">
        <v>158</v>
      </c>
      <c r="AT58" s="4" t="str">
        <f>+H58</f>
        <v>E.S.P. Empresa Sanitaria del Quindío S.A.</v>
      </c>
      <c r="AU58" s="7" t="str">
        <f t="shared" ref="AU58:AU66" si="6">+$D58&amp;$AT58&amp;Z58</f>
        <v>18E.S.P. Empresa Sanitaria del Quindío S.A.41853216</v>
      </c>
      <c r="AV58" t="str">
        <f>+_xlfn.XLOOKUP(AU58,CRUCE!I:I,CRUCE!M:M)</f>
        <v>READY</v>
      </c>
      <c r="AW58" t="s">
        <v>1907</v>
      </c>
      <c r="AX58">
        <f>+SUMIFS(CRUCE!C:C,CRUCE!A:A,D58,CRUCE!B:B,'2021'!H58)</f>
        <v>41853216</v>
      </c>
    </row>
    <row r="59" spans="1:50" x14ac:dyDescent="0.3">
      <c r="A59">
        <v>2021</v>
      </c>
      <c r="B59">
        <v>307</v>
      </c>
      <c r="C59">
        <v>1.1020100301000001E+35</v>
      </c>
      <c r="D59" s="5">
        <v>18</v>
      </c>
      <c r="E59" s="8" t="s">
        <v>159</v>
      </c>
      <c r="F59">
        <v>1.1020100301000001E+35</v>
      </c>
      <c r="G59" t="s">
        <v>1908</v>
      </c>
      <c r="H59" s="8" t="s">
        <v>160</v>
      </c>
      <c r="I59" t="s">
        <v>47</v>
      </c>
      <c r="J59" s="11">
        <v>30899619</v>
      </c>
      <c r="K59" s="11">
        <v>30899619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30899619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30899616</v>
      </c>
      <c r="Y59" s="11">
        <v>0</v>
      </c>
      <c r="Z59" s="17">
        <v>30899616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30899616</v>
      </c>
      <c r="AH59" s="11">
        <v>0</v>
      </c>
      <c r="AI59" s="12">
        <v>30899616</v>
      </c>
      <c r="AJ59" s="11">
        <v>30899616</v>
      </c>
      <c r="AK59" s="11">
        <v>0</v>
      </c>
      <c r="AL59" s="11">
        <v>0</v>
      </c>
      <c r="AM59" s="11">
        <v>30899616</v>
      </c>
      <c r="AN59" s="11">
        <v>30899616</v>
      </c>
      <c r="AO59" s="11">
        <v>0</v>
      </c>
      <c r="AP59" s="11">
        <v>30899616</v>
      </c>
      <c r="AQ59" s="11">
        <v>0</v>
      </c>
      <c r="AR59" s="11">
        <v>0</v>
      </c>
      <c r="AS59" t="s">
        <v>158</v>
      </c>
      <c r="AT59" s="4" t="str">
        <f t="shared" ref="AT59:AT66" si="7">+H59</f>
        <v>Lotería del Quindío E.I.C.E.</v>
      </c>
      <c r="AU59" s="7" t="str">
        <f t="shared" si="6"/>
        <v>18Lotería del Quindío E.I.C.E.30899616</v>
      </c>
      <c r="AV59" t="str">
        <f>+_xlfn.XLOOKUP(AU59,CRUCE!I:I,CRUCE!M:M)</f>
        <v>READY</v>
      </c>
      <c r="AW59" t="s">
        <v>1907</v>
      </c>
      <c r="AX59">
        <f>+SUMIFS(CRUCE!C:C,CRUCE!A:A,D59,CRUCE!B:B,'2021'!H59)</f>
        <v>30899616</v>
      </c>
    </row>
    <row r="60" spans="1:50" x14ac:dyDescent="0.3">
      <c r="A60">
        <v>2021</v>
      </c>
      <c r="B60">
        <v>307</v>
      </c>
      <c r="C60">
        <v>1.1020100301000001E+35</v>
      </c>
      <c r="D60" s="5">
        <v>18</v>
      </c>
      <c r="E60" s="8" t="s">
        <v>161</v>
      </c>
      <c r="F60">
        <v>1.1020100301000001E+35</v>
      </c>
      <c r="G60" t="s">
        <v>1908</v>
      </c>
      <c r="H60" s="8" t="s">
        <v>162</v>
      </c>
      <c r="I60" t="s">
        <v>47</v>
      </c>
      <c r="J60" s="11">
        <v>155952492</v>
      </c>
      <c r="K60" s="11">
        <v>155952492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155952492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155952492</v>
      </c>
      <c r="Y60" s="11">
        <v>0</v>
      </c>
      <c r="Z60" s="17">
        <v>155952492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155952492</v>
      </c>
      <c r="AH60" s="11">
        <v>0</v>
      </c>
      <c r="AI60" s="12">
        <v>155952492</v>
      </c>
      <c r="AJ60" s="11">
        <v>155952492</v>
      </c>
      <c r="AK60" s="11">
        <v>0</v>
      </c>
      <c r="AL60" s="11">
        <v>0</v>
      </c>
      <c r="AM60" s="11">
        <v>155952492</v>
      </c>
      <c r="AN60" s="11">
        <v>155952492</v>
      </c>
      <c r="AO60" s="11">
        <v>0</v>
      </c>
      <c r="AP60" s="11">
        <v>155952492</v>
      </c>
      <c r="AQ60" s="11">
        <v>0</v>
      </c>
      <c r="AR60" s="11">
        <v>0</v>
      </c>
      <c r="AS60" t="s">
        <v>158</v>
      </c>
      <c r="AT60" s="4" t="str">
        <f t="shared" si="7"/>
        <v>E.S.E. Hospital San Juan de Dios - Armenia</v>
      </c>
      <c r="AU60" s="7" t="str">
        <f t="shared" si="6"/>
        <v>18E.S.E. Hospital San Juan de Dios - Armenia155952492</v>
      </c>
      <c r="AV60" t="str">
        <f>+_xlfn.XLOOKUP(AU60,CRUCE!I:I,CRUCE!M:M)</f>
        <v>READY</v>
      </c>
      <c r="AW60" t="s">
        <v>1907</v>
      </c>
      <c r="AX60">
        <f>+SUMIFS(CRUCE!C:C,CRUCE!A:A,D60,CRUCE!B:B,'2021'!H60)</f>
        <v>155952492</v>
      </c>
    </row>
    <row r="61" spans="1:50" x14ac:dyDescent="0.3">
      <c r="A61">
        <v>2021</v>
      </c>
      <c r="B61">
        <v>307</v>
      </c>
      <c r="C61">
        <v>1.1020100301000001E+35</v>
      </c>
      <c r="D61" s="5">
        <v>18</v>
      </c>
      <c r="E61" s="8" t="s">
        <v>163</v>
      </c>
      <c r="F61">
        <v>1.1020100301000001E+35</v>
      </c>
      <c r="G61" t="s">
        <v>1908</v>
      </c>
      <c r="H61" s="8" t="s">
        <v>164</v>
      </c>
      <c r="I61" t="s">
        <v>47</v>
      </c>
      <c r="J61" s="11">
        <v>25815251</v>
      </c>
      <c r="K61" s="11">
        <v>25815251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25815251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25815251</v>
      </c>
      <c r="Y61" s="11">
        <v>0</v>
      </c>
      <c r="Z61" s="17">
        <v>25815251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25815251</v>
      </c>
      <c r="AH61" s="11">
        <v>0</v>
      </c>
      <c r="AI61" s="12">
        <v>25815251</v>
      </c>
      <c r="AJ61" s="11">
        <v>25815251</v>
      </c>
      <c r="AK61" s="11">
        <v>0</v>
      </c>
      <c r="AL61" s="11">
        <v>0</v>
      </c>
      <c r="AM61" s="11">
        <v>25815251</v>
      </c>
      <c r="AN61" s="11">
        <v>25815251</v>
      </c>
      <c r="AO61" s="11">
        <v>0</v>
      </c>
      <c r="AP61" s="11">
        <v>25815251</v>
      </c>
      <c r="AQ61" s="11">
        <v>0</v>
      </c>
      <c r="AR61" s="11">
        <v>0</v>
      </c>
      <c r="AS61" t="s">
        <v>158</v>
      </c>
      <c r="AT61" s="4" t="str">
        <f t="shared" si="7"/>
        <v>E.S.E. Hospital La Misericordia - Calarcá</v>
      </c>
      <c r="AU61" s="7" t="str">
        <f t="shared" si="6"/>
        <v>18E.S.E. Hospital La Misericordia - Calarcá25815251</v>
      </c>
      <c r="AV61" t="str">
        <f>+_xlfn.XLOOKUP(AU61,CRUCE!I:I,CRUCE!M:M)</f>
        <v>READY</v>
      </c>
      <c r="AW61" t="s">
        <v>1907</v>
      </c>
      <c r="AX61">
        <f>+SUMIFS(CRUCE!C:C,CRUCE!A:A,D61,CRUCE!B:B,'2021'!H61)</f>
        <v>25815251</v>
      </c>
    </row>
    <row r="62" spans="1:50" x14ac:dyDescent="0.3">
      <c r="A62">
        <v>2021</v>
      </c>
      <c r="B62">
        <v>307</v>
      </c>
      <c r="C62">
        <v>1.1020100301000001E+35</v>
      </c>
      <c r="D62" s="5">
        <v>18</v>
      </c>
      <c r="E62" s="8" t="s">
        <v>165</v>
      </c>
      <c r="F62">
        <v>1.1020100301000001E+35</v>
      </c>
      <c r="G62" t="s">
        <v>1908</v>
      </c>
      <c r="H62" s="8" t="s">
        <v>166</v>
      </c>
      <c r="I62" t="s">
        <v>47</v>
      </c>
      <c r="J62" s="11">
        <v>19467313</v>
      </c>
      <c r="K62" s="11">
        <v>19467313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19467313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19467313</v>
      </c>
      <c r="Y62" s="11">
        <v>0</v>
      </c>
      <c r="Z62" s="17">
        <v>19467313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19467313</v>
      </c>
      <c r="AH62" s="11">
        <v>0</v>
      </c>
      <c r="AI62" s="12">
        <v>19467313</v>
      </c>
      <c r="AJ62" s="11">
        <v>19467313</v>
      </c>
      <c r="AK62" s="11">
        <v>0</v>
      </c>
      <c r="AL62" s="11">
        <v>0</v>
      </c>
      <c r="AM62" s="11">
        <v>19467313</v>
      </c>
      <c r="AN62" s="11">
        <v>19467313</v>
      </c>
      <c r="AO62" s="11">
        <v>0</v>
      </c>
      <c r="AP62" s="11">
        <v>19467313</v>
      </c>
      <c r="AQ62" s="11">
        <v>0</v>
      </c>
      <c r="AR62" s="11">
        <v>0</v>
      </c>
      <c r="AS62" t="s">
        <v>158</v>
      </c>
      <c r="AT62" s="4" t="str">
        <f t="shared" si="7"/>
        <v>E.S.E. Hospital Mental - Filandia</v>
      </c>
      <c r="AU62" s="7" t="str">
        <f t="shared" si="6"/>
        <v>18E.S.E. Hospital Mental - Filandia19467313</v>
      </c>
      <c r="AV62" t="str">
        <f>+_xlfn.XLOOKUP(AU62,CRUCE!I:I,CRUCE!M:M)</f>
        <v>READY</v>
      </c>
      <c r="AW62" t="s">
        <v>1907</v>
      </c>
      <c r="AX62">
        <f>+SUMIFS(CRUCE!C:C,CRUCE!A:A,D62,CRUCE!B:B,'2021'!H62)</f>
        <v>19467313</v>
      </c>
    </row>
    <row r="63" spans="1:50" x14ac:dyDescent="0.3">
      <c r="A63">
        <v>2021</v>
      </c>
      <c r="B63">
        <v>307</v>
      </c>
      <c r="C63">
        <v>1.1020100301000001E+35</v>
      </c>
      <c r="D63" s="5">
        <v>18</v>
      </c>
      <c r="E63" s="8" t="s">
        <v>167</v>
      </c>
      <c r="F63">
        <v>1.1020100301000001E+35</v>
      </c>
      <c r="G63" t="s">
        <v>1908</v>
      </c>
      <c r="H63" s="8" t="s">
        <v>168</v>
      </c>
      <c r="I63" t="s">
        <v>47</v>
      </c>
      <c r="J63" s="11">
        <v>5009624</v>
      </c>
      <c r="K63" s="11">
        <v>5009624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5009624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5009624</v>
      </c>
      <c r="Y63" s="11">
        <v>0</v>
      </c>
      <c r="Z63" s="17">
        <v>5009624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5009624</v>
      </c>
      <c r="AH63" s="11">
        <v>0</v>
      </c>
      <c r="AI63" s="12">
        <v>5009624</v>
      </c>
      <c r="AJ63" s="11">
        <v>5009624</v>
      </c>
      <c r="AK63" s="11">
        <v>0</v>
      </c>
      <c r="AL63" s="11">
        <v>0</v>
      </c>
      <c r="AM63" s="11">
        <v>5009624</v>
      </c>
      <c r="AN63" s="11">
        <v>5009624</v>
      </c>
      <c r="AO63" s="11">
        <v>0</v>
      </c>
      <c r="AP63" s="11">
        <v>5009624</v>
      </c>
      <c r="AQ63" s="11">
        <v>0</v>
      </c>
      <c r="AR63" s="11">
        <v>0</v>
      </c>
      <c r="AS63" t="s">
        <v>158</v>
      </c>
      <c r="AT63" s="4" t="str">
        <f t="shared" si="7"/>
        <v>Instituto Departamental de Deporte y Recreación del Quindío</v>
      </c>
      <c r="AU63" s="7" t="str">
        <f t="shared" si="6"/>
        <v>18Instituto Departamental de Deporte y Recreación del Quindío5009624</v>
      </c>
      <c r="AV63" t="str">
        <f>+_xlfn.XLOOKUP(AU63,CRUCE!I:I,CRUCE!M:M)</f>
        <v>READY</v>
      </c>
      <c r="AW63" t="s">
        <v>1907</v>
      </c>
      <c r="AX63">
        <f>+SUMIFS(CRUCE!C:C,CRUCE!A:A,D63,CRUCE!B:B,'2021'!H63)</f>
        <v>5009624</v>
      </c>
    </row>
    <row r="64" spans="1:50" x14ac:dyDescent="0.3">
      <c r="A64">
        <v>2021</v>
      </c>
      <c r="B64">
        <v>307</v>
      </c>
      <c r="C64">
        <v>1.1020100301000001E+35</v>
      </c>
      <c r="D64" s="5">
        <v>18</v>
      </c>
      <c r="E64" s="8" t="s">
        <v>169</v>
      </c>
      <c r="F64">
        <v>1.1020100301000001E+35</v>
      </c>
      <c r="G64" t="s">
        <v>1908</v>
      </c>
      <c r="H64" s="8" t="s">
        <v>170</v>
      </c>
      <c r="I64" t="s">
        <v>47</v>
      </c>
      <c r="J64" s="11">
        <v>5450081</v>
      </c>
      <c r="K64" s="11">
        <v>5450081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5450081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5450081</v>
      </c>
      <c r="Y64" s="11">
        <v>0</v>
      </c>
      <c r="Z64" s="17">
        <v>5450081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5450081</v>
      </c>
      <c r="AH64" s="11">
        <v>0</v>
      </c>
      <c r="AI64" s="12">
        <v>5450081</v>
      </c>
      <c r="AJ64" s="11">
        <v>5450081</v>
      </c>
      <c r="AK64" s="11">
        <v>0</v>
      </c>
      <c r="AL64" s="11">
        <v>0</v>
      </c>
      <c r="AM64" s="11">
        <v>5450081</v>
      </c>
      <c r="AN64" s="11">
        <v>5450081</v>
      </c>
      <c r="AO64" s="11">
        <v>0</v>
      </c>
      <c r="AP64" s="11">
        <v>5450081</v>
      </c>
      <c r="AQ64" s="11">
        <v>0</v>
      </c>
      <c r="AR64" s="11">
        <v>0</v>
      </c>
      <c r="AS64" t="s">
        <v>158</v>
      </c>
      <c r="AT64" s="4" t="str">
        <f t="shared" si="7"/>
        <v>Instituto Departamental de Tránsito del Quindío</v>
      </c>
      <c r="AU64" s="7" t="str">
        <f t="shared" si="6"/>
        <v>18Instituto Departamental de Tránsito del Quindío5450081</v>
      </c>
      <c r="AV64" t="str">
        <f>+_xlfn.XLOOKUP(AU64,CRUCE!I:I,CRUCE!M:M)</f>
        <v>READY</v>
      </c>
      <c r="AW64" t="s">
        <v>1907</v>
      </c>
      <c r="AX64">
        <f>+SUMIFS(CRUCE!C:C,CRUCE!A:A,D64,CRUCE!B:B,'2021'!H64)</f>
        <v>5450081</v>
      </c>
    </row>
    <row r="65" spans="1:50" x14ac:dyDescent="0.3">
      <c r="A65">
        <v>2021</v>
      </c>
      <c r="B65">
        <v>307</v>
      </c>
      <c r="C65">
        <v>1.1020100301000001E+35</v>
      </c>
      <c r="D65" s="5">
        <v>18</v>
      </c>
      <c r="E65" s="8" t="s">
        <v>171</v>
      </c>
      <c r="F65">
        <v>1.1020100301000001E+35</v>
      </c>
      <c r="G65" t="s">
        <v>1908</v>
      </c>
      <c r="H65" s="8" t="s">
        <v>172</v>
      </c>
      <c r="I65" t="s">
        <v>47</v>
      </c>
      <c r="J65" s="11">
        <v>12264815</v>
      </c>
      <c r="K65" s="11">
        <v>12264815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12264815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12276005</v>
      </c>
      <c r="Y65" s="11">
        <v>0</v>
      </c>
      <c r="Z65" s="17">
        <v>12276005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12276005</v>
      </c>
      <c r="AH65" s="11">
        <v>0</v>
      </c>
      <c r="AI65" s="12">
        <v>12276005</v>
      </c>
      <c r="AJ65" s="11">
        <v>12276005</v>
      </c>
      <c r="AK65" s="11">
        <v>0</v>
      </c>
      <c r="AL65" s="11">
        <v>0</v>
      </c>
      <c r="AM65" s="11">
        <v>12276005</v>
      </c>
      <c r="AN65" s="11">
        <v>12276005</v>
      </c>
      <c r="AO65" s="11">
        <v>0</v>
      </c>
      <c r="AP65" s="11">
        <v>12276005</v>
      </c>
      <c r="AQ65" s="11">
        <v>0</v>
      </c>
      <c r="AR65" s="11">
        <v>0</v>
      </c>
      <c r="AS65" t="s">
        <v>158</v>
      </c>
      <c r="AT65" s="4" t="str">
        <f t="shared" si="7"/>
        <v>Promotora de Vivienda y Desarrollo del Quindío</v>
      </c>
      <c r="AU65" s="7" t="str">
        <f t="shared" si="6"/>
        <v>18Promotora de Vivienda y Desarrollo del Quindío12276005</v>
      </c>
      <c r="AV65" t="str">
        <f>+_xlfn.XLOOKUP(AU65,CRUCE!I:I,CRUCE!M:M)</f>
        <v>READY</v>
      </c>
      <c r="AW65" t="s">
        <v>1907</v>
      </c>
      <c r="AX65">
        <f>+SUMIFS(CRUCE!C:C,CRUCE!A:A,D65,CRUCE!B:B,'2021'!H65)</f>
        <v>12276005</v>
      </c>
    </row>
    <row r="66" spans="1:50" x14ac:dyDescent="0.3">
      <c r="A66">
        <v>2021</v>
      </c>
      <c r="B66">
        <v>307</v>
      </c>
      <c r="C66">
        <v>1.1020100301000001E+35</v>
      </c>
      <c r="D66" s="5">
        <v>18</v>
      </c>
      <c r="E66" s="8" t="s">
        <v>173</v>
      </c>
      <c r="F66">
        <v>1.1020100301000001E+35</v>
      </c>
      <c r="G66" t="s">
        <v>1908</v>
      </c>
      <c r="H66" s="8" t="s">
        <v>174</v>
      </c>
      <c r="I66" t="s">
        <v>47</v>
      </c>
      <c r="J66" s="11">
        <v>264893820</v>
      </c>
      <c r="K66" s="11">
        <v>264893820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264893820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264893816</v>
      </c>
      <c r="Y66" s="11">
        <v>0</v>
      </c>
      <c r="Z66" s="17">
        <v>264893816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264893816</v>
      </c>
      <c r="AH66" s="11">
        <v>0</v>
      </c>
      <c r="AI66" s="12">
        <v>264893816</v>
      </c>
      <c r="AJ66" s="11">
        <v>264893816</v>
      </c>
      <c r="AK66" s="11">
        <v>0</v>
      </c>
      <c r="AL66" s="11">
        <v>0</v>
      </c>
      <c r="AM66" s="11">
        <v>264893816</v>
      </c>
      <c r="AN66" s="11">
        <v>264893816</v>
      </c>
      <c r="AO66" s="11">
        <v>0</v>
      </c>
      <c r="AP66" s="11">
        <v>264893816</v>
      </c>
      <c r="AQ66" s="11">
        <v>0</v>
      </c>
      <c r="AR66" s="11">
        <v>0</v>
      </c>
      <c r="AS66" t="s">
        <v>158</v>
      </c>
      <c r="AT66" s="4" t="str">
        <f t="shared" si="7"/>
        <v>Universidad del Quindío</v>
      </c>
      <c r="AU66" s="7" t="str">
        <f t="shared" si="6"/>
        <v>18Universidad del Quindío264893816</v>
      </c>
      <c r="AV66" t="str">
        <f>+_xlfn.XLOOKUP(AU66,CRUCE!I:I,CRUCE!M:M)</f>
        <v>READY</v>
      </c>
      <c r="AW66" t="s">
        <v>1907</v>
      </c>
      <c r="AX66">
        <f>+SUMIFS(CRUCE!C:C,CRUCE!A:A,D66,CRUCE!B:B,'2021'!H66)</f>
        <v>264893816</v>
      </c>
    </row>
    <row r="67" spans="1:50" hidden="1" x14ac:dyDescent="0.3">
      <c r="A67">
        <v>2021</v>
      </c>
      <c r="B67">
        <v>307</v>
      </c>
      <c r="C67">
        <v>110202</v>
      </c>
      <c r="D67" s="5" t="s">
        <v>44</v>
      </c>
      <c r="E67" s="8" t="s">
        <v>175</v>
      </c>
      <c r="F67">
        <v>110202</v>
      </c>
      <c r="H67" s="8" t="s">
        <v>176</v>
      </c>
      <c r="I67" t="s">
        <v>47</v>
      </c>
      <c r="J67" s="11">
        <v>100940000</v>
      </c>
      <c r="K67" s="11">
        <v>100940000</v>
      </c>
      <c r="L67" s="11">
        <v>6651616460</v>
      </c>
      <c r="M67" s="11">
        <v>5400000000</v>
      </c>
      <c r="N67" s="11">
        <v>1251616460</v>
      </c>
      <c r="O67" s="11">
        <v>6651616460</v>
      </c>
      <c r="P67" s="11">
        <v>5400000000</v>
      </c>
      <c r="Q67" s="11">
        <v>1352556460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1010976757</v>
      </c>
      <c r="Y67" s="11">
        <v>5688693</v>
      </c>
      <c r="Z67" s="17">
        <v>1005288064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1010976757</v>
      </c>
      <c r="AH67" s="11">
        <v>5688693</v>
      </c>
      <c r="AI67" s="12">
        <v>1005288064</v>
      </c>
      <c r="AJ67" s="11">
        <v>1005288064</v>
      </c>
      <c r="AK67" s="11">
        <v>0</v>
      </c>
      <c r="AL67" s="11">
        <v>0</v>
      </c>
      <c r="AM67" s="11">
        <v>1005288064</v>
      </c>
      <c r="AN67" s="11">
        <v>1010976757</v>
      </c>
      <c r="AO67" s="11">
        <v>5688693</v>
      </c>
      <c r="AP67" s="11">
        <v>1010976757</v>
      </c>
      <c r="AQ67" s="11">
        <v>0</v>
      </c>
      <c r="AR67" s="11">
        <v>5688693</v>
      </c>
      <c r="AS67" t="s">
        <v>48</v>
      </c>
      <c r="AT67"/>
    </row>
    <row r="68" spans="1:50" hidden="1" x14ac:dyDescent="0.3">
      <c r="A68">
        <v>2021</v>
      </c>
      <c r="B68">
        <v>307</v>
      </c>
      <c r="C68">
        <v>110202101</v>
      </c>
      <c r="D68" s="5" t="s">
        <v>44</v>
      </c>
      <c r="E68" s="8" t="s">
        <v>177</v>
      </c>
      <c r="F68">
        <v>110202101</v>
      </c>
      <c r="H68" s="8" t="s">
        <v>178</v>
      </c>
      <c r="I68" t="s">
        <v>47</v>
      </c>
      <c r="J68" s="11">
        <v>100940000</v>
      </c>
      <c r="K68" s="11">
        <v>100940000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100940000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7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2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t="s">
        <v>48</v>
      </c>
      <c r="AT68"/>
    </row>
    <row r="69" spans="1:50" x14ac:dyDescent="0.3">
      <c r="A69">
        <v>2021</v>
      </c>
      <c r="B69">
        <v>307</v>
      </c>
      <c r="C69">
        <v>11020210104</v>
      </c>
      <c r="D69" s="5">
        <v>20</v>
      </c>
      <c r="E69" s="8" t="s">
        <v>179</v>
      </c>
      <c r="F69">
        <v>11020210104</v>
      </c>
      <c r="G69" t="s">
        <v>1908</v>
      </c>
      <c r="H69" s="8" t="s">
        <v>178</v>
      </c>
      <c r="I69" t="s">
        <v>47</v>
      </c>
      <c r="J69" s="11">
        <v>100940000</v>
      </c>
      <c r="K69" s="11">
        <v>100940000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100940000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7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2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t="s">
        <v>57</v>
      </c>
      <c r="AT69" s="4" t="str">
        <f>+H69</f>
        <v>Autorización de manejo de medicamentos de control especial del Estado</v>
      </c>
      <c r="AU69" s="7" t="str">
        <f t="shared" ref="AU69:AU70" si="8">+$D69&amp;$AT69&amp;Z69</f>
        <v>20Autorización de manejo de medicamentos de control especial del Estado0</v>
      </c>
      <c r="AV69" t="str">
        <f>+_xlfn.XLOOKUP(AU69,CRUCE!I:I,CRUCE!M:M)</f>
        <v>READY</v>
      </c>
      <c r="AX69">
        <f>+SUMIFS(CRUCE!C:C,CRUCE!A:A,D69,CRUCE!B:B,'2021'!H69)</f>
        <v>0</v>
      </c>
    </row>
    <row r="70" spans="1:50" x14ac:dyDescent="0.3">
      <c r="A70">
        <v>2021</v>
      </c>
      <c r="B70">
        <v>307</v>
      </c>
      <c r="C70">
        <v>110202111</v>
      </c>
      <c r="D70" s="5">
        <v>190</v>
      </c>
      <c r="E70" s="8" t="s">
        <v>180</v>
      </c>
      <c r="F70">
        <v>110202111</v>
      </c>
      <c r="G70" t="s">
        <v>1908</v>
      </c>
      <c r="H70" s="8" t="s">
        <v>181</v>
      </c>
      <c r="I70" t="s">
        <v>47</v>
      </c>
      <c r="J70" s="11">
        <v>0</v>
      </c>
      <c r="K70" s="11">
        <v>0</v>
      </c>
      <c r="L70" s="11">
        <v>6651616460</v>
      </c>
      <c r="M70" s="11">
        <v>5400000000</v>
      </c>
      <c r="N70" s="11">
        <v>1251616460</v>
      </c>
      <c r="O70" s="11">
        <v>6651616460</v>
      </c>
      <c r="P70" s="11">
        <v>5400000000</v>
      </c>
      <c r="Q70" s="11">
        <v>1251616460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1010976757</v>
      </c>
      <c r="Y70" s="11">
        <v>5688693</v>
      </c>
      <c r="Z70" s="17">
        <v>1005288064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1010976757</v>
      </c>
      <c r="AH70" s="11">
        <v>5688693</v>
      </c>
      <c r="AI70" s="12">
        <v>1005288064</v>
      </c>
      <c r="AJ70" s="11">
        <v>1005288064</v>
      </c>
      <c r="AK70" s="11">
        <v>0</v>
      </c>
      <c r="AL70" s="11">
        <v>0</v>
      </c>
      <c r="AM70" s="11">
        <v>1005288064</v>
      </c>
      <c r="AN70" s="11">
        <v>1010976757</v>
      </c>
      <c r="AO70" s="11">
        <v>5688693</v>
      </c>
      <c r="AP70" s="11">
        <v>1010976757</v>
      </c>
      <c r="AQ70" s="11">
        <v>0</v>
      </c>
      <c r="AR70" s="11">
        <v>5688693</v>
      </c>
      <c r="AS70" t="s">
        <v>182</v>
      </c>
      <c r="AT70" s="4" t="s">
        <v>1318</v>
      </c>
      <c r="AU70" s="7" t="str">
        <f t="shared" si="8"/>
        <v>190Tasa prodeporte y recreación1005288064</v>
      </c>
      <c r="AV70" t="str">
        <f>+_xlfn.XLOOKUP(AU70,CRUCE!I:I,CRUCE!M:M)</f>
        <v>READY</v>
      </c>
      <c r="AW70" t="s">
        <v>1907</v>
      </c>
      <c r="AX70">
        <f>+SUMIFS(CRUCE!C:C,CRUCE!A:A,D70,CRUCE!B:B,'2021'!H70)</f>
        <v>0</v>
      </c>
    </row>
    <row r="71" spans="1:50" hidden="1" x14ac:dyDescent="0.3">
      <c r="A71">
        <v>2021</v>
      </c>
      <c r="B71">
        <v>307</v>
      </c>
      <c r="C71">
        <v>110203</v>
      </c>
      <c r="D71" s="5" t="s">
        <v>44</v>
      </c>
      <c r="E71" s="8" t="s">
        <v>183</v>
      </c>
      <c r="F71">
        <v>110203</v>
      </c>
      <c r="H71" s="8" t="s">
        <v>184</v>
      </c>
      <c r="I71" t="s">
        <v>47</v>
      </c>
      <c r="J71" s="11">
        <v>4572757556</v>
      </c>
      <c r="K71" s="11">
        <v>4572757556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4572757556</v>
      </c>
      <c r="R71" s="11">
        <v>10219995189.59</v>
      </c>
      <c r="S71" s="11">
        <v>540838254.58000004</v>
      </c>
      <c r="T71" s="11">
        <v>9679156935.0100002</v>
      </c>
      <c r="U71" s="11">
        <v>0</v>
      </c>
      <c r="V71" s="11">
        <v>0</v>
      </c>
      <c r="W71" s="11">
        <v>0</v>
      </c>
      <c r="X71" s="11">
        <v>5629382101.1099997</v>
      </c>
      <c r="Y71" s="11">
        <v>2005427852.1300001</v>
      </c>
      <c r="Z71" s="17">
        <v>3623954248.98</v>
      </c>
      <c r="AA71" s="11">
        <v>10219995189.59</v>
      </c>
      <c r="AB71" s="11">
        <v>540838254.58000004</v>
      </c>
      <c r="AC71" s="11">
        <v>9679156935.0100002</v>
      </c>
      <c r="AD71" s="11">
        <v>0</v>
      </c>
      <c r="AE71" s="11">
        <v>0</v>
      </c>
      <c r="AF71" s="11">
        <v>0</v>
      </c>
      <c r="AG71" s="11">
        <v>5629382101.1099997</v>
      </c>
      <c r="AH71" s="11">
        <v>2005427852.1300001</v>
      </c>
      <c r="AI71" s="12">
        <v>3623954248.98</v>
      </c>
      <c r="AJ71" s="11">
        <v>3623954248.98</v>
      </c>
      <c r="AK71" s="11">
        <v>0</v>
      </c>
      <c r="AL71" s="11">
        <v>0</v>
      </c>
      <c r="AM71" s="11">
        <v>3626665581.1199999</v>
      </c>
      <c r="AN71" s="11">
        <v>5629363701.1099997</v>
      </c>
      <c r="AO71" s="11">
        <v>2002698119.99</v>
      </c>
      <c r="AP71" s="11">
        <v>5629363701.1099997</v>
      </c>
      <c r="AQ71" s="11">
        <v>0</v>
      </c>
      <c r="AR71" s="11">
        <v>2002698119.99</v>
      </c>
      <c r="AS71" t="s">
        <v>48</v>
      </c>
      <c r="AT71"/>
    </row>
    <row r="72" spans="1:50" hidden="1" x14ac:dyDescent="0.3">
      <c r="A72">
        <v>2021</v>
      </c>
      <c r="B72">
        <v>307</v>
      </c>
      <c r="C72">
        <v>110203001</v>
      </c>
      <c r="D72" s="5" t="s">
        <v>44</v>
      </c>
      <c r="E72" s="8" t="s">
        <v>185</v>
      </c>
      <c r="F72">
        <v>110203001</v>
      </c>
      <c r="H72" s="8" t="s">
        <v>186</v>
      </c>
      <c r="I72" t="s">
        <v>47</v>
      </c>
      <c r="J72" s="11">
        <v>3590753695</v>
      </c>
      <c r="K72" s="11">
        <v>3590753695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3590753695</v>
      </c>
      <c r="R72" s="11">
        <v>7071923653.3800001</v>
      </c>
      <c r="S72" s="11">
        <v>189413448.84</v>
      </c>
      <c r="T72" s="11">
        <v>6882510204.54</v>
      </c>
      <c r="U72" s="11">
        <v>0</v>
      </c>
      <c r="V72" s="11">
        <v>0</v>
      </c>
      <c r="W72" s="11">
        <v>0</v>
      </c>
      <c r="X72" s="11">
        <v>4399321925.9300003</v>
      </c>
      <c r="Y72" s="11">
        <v>1404490114.1500001</v>
      </c>
      <c r="Z72" s="17">
        <v>2994831811.7800002</v>
      </c>
      <c r="AA72" s="11">
        <v>7071923653.3800001</v>
      </c>
      <c r="AB72" s="11">
        <v>189413448.84</v>
      </c>
      <c r="AC72" s="11">
        <v>6882510204.54</v>
      </c>
      <c r="AD72" s="11">
        <v>0</v>
      </c>
      <c r="AE72" s="11">
        <v>0</v>
      </c>
      <c r="AF72" s="11">
        <v>0</v>
      </c>
      <c r="AG72" s="11">
        <v>4399321925.9300003</v>
      </c>
      <c r="AH72" s="11">
        <v>1404490114.1500001</v>
      </c>
      <c r="AI72" s="12">
        <v>2994831811.7800002</v>
      </c>
      <c r="AJ72" s="11">
        <v>2994831811.7800002</v>
      </c>
      <c r="AK72" s="11">
        <v>0</v>
      </c>
      <c r="AL72" s="11">
        <v>0</v>
      </c>
      <c r="AM72" s="11">
        <v>2996752346.7199998</v>
      </c>
      <c r="AN72" s="11">
        <v>4399321925.9300003</v>
      </c>
      <c r="AO72" s="11">
        <v>1402569579.21</v>
      </c>
      <c r="AP72" s="11">
        <v>4399321925.9300003</v>
      </c>
      <c r="AQ72" s="11">
        <v>0</v>
      </c>
      <c r="AR72" s="11">
        <v>1402569579.21</v>
      </c>
      <c r="AS72" t="s">
        <v>48</v>
      </c>
      <c r="AT72"/>
    </row>
    <row r="73" spans="1:50" x14ac:dyDescent="0.3">
      <c r="A73">
        <v>2021</v>
      </c>
      <c r="B73">
        <v>307</v>
      </c>
      <c r="C73">
        <v>11020300103</v>
      </c>
      <c r="D73" s="5">
        <v>20</v>
      </c>
      <c r="E73" s="8" t="s">
        <v>187</v>
      </c>
      <c r="F73">
        <v>11020300103</v>
      </c>
      <c r="G73" t="s">
        <v>1908</v>
      </c>
      <c r="H73" s="8" t="s">
        <v>188</v>
      </c>
      <c r="I73" t="s">
        <v>47</v>
      </c>
      <c r="J73" s="11">
        <v>30000000</v>
      </c>
      <c r="K73" s="11">
        <v>30000000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30000000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46328321</v>
      </c>
      <c r="Y73" s="11">
        <v>2739500</v>
      </c>
      <c r="Z73" s="17">
        <v>43588821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46328321</v>
      </c>
      <c r="AH73" s="11">
        <v>2739500</v>
      </c>
      <c r="AI73" s="12">
        <v>43588821</v>
      </c>
      <c r="AJ73" s="11">
        <v>43588821</v>
      </c>
      <c r="AK73" s="11">
        <v>0</v>
      </c>
      <c r="AL73" s="11">
        <v>0</v>
      </c>
      <c r="AM73" s="11">
        <v>43588821</v>
      </c>
      <c r="AN73" s="11">
        <v>46328321</v>
      </c>
      <c r="AO73" s="11">
        <v>2739500</v>
      </c>
      <c r="AP73" s="11">
        <v>46328321</v>
      </c>
      <c r="AQ73" s="11">
        <v>0</v>
      </c>
      <c r="AR73" s="11">
        <v>2739500</v>
      </c>
      <c r="AS73" t="s">
        <v>57</v>
      </c>
      <c r="AT73" s="4" t="str">
        <f t="shared" ref="AT73:AT77" si="9">+H73</f>
        <v>Sanciones disciplinarias</v>
      </c>
      <c r="AU73" s="7" t="str">
        <f t="shared" ref="AU73:AU77" si="10">+$D73&amp;$AT73&amp;Z73</f>
        <v>20Sanciones disciplinarias43588821</v>
      </c>
      <c r="AV73" t="e">
        <f>+_xlfn.XLOOKUP(AU73,CRUCE!I:I,CRUCE!M:M)</f>
        <v>#N/A</v>
      </c>
      <c r="AW73" t="s">
        <v>1907</v>
      </c>
      <c r="AX73">
        <f>+SUMIFS(CRUCE!C:C,CRUCE!A:A,D73,CRUCE!B:B,'2021'!H73)</f>
        <v>43592416.200000003</v>
      </c>
    </row>
    <row r="74" spans="1:50" x14ac:dyDescent="0.3">
      <c r="A74">
        <v>2021</v>
      </c>
      <c r="B74">
        <v>307</v>
      </c>
      <c r="C74">
        <v>11020300104</v>
      </c>
      <c r="D74" s="5">
        <v>20</v>
      </c>
      <c r="E74" s="8" t="s">
        <v>189</v>
      </c>
      <c r="F74">
        <v>11020300104</v>
      </c>
      <c r="G74" t="s">
        <v>1908</v>
      </c>
      <c r="H74" s="8" t="s">
        <v>190</v>
      </c>
      <c r="I74" t="s">
        <v>47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13828426</v>
      </c>
      <c r="Y74" s="11">
        <v>0</v>
      </c>
      <c r="Z74" s="17">
        <v>13828426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13828426</v>
      </c>
      <c r="AH74" s="11">
        <v>0</v>
      </c>
      <c r="AI74" s="12">
        <v>13828426</v>
      </c>
      <c r="AJ74" s="11">
        <v>13828426</v>
      </c>
      <c r="AK74" s="11">
        <v>0</v>
      </c>
      <c r="AL74" s="11">
        <v>0</v>
      </c>
      <c r="AM74" s="11">
        <v>13828426</v>
      </c>
      <c r="AN74" s="11">
        <v>13828426</v>
      </c>
      <c r="AO74" s="11">
        <v>0</v>
      </c>
      <c r="AP74" s="11">
        <v>13828426</v>
      </c>
      <c r="AQ74" s="11">
        <v>0</v>
      </c>
      <c r="AR74" s="11">
        <v>0</v>
      </c>
      <c r="AS74" t="s">
        <v>57</v>
      </c>
      <c r="AT74" s="4" t="str">
        <f t="shared" si="9"/>
        <v>Sanciones contractuales</v>
      </c>
      <c r="AU74" s="7" t="str">
        <f t="shared" si="10"/>
        <v>20Sanciones contractuales13828426</v>
      </c>
      <c r="AV74" t="e">
        <f>+_xlfn.XLOOKUP(AU74,CRUCE!I:I,CRUCE!M:M)</f>
        <v>#N/A</v>
      </c>
      <c r="AW74" t="s">
        <v>1907</v>
      </c>
      <c r="AX74">
        <f>+SUMIFS(CRUCE!C:C,CRUCE!A:A,D74,CRUCE!B:B,'2021'!H74)</f>
        <v>13829399.970000001</v>
      </c>
    </row>
    <row r="75" spans="1:50" x14ac:dyDescent="0.3">
      <c r="A75">
        <v>2021</v>
      </c>
      <c r="B75">
        <v>307</v>
      </c>
      <c r="C75">
        <v>11020300105</v>
      </c>
      <c r="D75" s="5">
        <v>20</v>
      </c>
      <c r="E75" s="8" t="s">
        <v>191</v>
      </c>
      <c r="F75">
        <v>11020300105</v>
      </c>
      <c r="G75" t="s">
        <v>1908</v>
      </c>
      <c r="H75" s="8" t="s">
        <v>192</v>
      </c>
      <c r="I75" t="s">
        <v>47</v>
      </c>
      <c r="J75" s="11">
        <v>150000000</v>
      </c>
      <c r="K75" s="11">
        <v>150000000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150000000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412477825</v>
      </c>
      <c r="Y75" s="11">
        <v>1273917</v>
      </c>
      <c r="Z75" s="17">
        <v>411203908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412477825</v>
      </c>
      <c r="AH75" s="11">
        <v>1273917</v>
      </c>
      <c r="AI75" s="12">
        <v>411203908</v>
      </c>
      <c r="AJ75" s="11">
        <v>411203908</v>
      </c>
      <c r="AK75" s="11">
        <v>0</v>
      </c>
      <c r="AL75" s="11">
        <v>0</v>
      </c>
      <c r="AM75" s="11">
        <v>411322742</v>
      </c>
      <c r="AN75" s="11">
        <v>412477825</v>
      </c>
      <c r="AO75" s="11">
        <v>1155083</v>
      </c>
      <c r="AP75" s="11">
        <v>412477825</v>
      </c>
      <c r="AQ75" s="11">
        <v>0</v>
      </c>
      <c r="AR75" s="11">
        <v>1155083</v>
      </c>
      <c r="AS75" t="s">
        <v>57</v>
      </c>
      <c r="AT75" s="4" t="str">
        <f t="shared" si="9"/>
        <v>Sanciones administrativas</v>
      </c>
      <c r="AU75" s="7" t="str">
        <f t="shared" si="10"/>
        <v>20Sanciones administrativas411203908</v>
      </c>
      <c r="AV75" t="e">
        <f>+_xlfn.XLOOKUP(AU75,CRUCE!I:I,CRUCE!M:M)</f>
        <v>#N/A</v>
      </c>
      <c r="AW75" t="s">
        <v>1907</v>
      </c>
      <c r="AX75">
        <f>+SUMIFS(CRUCE!C:C,CRUCE!A:A,D75,CRUCE!B:B,'2021'!H75)</f>
        <v>411247709.19</v>
      </c>
    </row>
    <row r="76" spans="1:50" x14ac:dyDescent="0.3">
      <c r="A76">
        <v>2021</v>
      </c>
      <c r="B76">
        <v>307</v>
      </c>
      <c r="C76">
        <v>11020300106</v>
      </c>
      <c r="D76" s="5">
        <v>20</v>
      </c>
      <c r="E76" s="8" t="s">
        <v>193</v>
      </c>
      <c r="F76">
        <v>11020300106</v>
      </c>
      <c r="G76" t="s">
        <v>1908</v>
      </c>
      <c r="H76" s="8" t="s">
        <v>194</v>
      </c>
      <c r="I76" t="s">
        <v>47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11691182</v>
      </c>
      <c r="Y76" s="11">
        <v>0</v>
      </c>
      <c r="Z76" s="17">
        <v>11691182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11691182</v>
      </c>
      <c r="AH76" s="11">
        <v>0</v>
      </c>
      <c r="AI76" s="12">
        <v>11691182</v>
      </c>
      <c r="AJ76" s="11">
        <v>11691182</v>
      </c>
      <c r="AK76" s="11">
        <v>0</v>
      </c>
      <c r="AL76" s="11">
        <v>0</v>
      </c>
      <c r="AM76" s="11">
        <v>11691182</v>
      </c>
      <c r="AN76" s="11">
        <v>11691182</v>
      </c>
      <c r="AO76" s="11">
        <v>0</v>
      </c>
      <c r="AP76" s="11">
        <v>11691182</v>
      </c>
      <c r="AQ76" s="11">
        <v>0</v>
      </c>
      <c r="AR76" s="11">
        <v>0</v>
      </c>
      <c r="AS76" t="s">
        <v>57</v>
      </c>
      <c r="AT76" s="4" t="str">
        <f t="shared" si="9"/>
        <v>Sanciones fiscales</v>
      </c>
      <c r="AU76" s="7" t="str">
        <f t="shared" si="10"/>
        <v>20Sanciones fiscales11691182</v>
      </c>
      <c r="AV76" t="e">
        <f>+_xlfn.XLOOKUP(AU76,CRUCE!I:I,CRUCE!M:M)</f>
        <v>#N/A</v>
      </c>
      <c r="AW76" t="s">
        <v>1907</v>
      </c>
      <c r="AX76">
        <f>+SUMIFS(CRUCE!C:C,CRUCE!A:A,D76,CRUCE!B:B,'2021'!H76)</f>
        <v>11692237.199999999</v>
      </c>
    </row>
    <row r="77" spans="1:50" x14ac:dyDescent="0.3">
      <c r="A77">
        <v>2021</v>
      </c>
      <c r="B77">
        <v>307</v>
      </c>
      <c r="C77">
        <v>11020300109</v>
      </c>
      <c r="D77" s="5">
        <v>20</v>
      </c>
      <c r="E77" s="8" t="s">
        <v>195</v>
      </c>
      <c r="F77">
        <v>11020300109</v>
      </c>
      <c r="G77" t="s">
        <v>1908</v>
      </c>
      <c r="H77" s="8" t="s">
        <v>196</v>
      </c>
      <c r="I77" t="s">
        <v>47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7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2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t="s">
        <v>57</v>
      </c>
      <c r="AT77" s="4" t="str">
        <f t="shared" si="9"/>
        <v>Multas de tránsito y transporte</v>
      </c>
      <c r="AU77" s="7" t="str">
        <f t="shared" si="10"/>
        <v>20Multas de tránsito y transporte0</v>
      </c>
      <c r="AV77" t="str">
        <f>+_xlfn.XLOOKUP(AU77,CRUCE!I:I,CRUCE!M:M)</f>
        <v>READY</v>
      </c>
      <c r="AW77" t="s">
        <v>1907</v>
      </c>
      <c r="AX77">
        <f>+SUMIFS(CRUCE!C:C,CRUCE!A:A,D77,CRUCE!B:B,'2021'!H77)</f>
        <v>0</v>
      </c>
    </row>
    <row r="78" spans="1:50" hidden="1" x14ac:dyDescent="0.3">
      <c r="A78">
        <v>2021</v>
      </c>
      <c r="B78">
        <v>307</v>
      </c>
      <c r="C78">
        <v>11020300111</v>
      </c>
      <c r="D78" s="5" t="s">
        <v>44</v>
      </c>
      <c r="E78" s="8" t="s">
        <v>197</v>
      </c>
      <c r="F78">
        <v>11020300111</v>
      </c>
      <c r="H78" s="8" t="s">
        <v>198</v>
      </c>
      <c r="I78" t="s">
        <v>47</v>
      </c>
      <c r="J78" s="11">
        <v>3410753695</v>
      </c>
      <c r="K78" s="11">
        <v>3410753695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3410753695</v>
      </c>
      <c r="R78" s="11">
        <v>7071923653.3800001</v>
      </c>
      <c r="S78" s="11">
        <v>189413448.84</v>
      </c>
      <c r="T78" s="11">
        <v>6882510204.54</v>
      </c>
      <c r="U78" s="11">
        <v>0</v>
      </c>
      <c r="V78" s="11">
        <v>0</v>
      </c>
      <c r="W78" s="11">
        <v>0</v>
      </c>
      <c r="X78" s="11">
        <v>3909918084.9299998</v>
      </c>
      <c r="Y78" s="11">
        <v>1400417526.1500001</v>
      </c>
      <c r="Z78" s="17">
        <v>2509500558.7800002</v>
      </c>
      <c r="AA78" s="11">
        <v>7071923653.3800001</v>
      </c>
      <c r="AB78" s="11">
        <v>189413448.84</v>
      </c>
      <c r="AC78" s="11">
        <v>6882510204.54</v>
      </c>
      <c r="AD78" s="11">
        <v>0</v>
      </c>
      <c r="AE78" s="11">
        <v>0</v>
      </c>
      <c r="AF78" s="11">
        <v>0</v>
      </c>
      <c r="AG78" s="11">
        <v>3909918084.9299998</v>
      </c>
      <c r="AH78" s="11">
        <v>1400417526.1500001</v>
      </c>
      <c r="AI78" s="12">
        <v>2509500558.7800002</v>
      </c>
      <c r="AJ78" s="11">
        <v>2509500558.7800002</v>
      </c>
      <c r="AK78" s="11">
        <v>0</v>
      </c>
      <c r="AL78" s="11">
        <v>0</v>
      </c>
      <c r="AM78" s="11">
        <v>2511302259.7199998</v>
      </c>
      <c r="AN78" s="11">
        <v>3909918084.9299998</v>
      </c>
      <c r="AO78" s="11">
        <v>1398615825.21</v>
      </c>
      <c r="AP78" s="11">
        <v>3909918084.9299998</v>
      </c>
      <c r="AQ78" s="11">
        <v>0</v>
      </c>
      <c r="AR78" s="11">
        <v>1398615825.21</v>
      </c>
      <c r="AS78" t="s">
        <v>48</v>
      </c>
      <c r="AT78"/>
    </row>
    <row r="79" spans="1:50" hidden="1" x14ac:dyDescent="0.3">
      <c r="A79">
        <v>2021</v>
      </c>
      <c r="B79">
        <v>307</v>
      </c>
      <c r="C79">
        <v>1102030011101</v>
      </c>
      <c r="D79" s="5" t="s">
        <v>44</v>
      </c>
      <c r="E79" s="8" t="s">
        <v>199</v>
      </c>
      <c r="F79">
        <v>1102030011101</v>
      </c>
      <c r="H79" s="8" t="s">
        <v>46</v>
      </c>
      <c r="I79" t="s">
        <v>47</v>
      </c>
      <c r="J79" s="11">
        <v>3410753695</v>
      </c>
      <c r="K79" s="11">
        <v>3410753695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3410753695</v>
      </c>
      <c r="R79" s="11">
        <v>7071923653.3800001</v>
      </c>
      <c r="S79" s="11">
        <v>189413448.84</v>
      </c>
      <c r="T79" s="11">
        <v>6882510204.54</v>
      </c>
      <c r="U79" s="11">
        <v>0</v>
      </c>
      <c r="V79" s="11">
        <v>0</v>
      </c>
      <c r="W79" s="11">
        <v>0</v>
      </c>
      <c r="X79" s="11">
        <v>3909918084.9299998</v>
      </c>
      <c r="Y79" s="11">
        <v>1400417526.1500001</v>
      </c>
      <c r="Z79" s="17">
        <v>2509500558.7800002</v>
      </c>
      <c r="AA79" s="11">
        <v>7071923653.3800001</v>
      </c>
      <c r="AB79" s="11">
        <v>189413448.84</v>
      </c>
      <c r="AC79" s="11">
        <v>6882510204.54</v>
      </c>
      <c r="AD79" s="11">
        <v>0</v>
      </c>
      <c r="AE79" s="11">
        <v>0</v>
      </c>
      <c r="AF79" s="11">
        <v>0</v>
      </c>
      <c r="AG79" s="11">
        <v>3909918084.9299998</v>
      </c>
      <c r="AH79" s="11">
        <v>1400417526.1500001</v>
      </c>
      <c r="AI79" s="12">
        <v>2509500558.7800002</v>
      </c>
      <c r="AJ79" s="11">
        <v>2509500558.7800002</v>
      </c>
      <c r="AK79" s="11">
        <v>0</v>
      </c>
      <c r="AL79" s="11">
        <v>0</v>
      </c>
      <c r="AM79" s="11">
        <v>2511302259.7199998</v>
      </c>
      <c r="AN79" s="11">
        <v>3909918084.9299998</v>
      </c>
      <c r="AO79" s="11">
        <v>1398615825.21</v>
      </c>
      <c r="AP79" s="11">
        <v>3909918084.9299998</v>
      </c>
      <c r="AQ79" s="11">
        <v>0</v>
      </c>
      <c r="AR79" s="11">
        <v>1398615825.21</v>
      </c>
      <c r="AS79" t="s">
        <v>48</v>
      </c>
      <c r="AT79"/>
    </row>
    <row r="80" spans="1:50" hidden="1" x14ac:dyDescent="0.3">
      <c r="A80">
        <v>2021</v>
      </c>
      <c r="B80">
        <v>307</v>
      </c>
      <c r="C80">
        <v>110203001110101</v>
      </c>
      <c r="D80" s="5" t="s">
        <v>44</v>
      </c>
      <c r="E80" s="8" t="s">
        <v>200</v>
      </c>
      <c r="F80">
        <v>110203001110101</v>
      </c>
      <c r="H80" s="8" t="s">
        <v>50</v>
      </c>
      <c r="I80" t="s">
        <v>47</v>
      </c>
      <c r="J80" s="11">
        <v>3410753695</v>
      </c>
      <c r="K80" s="11">
        <v>3410753695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3410753695</v>
      </c>
      <c r="R80" s="11">
        <v>7071923653.3800001</v>
      </c>
      <c r="S80" s="11">
        <v>189413448.84</v>
      </c>
      <c r="T80" s="11">
        <v>6882510204.54</v>
      </c>
      <c r="U80" s="11">
        <v>0</v>
      </c>
      <c r="V80" s="11">
        <v>0</v>
      </c>
      <c r="W80" s="11">
        <v>0</v>
      </c>
      <c r="X80" s="11">
        <v>3909918084.9299998</v>
      </c>
      <c r="Y80" s="11">
        <v>1400417526.1500001</v>
      </c>
      <c r="Z80" s="17">
        <v>2509500558.7800002</v>
      </c>
      <c r="AA80" s="11">
        <v>7071923653.3800001</v>
      </c>
      <c r="AB80" s="11">
        <v>189413448.84</v>
      </c>
      <c r="AC80" s="11">
        <v>6882510204.54</v>
      </c>
      <c r="AD80" s="11">
        <v>0</v>
      </c>
      <c r="AE80" s="11">
        <v>0</v>
      </c>
      <c r="AF80" s="11">
        <v>0</v>
      </c>
      <c r="AG80" s="11">
        <v>3909918084.9299998</v>
      </c>
      <c r="AH80" s="11">
        <v>1400417526.1500001</v>
      </c>
      <c r="AI80" s="12">
        <v>2509500558.7800002</v>
      </c>
      <c r="AJ80" s="11">
        <v>2509500558.7800002</v>
      </c>
      <c r="AK80" s="11">
        <v>0</v>
      </c>
      <c r="AL80" s="11">
        <v>0</v>
      </c>
      <c r="AM80" s="11">
        <v>2511302259.7199998</v>
      </c>
      <c r="AN80" s="11">
        <v>3909918084.9299998</v>
      </c>
      <c r="AO80" s="11">
        <v>1398615825.21</v>
      </c>
      <c r="AP80" s="11">
        <v>3909918084.9299998</v>
      </c>
      <c r="AQ80" s="11">
        <v>0</v>
      </c>
      <c r="AR80" s="11">
        <v>1398615825.21</v>
      </c>
      <c r="AS80" t="s">
        <v>48</v>
      </c>
      <c r="AT80"/>
    </row>
    <row r="81" spans="1:50" hidden="1" x14ac:dyDescent="0.3">
      <c r="A81">
        <v>2021</v>
      </c>
      <c r="B81">
        <v>307</v>
      </c>
      <c r="C81">
        <v>1.1020300111010099E+17</v>
      </c>
      <c r="D81" s="5" t="s">
        <v>44</v>
      </c>
      <c r="E81" s="8" t="s">
        <v>201</v>
      </c>
      <c r="F81">
        <v>1.1020300111010099E+17</v>
      </c>
      <c r="H81" s="8" t="s">
        <v>202</v>
      </c>
      <c r="I81" t="s">
        <v>47</v>
      </c>
      <c r="J81" s="11">
        <v>3410753695</v>
      </c>
      <c r="K81" s="11">
        <v>3410753695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3410753695</v>
      </c>
      <c r="R81" s="11">
        <v>7071923653.3800001</v>
      </c>
      <c r="S81" s="11">
        <v>189413448.84</v>
      </c>
      <c r="T81" s="11">
        <v>6882510204.54</v>
      </c>
      <c r="U81" s="11">
        <v>0</v>
      </c>
      <c r="V81" s="11">
        <v>0</v>
      </c>
      <c r="W81" s="11">
        <v>0</v>
      </c>
      <c r="X81" s="11">
        <v>3909918084.9299998</v>
      </c>
      <c r="Y81" s="11">
        <v>1400417526.1500001</v>
      </c>
      <c r="Z81" s="17">
        <v>2509500558.7800002</v>
      </c>
      <c r="AA81" s="11">
        <v>7071923653.3800001</v>
      </c>
      <c r="AB81" s="11">
        <v>189413448.84</v>
      </c>
      <c r="AC81" s="11">
        <v>6882510204.54</v>
      </c>
      <c r="AD81" s="11">
        <v>0</v>
      </c>
      <c r="AE81" s="11">
        <v>0</v>
      </c>
      <c r="AF81" s="11">
        <v>0</v>
      </c>
      <c r="AG81" s="11">
        <v>3909918084.9299998</v>
      </c>
      <c r="AH81" s="11">
        <v>1400417526.1500001</v>
      </c>
      <c r="AI81" s="12">
        <v>2509500558.7800002</v>
      </c>
      <c r="AJ81" s="11">
        <v>2509500558.7800002</v>
      </c>
      <c r="AK81" s="11">
        <v>0</v>
      </c>
      <c r="AL81" s="11">
        <v>0</v>
      </c>
      <c r="AM81" s="11">
        <v>2511302259.7199998</v>
      </c>
      <c r="AN81" s="11">
        <v>3909918084.9299998</v>
      </c>
      <c r="AO81" s="11">
        <v>1398615825.21</v>
      </c>
      <c r="AP81" s="11">
        <v>3909918084.9299998</v>
      </c>
      <c r="AQ81" s="11">
        <v>0</v>
      </c>
      <c r="AR81" s="11">
        <v>1398615825.21</v>
      </c>
      <c r="AS81" t="s">
        <v>48</v>
      </c>
      <c r="AT81"/>
    </row>
    <row r="82" spans="1:50" hidden="1" x14ac:dyDescent="0.3">
      <c r="A82">
        <v>2021</v>
      </c>
      <c r="B82">
        <v>307</v>
      </c>
      <c r="C82">
        <v>1.10203001110101E+20</v>
      </c>
      <c r="D82" s="5" t="s">
        <v>44</v>
      </c>
      <c r="E82" s="8" t="s">
        <v>203</v>
      </c>
      <c r="F82">
        <v>1.10203001110101E+20</v>
      </c>
      <c r="H82" s="8" t="s">
        <v>54</v>
      </c>
      <c r="I82" t="s">
        <v>47</v>
      </c>
      <c r="J82" s="11">
        <v>3410753695</v>
      </c>
      <c r="K82" s="11">
        <v>3410753695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3410753695</v>
      </c>
      <c r="R82" s="11">
        <v>7071923653.3800001</v>
      </c>
      <c r="S82" s="11">
        <v>189413448.84</v>
      </c>
      <c r="T82" s="11">
        <v>6882510204.54</v>
      </c>
      <c r="U82" s="11">
        <v>0</v>
      </c>
      <c r="V82" s="11">
        <v>0</v>
      </c>
      <c r="W82" s="11">
        <v>0</v>
      </c>
      <c r="X82" s="11">
        <v>3909918084.9299998</v>
      </c>
      <c r="Y82" s="11">
        <v>1400417526.1500001</v>
      </c>
      <c r="Z82" s="17">
        <v>2509500558.7800002</v>
      </c>
      <c r="AA82" s="11">
        <v>7071923653.3800001</v>
      </c>
      <c r="AB82" s="11">
        <v>189413448.84</v>
      </c>
      <c r="AC82" s="11">
        <v>6882510204.54</v>
      </c>
      <c r="AD82" s="11">
        <v>0</v>
      </c>
      <c r="AE82" s="11">
        <v>0</v>
      </c>
      <c r="AF82" s="11">
        <v>0</v>
      </c>
      <c r="AG82" s="11">
        <v>3909918084.9299998</v>
      </c>
      <c r="AH82" s="11">
        <v>1400417526.1500001</v>
      </c>
      <c r="AI82" s="12">
        <v>2509500558.7800002</v>
      </c>
      <c r="AJ82" s="11">
        <v>2509500558.7800002</v>
      </c>
      <c r="AK82" s="11">
        <v>0</v>
      </c>
      <c r="AL82" s="11">
        <v>0</v>
      </c>
      <c r="AM82" s="11">
        <v>2511302259.7199998</v>
      </c>
      <c r="AN82" s="11">
        <v>3909918084.9299998</v>
      </c>
      <c r="AO82" s="11">
        <v>1398615825.21</v>
      </c>
      <c r="AP82" s="11">
        <v>3909918084.9299998</v>
      </c>
      <c r="AQ82" s="11">
        <v>0</v>
      </c>
      <c r="AR82" s="11">
        <v>1398615825.21</v>
      </c>
      <c r="AS82" t="s">
        <v>48</v>
      </c>
      <c r="AT82"/>
    </row>
    <row r="83" spans="1:50" x14ac:dyDescent="0.3">
      <c r="A83">
        <v>2021</v>
      </c>
      <c r="B83">
        <v>307</v>
      </c>
      <c r="C83">
        <v>1.10203001110101E+35</v>
      </c>
      <c r="D83" s="5">
        <v>20</v>
      </c>
      <c r="E83" s="8" t="s">
        <v>204</v>
      </c>
      <c r="F83">
        <v>1.10203001110101E+35</v>
      </c>
      <c r="G83" t="s">
        <v>1908</v>
      </c>
      <c r="H83" s="8" t="s">
        <v>205</v>
      </c>
      <c r="I83" t="s">
        <v>47</v>
      </c>
      <c r="J83" s="11">
        <v>3410753695</v>
      </c>
      <c r="K83" s="11">
        <v>3410753695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3410753695</v>
      </c>
      <c r="R83" s="11">
        <v>7071923653.3800001</v>
      </c>
      <c r="S83" s="11">
        <v>189413448.84</v>
      </c>
      <c r="T83" s="11">
        <v>6882510204.54</v>
      </c>
      <c r="U83" s="11">
        <v>0</v>
      </c>
      <c r="V83" s="11">
        <v>0</v>
      </c>
      <c r="W83" s="11">
        <v>0</v>
      </c>
      <c r="X83" s="11">
        <v>3909918084.9299998</v>
      </c>
      <c r="Y83" s="11">
        <v>1400417526.1500001</v>
      </c>
      <c r="Z83" s="17">
        <v>2509500558.7800002</v>
      </c>
      <c r="AA83" s="11">
        <v>7071923653.3800001</v>
      </c>
      <c r="AB83" s="11">
        <v>189413448.84</v>
      </c>
      <c r="AC83" s="11">
        <v>6882510204.54</v>
      </c>
      <c r="AD83" s="11">
        <v>0</v>
      </c>
      <c r="AE83" s="11">
        <v>0</v>
      </c>
      <c r="AF83" s="11">
        <v>0</v>
      </c>
      <c r="AG83" s="11">
        <v>3909918084.9299998</v>
      </c>
      <c r="AH83" s="11">
        <v>1400417526.1500001</v>
      </c>
      <c r="AI83" s="12">
        <v>2509500558.7800002</v>
      </c>
      <c r="AJ83" s="11">
        <v>2509500558.7800002</v>
      </c>
      <c r="AK83" s="11">
        <v>0</v>
      </c>
      <c r="AL83" s="11">
        <v>0</v>
      </c>
      <c r="AM83" s="11">
        <v>2511302259.7199998</v>
      </c>
      <c r="AN83" s="11">
        <v>3909918084.9299998</v>
      </c>
      <c r="AO83" s="11">
        <v>1398615825.21</v>
      </c>
      <c r="AP83" s="11">
        <v>3909918084.9299998</v>
      </c>
      <c r="AQ83" s="11">
        <v>0</v>
      </c>
      <c r="AR83" s="11">
        <v>1398615825.21</v>
      </c>
      <c r="AS83" t="s">
        <v>57</v>
      </c>
      <c r="AT83" s="4" t="str">
        <f t="shared" ref="AT83:AT86" si="11">+H83</f>
        <v>Impuesto sobre vehículos automotores (Sanciones )</v>
      </c>
      <c r="AU83" s="7" t="str">
        <f t="shared" ref="AU83:AU86" si="12">+$D83&amp;$AT83&amp;Z83</f>
        <v>20Impuesto sobre vehículos automotores (Sanciones )2509500558,78</v>
      </c>
      <c r="AV83" t="str">
        <f>+_xlfn.XLOOKUP(AU83,CRUCE!I:I,CRUCE!M:M)</f>
        <v>READY</v>
      </c>
      <c r="AW83" t="s">
        <v>1907</v>
      </c>
      <c r="AX83">
        <f>+SUMIFS(CRUCE!C:C,CRUCE!A:A,D83,CRUCE!B:B,'2021'!H83)</f>
        <v>2509500558.7800002</v>
      </c>
    </row>
    <row r="84" spans="1:50" x14ac:dyDescent="0.3">
      <c r="A84">
        <v>2021</v>
      </c>
      <c r="B84">
        <v>307</v>
      </c>
      <c r="C84">
        <v>11020300113</v>
      </c>
      <c r="D84" s="5">
        <v>20</v>
      </c>
      <c r="E84" s="8" t="s">
        <v>206</v>
      </c>
      <c r="F84">
        <v>11020300113</v>
      </c>
      <c r="G84" t="s">
        <v>1908</v>
      </c>
      <c r="H84" s="8" t="s">
        <v>207</v>
      </c>
      <c r="I84" t="s">
        <v>47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4959745</v>
      </c>
      <c r="Y84" s="11">
        <v>59171</v>
      </c>
      <c r="Z84" s="17">
        <v>4900574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4959745</v>
      </c>
      <c r="AH84" s="11">
        <v>59171</v>
      </c>
      <c r="AI84" s="12">
        <v>4900574</v>
      </c>
      <c r="AJ84" s="11">
        <v>4900574</v>
      </c>
      <c r="AK84" s="11">
        <v>0</v>
      </c>
      <c r="AL84" s="11">
        <v>0</v>
      </c>
      <c r="AM84" s="11">
        <v>4900574</v>
      </c>
      <c r="AN84" s="11">
        <v>4959745</v>
      </c>
      <c r="AO84" s="11">
        <v>59171</v>
      </c>
      <c r="AP84" s="11">
        <v>4959745</v>
      </c>
      <c r="AQ84" s="11">
        <v>0</v>
      </c>
      <c r="AR84" s="11">
        <v>59171</v>
      </c>
      <c r="AS84" t="s">
        <v>57</v>
      </c>
      <c r="AT84" s="4" t="str">
        <f t="shared" si="11"/>
        <v>Sanciones sanitarias</v>
      </c>
      <c r="AU84" s="7" t="str">
        <f t="shared" si="12"/>
        <v>20Sanciones sanitarias4900574</v>
      </c>
      <c r="AV84" t="e">
        <f>+_xlfn.XLOOKUP(AU84,CRUCE!I:I,CRUCE!M:M)</f>
        <v>#N/A</v>
      </c>
      <c r="AW84" t="s">
        <v>1907</v>
      </c>
      <c r="AX84">
        <f>+SUMIFS(CRUCE!C:C,CRUCE!A:A,D84,CRUCE!B:B,'2021'!H84)</f>
        <v>4901033.34</v>
      </c>
    </row>
    <row r="85" spans="1:50" x14ac:dyDescent="0.3">
      <c r="A85">
        <v>2021</v>
      </c>
      <c r="B85">
        <v>307</v>
      </c>
      <c r="C85">
        <v>11020300117</v>
      </c>
      <c r="D85" s="5">
        <v>20</v>
      </c>
      <c r="E85" s="8" t="s">
        <v>208</v>
      </c>
      <c r="F85">
        <v>11020300117</v>
      </c>
      <c r="G85" t="s">
        <v>1908</v>
      </c>
      <c r="H85" s="8" t="s">
        <v>209</v>
      </c>
      <c r="I85" t="s">
        <v>47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7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2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t="s">
        <v>57</v>
      </c>
      <c r="AT85" s="4" t="str">
        <f t="shared" si="11"/>
        <v>Multas y sanciones por infracciones al régimen del monopolio de juegos de suerte y azar</v>
      </c>
      <c r="AU85" s="7" t="str">
        <f t="shared" si="12"/>
        <v>20Multas y sanciones por infracciones al régimen del monopolio de juegos de suerte y azar0</v>
      </c>
      <c r="AV85" t="str">
        <f>+_xlfn.XLOOKUP(AU85,CRUCE!I:I,CRUCE!M:M)</f>
        <v>READY</v>
      </c>
      <c r="AW85" t="s">
        <v>1907</v>
      </c>
      <c r="AX85">
        <f>+SUMIFS(CRUCE!C:C,CRUCE!A:A,D85,CRUCE!B:B,'2021'!H85)</f>
        <v>0</v>
      </c>
    </row>
    <row r="86" spans="1:50" x14ac:dyDescent="0.3">
      <c r="A86">
        <v>2021</v>
      </c>
      <c r="B86">
        <v>307</v>
      </c>
      <c r="C86">
        <v>11020300118</v>
      </c>
      <c r="D86" s="5">
        <v>20</v>
      </c>
      <c r="E86" s="8" t="s">
        <v>210</v>
      </c>
      <c r="F86">
        <v>11020300118</v>
      </c>
      <c r="G86" t="s">
        <v>1908</v>
      </c>
      <c r="H86" s="8" t="s">
        <v>211</v>
      </c>
      <c r="I86" t="s">
        <v>47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118342</v>
      </c>
      <c r="Y86" s="11">
        <v>0</v>
      </c>
      <c r="Z86" s="17">
        <v>118342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118342</v>
      </c>
      <c r="AH86" s="11">
        <v>0</v>
      </c>
      <c r="AI86" s="12">
        <v>118342</v>
      </c>
      <c r="AJ86" s="11">
        <v>118342</v>
      </c>
      <c r="AK86" s="11">
        <v>0</v>
      </c>
      <c r="AL86" s="11">
        <v>0</v>
      </c>
      <c r="AM86" s="11">
        <v>118342</v>
      </c>
      <c r="AN86" s="11">
        <v>118342</v>
      </c>
      <c r="AO86" s="11">
        <v>0</v>
      </c>
      <c r="AP86" s="11">
        <v>118342</v>
      </c>
      <c r="AQ86" s="11">
        <v>0</v>
      </c>
      <c r="AR86" s="11">
        <v>0</v>
      </c>
      <c r="AS86" t="s">
        <v>57</v>
      </c>
      <c r="AT86" s="4" t="str">
        <f t="shared" si="11"/>
        <v>Multas y sanciones por violación al régimen de venta de medicamentos controlados</v>
      </c>
      <c r="AU86" s="7" t="str">
        <f t="shared" si="12"/>
        <v>20Multas y sanciones por violación al régimen de venta de medicamentos controlados118342</v>
      </c>
      <c r="AV86" t="e">
        <f>+_xlfn.XLOOKUP(AU86,CRUCE!I:I,CRUCE!M:M)</f>
        <v>#N/A</v>
      </c>
      <c r="AW86" t="s">
        <v>1907</v>
      </c>
      <c r="AX86">
        <f>+SUMIFS(CRUCE!C:C,CRUCE!A:A,D86,CRUCE!B:B,'2021'!H86)</f>
        <v>118353.94</v>
      </c>
    </row>
    <row r="87" spans="1:50" hidden="1" x14ac:dyDescent="0.3">
      <c r="A87">
        <v>2021</v>
      </c>
      <c r="B87">
        <v>307</v>
      </c>
      <c r="C87">
        <v>110203002</v>
      </c>
      <c r="D87" s="5" t="s">
        <v>44</v>
      </c>
      <c r="E87" s="8" t="s">
        <v>212</v>
      </c>
      <c r="F87">
        <v>110203002</v>
      </c>
      <c r="H87" s="8" t="s">
        <v>213</v>
      </c>
      <c r="I87" t="s">
        <v>47</v>
      </c>
      <c r="J87" s="11">
        <v>982003861</v>
      </c>
      <c r="K87" s="11">
        <v>982003861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982003861</v>
      </c>
      <c r="R87" s="11">
        <v>3148071536.21</v>
      </c>
      <c r="S87" s="11">
        <v>351424805.74000001</v>
      </c>
      <c r="T87" s="11">
        <v>2796646730.4699998</v>
      </c>
      <c r="U87" s="11">
        <v>0</v>
      </c>
      <c r="V87" s="11">
        <v>0</v>
      </c>
      <c r="W87" s="11">
        <v>0</v>
      </c>
      <c r="X87" s="11">
        <v>1230060175.1800001</v>
      </c>
      <c r="Y87" s="11">
        <v>600937737.98000002</v>
      </c>
      <c r="Z87" s="17">
        <v>629122437.20000005</v>
      </c>
      <c r="AA87" s="11">
        <v>3148071536.21</v>
      </c>
      <c r="AB87" s="11">
        <v>351424805.74000001</v>
      </c>
      <c r="AC87" s="11">
        <v>2796646730.4699998</v>
      </c>
      <c r="AD87" s="11">
        <v>0</v>
      </c>
      <c r="AE87" s="11">
        <v>0</v>
      </c>
      <c r="AF87" s="11">
        <v>0</v>
      </c>
      <c r="AG87" s="11">
        <v>1230060175.1800001</v>
      </c>
      <c r="AH87" s="11">
        <v>600937737.98000002</v>
      </c>
      <c r="AI87" s="12">
        <v>629122437.20000005</v>
      </c>
      <c r="AJ87" s="11">
        <v>629122437.20000005</v>
      </c>
      <c r="AK87" s="11">
        <v>0</v>
      </c>
      <c r="AL87" s="11">
        <v>0</v>
      </c>
      <c r="AM87" s="11">
        <v>629913234.39999998</v>
      </c>
      <c r="AN87" s="11">
        <v>1230041775.1800001</v>
      </c>
      <c r="AO87" s="11">
        <v>600128540.77999997</v>
      </c>
      <c r="AP87" s="11">
        <v>1230041775.1800001</v>
      </c>
      <c r="AQ87" s="11">
        <v>0</v>
      </c>
      <c r="AR87" s="11">
        <v>600128540.77999997</v>
      </c>
      <c r="AS87" t="s">
        <v>48</v>
      </c>
      <c r="AT87"/>
    </row>
    <row r="88" spans="1:50" hidden="1" x14ac:dyDescent="0.3">
      <c r="A88">
        <v>2021</v>
      </c>
      <c r="B88">
        <v>307</v>
      </c>
      <c r="C88">
        <v>11020300201</v>
      </c>
      <c r="D88" s="5" t="s">
        <v>44</v>
      </c>
      <c r="E88" s="8" t="s">
        <v>214</v>
      </c>
      <c r="F88">
        <v>11020300201</v>
      </c>
      <c r="H88" s="8" t="s">
        <v>46</v>
      </c>
      <c r="I88" t="s">
        <v>47</v>
      </c>
      <c r="J88" s="11">
        <v>982003861</v>
      </c>
      <c r="K88" s="11">
        <v>982003861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982003861</v>
      </c>
      <c r="R88" s="11">
        <v>3148071536.21</v>
      </c>
      <c r="S88" s="11">
        <v>351424805.74000001</v>
      </c>
      <c r="T88" s="11">
        <v>2796646730.4699998</v>
      </c>
      <c r="U88" s="11">
        <v>0</v>
      </c>
      <c r="V88" s="11">
        <v>0</v>
      </c>
      <c r="W88" s="11">
        <v>0</v>
      </c>
      <c r="X88" s="11">
        <v>1230060175.1800001</v>
      </c>
      <c r="Y88" s="11">
        <v>600937737.98000002</v>
      </c>
      <c r="Z88" s="17">
        <v>629122437.20000005</v>
      </c>
      <c r="AA88" s="11">
        <v>3148071536.21</v>
      </c>
      <c r="AB88" s="11">
        <v>351424805.74000001</v>
      </c>
      <c r="AC88" s="11">
        <v>2796646730.4699998</v>
      </c>
      <c r="AD88" s="11">
        <v>0</v>
      </c>
      <c r="AE88" s="11">
        <v>0</v>
      </c>
      <c r="AF88" s="11">
        <v>0</v>
      </c>
      <c r="AG88" s="11">
        <v>1230060175.1800001</v>
      </c>
      <c r="AH88" s="11">
        <v>600937737.98000002</v>
      </c>
      <c r="AI88" s="12">
        <v>629122437.20000005</v>
      </c>
      <c r="AJ88" s="11">
        <v>629122437.20000005</v>
      </c>
      <c r="AK88" s="11">
        <v>0</v>
      </c>
      <c r="AL88" s="11">
        <v>0</v>
      </c>
      <c r="AM88" s="11">
        <v>629913234.39999998</v>
      </c>
      <c r="AN88" s="11">
        <v>1230041775.1800001</v>
      </c>
      <c r="AO88" s="11">
        <v>600128540.77999997</v>
      </c>
      <c r="AP88" s="11">
        <v>1230041775.1800001</v>
      </c>
      <c r="AQ88" s="11">
        <v>0</v>
      </c>
      <c r="AR88" s="11">
        <v>600128540.77999997</v>
      </c>
      <c r="AS88" t="s">
        <v>48</v>
      </c>
      <c r="AT88"/>
    </row>
    <row r="89" spans="1:50" hidden="1" x14ac:dyDescent="0.3">
      <c r="A89">
        <v>2021</v>
      </c>
      <c r="B89">
        <v>307</v>
      </c>
      <c r="C89">
        <v>1102030020101</v>
      </c>
      <c r="D89" s="5" t="s">
        <v>44</v>
      </c>
      <c r="E89" s="8" t="s">
        <v>215</v>
      </c>
      <c r="F89">
        <v>1102030020101</v>
      </c>
      <c r="H89" s="8" t="s">
        <v>50</v>
      </c>
      <c r="I89" t="s">
        <v>47</v>
      </c>
      <c r="J89" s="11">
        <v>982003861</v>
      </c>
      <c r="K89" s="11">
        <v>982003861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982003861</v>
      </c>
      <c r="R89" s="11">
        <v>3148071536.21</v>
      </c>
      <c r="S89" s="11">
        <v>351424805.74000001</v>
      </c>
      <c r="T89" s="11">
        <v>2796646730.4699998</v>
      </c>
      <c r="U89" s="11">
        <v>0</v>
      </c>
      <c r="V89" s="11">
        <v>0</v>
      </c>
      <c r="W89" s="11">
        <v>0</v>
      </c>
      <c r="X89" s="11">
        <v>1230060175.1800001</v>
      </c>
      <c r="Y89" s="11">
        <v>600937737.98000002</v>
      </c>
      <c r="Z89" s="17">
        <v>629122437.20000005</v>
      </c>
      <c r="AA89" s="11">
        <v>3148071536.21</v>
      </c>
      <c r="AB89" s="11">
        <v>351424805.74000001</v>
      </c>
      <c r="AC89" s="11">
        <v>2796646730.4699998</v>
      </c>
      <c r="AD89" s="11">
        <v>0</v>
      </c>
      <c r="AE89" s="11">
        <v>0</v>
      </c>
      <c r="AF89" s="11">
        <v>0</v>
      </c>
      <c r="AG89" s="11">
        <v>1230060175.1800001</v>
      </c>
      <c r="AH89" s="11">
        <v>600937737.98000002</v>
      </c>
      <c r="AI89" s="12">
        <v>629122437.20000005</v>
      </c>
      <c r="AJ89" s="11">
        <v>629122437.20000005</v>
      </c>
      <c r="AK89" s="11">
        <v>0</v>
      </c>
      <c r="AL89" s="11">
        <v>0</v>
      </c>
      <c r="AM89" s="11">
        <v>629913234.39999998</v>
      </c>
      <c r="AN89" s="11">
        <v>1230041775.1800001</v>
      </c>
      <c r="AO89" s="11">
        <v>600128540.77999997</v>
      </c>
      <c r="AP89" s="11">
        <v>1230041775.1800001</v>
      </c>
      <c r="AQ89" s="11">
        <v>0</v>
      </c>
      <c r="AR89" s="11">
        <v>600128540.77999997</v>
      </c>
      <c r="AS89" t="s">
        <v>48</v>
      </c>
      <c r="AT89"/>
    </row>
    <row r="90" spans="1:50" hidden="1" x14ac:dyDescent="0.3">
      <c r="A90">
        <v>2021</v>
      </c>
      <c r="B90">
        <v>307</v>
      </c>
      <c r="C90">
        <v>110203002010101</v>
      </c>
      <c r="D90" s="5" t="s">
        <v>44</v>
      </c>
      <c r="E90" s="8" t="s">
        <v>216</v>
      </c>
      <c r="F90">
        <v>110203002010101</v>
      </c>
      <c r="H90" s="8" t="s">
        <v>202</v>
      </c>
      <c r="I90" t="s">
        <v>47</v>
      </c>
      <c r="J90" s="11">
        <v>982003861</v>
      </c>
      <c r="K90" s="11">
        <v>982003861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982003861</v>
      </c>
      <c r="R90" s="11">
        <v>3148071536.21</v>
      </c>
      <c r="S90" s="11">
        <v>351424805.74000001</v>
      </c>
      <c r="T90" s="11">
        <v>2796646730.4699998</v>
      </c>
      <c r="U90" s="11">
        <v>0</v>
      </c>
      <c r="V90" s="11">
        <v>0</v>
      </c>
      <c r="W90" s="11">
        <v>0</v>
      </c>
      <c r="X90" s="11">
        <v>1230060175.1800001</v>
      </c>
      <c r="Y90" s="11">
        <v>600937737.98000002</v>
      </c>
      <c r="Z90" s="17">
        <v>629122437.20000005</v>
      </c>
      <c r="AA90" s="11">
        <v>3148071536.21</v>
      </c>
      <c r="AB90" s="11">
        <v>351424805.74000001</v>
      </c>
      <c r="AC90" s="11">
        <v>2796646730.4699998</v>
      </c>
      <c r="AD90" s="11">
        <v>0</v>
      </c>
      <c r="AE90" s="11">
        <v>0</v>
      </c>
      <c r="AF90" s="11">
        <v>0</v>
      </c>
      <c r="AG90" s="11">
        <v>1230060175.1800001</v>
      </c>
      <c r="AH90" s="11">
        <v>600937737.98000002</v>
      </c>
      <c r="AI90" s="12">
        <v>629122437.20000005</v>
      </c>
      <c r="AJ90" s="11">
        <v>629122437.20000005</v>
      </c>
      <c r="AK90" s="11">
        <v>0</v>
      </c>
      <c r="AL90" s="11">
        <v>0</v>
      </c>
      <c r="AM90" s="11">
        <v>629913234.39999998</v>
      </c>
      <c r="AN90" s="11">
        <v>1230041775.1800001</v>
      </c>
      <c r="AO90" s="11">
        <v>600128540.77999997</v>
      </c>
      <c r="AP90" s="11">
        <v>1230041775.1800001</v>
      </c>
      <c r="AQ90" s="11">
        <v>0</v>
      </c>
      <c r="AR90" s="11">
        <v>600128540.77999997</v>
      </c>
      <c r="AS90" t="s">
        <v>48</v>
      </c>
      <c r="AT90"/>
    </row>
    <row r="91" spans="1:50" hidden="1" x14ac:dyDescent="0.3">
      <c r="A91">
        <v>2021</v>
      </c>
      <c r="B91">
        <v>307</v>
      </c>
      <c r="C91">
        <v>1.1020300201010099E+17</v>
      </c>
      <c r="D91" s="5" t="s">
        <v>44</v>
      </c>
      <c r="E91" s="8" t="s">
        <v>217</v>
      </c>
      <c r="F91">
        <v>1.1020300201010099E+17</v>
      </c>
      <c r="H91" s="8" t="s">
        <v>218</v>
      </c>
      <c r="I91" t="s">
        <v>47</v>
      </c>
      <c r="J91" s="11">
        <v>982003861</v>
      </c>
      <c r="K91" s="11">
        <v>982003861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982003861</v>
      </c>
      <c r="R91" s="11">
        <v>3148071536.21</v>
      </c>
      <c r="S91" s="11">
        <v>351424805.74000001</v>
      </c>
      <c r="T91" s="11">
        <v>2796646730.4699998</v>
      </c>
      <c r="U91" s="11">
        <v>0</v>
      </c>
      <c r="V91" s="11">
        <v>0</v>
      </c>
      <c r="W91" s="11">
        <v>0</v>
      </c>
      <c r="X91" s="11">
        <v>1230060175.1800001</v>
      </c>
      <c r="Y91" s="11">
        <v>600937737.98000002</v>
      </c>
      <c r="Z91" s="17">
        <v>629122437.20000005</v>
      </c>
      <c r="AA91" s="11">
        <v>3148071536.21</v>
      </c>
      <c r="AB91" s="11">
        <v>351424805.74000001</v>
      </c>
      <c r="AC91" s="11">
        <v>2796646730.4699998</v>
      </c>
      <c r="AD91" s="11">
        <v>0</v>
      </c>
      <c r="AE91" s="11">
        <v>0</v>
      </c>
      <c r="AF91" s="11">
        <v>0</v>
      </c>
      <c r="AG91" s="11">
        <v>1230060175.1800001</v>
      </c>
      <c r="AH91" s="11">
        <v>600937737.98000002</v>
      </c>
      <c r="AI91" s="12">
        <v>629122437.20000005</v>
      </c>
      <c r="AJ91" s="11">
        <v>629122437.20000005</v>
      </c>
      <c r="AK91" s="11">
        <v>0</v>
      </c>
      <c r="AL91" s="11">
        <v>0</v>
      </c>
      <c r="AM91" s="11">
        <v>629913234.39999998</v>
      </c>
      <c r="AN91" s="11">
        <v>1230041775.1800001</v>
      </c>
      <c r="AO91" s="11">
        <v>600128540.77999997</v>
      </c>
      <c r="AP91" s="11">
        <v>1230041775.1800001</v>
      </c>
      <c r="AQ91" s="11">
        <v>0</v>
      </c>
      <c r="AR91" s="11">
        <v>600128540.77999997</v>
      </c>
      <c r="AS91" t="s">
        <v>48</v>
      </c>
      <c r="AT91"/>
    </row>
    <row r="92" spans="1:50" x14ac:dyDescent="0.3">
      <c r="A92">
        <v>2021</v>
      </c>
      <c r="B92">
        <v>307</v>
      </c>
      <c r="C92">
        <v>1.1020300201010101E+20</v>
      </c>
      <c r="D92" s="5">
        <v>20</v>
      </c>
      <c r="E92" s="8" t="s">
        <v>219</v>
      </c>
      <c r="F92">
        <v>1.1020300201010101E+20</v>
      </c>
      <c r="G92" t="s">
        <v>1908</v>
      </c>
      <c r="H92" s="8" t="s">
        <v>220</v>
      </c>
      <c r="I92" t="s">
        <v>47</v>
      </c>
      <c r="J92" s="11">
        <v>982003861</v>
      </c>
      <c r="K92" s="11">
        <v>982003861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982003861</v>
      </c>
      <c r="R92" s="11">
        <v>3148071536.21</v>
      </c>
      <c r="S92" s="11">
        <v>351424805.74000001</v>
      </c>
      <c r="T92" s="11">
        <v>2796646730.4699998</v>
      </c>
      <c r="U92" s="11">
        <v>0</v>
      </c>
      <c r="V92" s="11">
        <v>0</v>
      </c>
      <c r="W92" s="11">
        <v>0</v>
      </c>
      <c r="X92" s="11">
        <v>1230060175.1800001</v>
      </c>
      <c r="Y92" s="11">
        <v>600937737.98000002</v>
      </c>
      <c r="Z92" s="17">
        <v>629122437.20000005</v>
      </c>
      <c r="AA92" s="11">
        <v>3148071536.21</v>
      </c>
      <c r="AB92" s="11">
        <v>351424805.74000001</v>
      </c>
      <c r="AC92" s="11">
        <v>2796646730.4699998</v>
      </c>
      <c r="AD92" s="11">
        <v>0</v>
      </c>
      <c r="AE92" s="11">
        <v>0</v>
      </c>
      <c r="AF92" s="11">
        <v>0</v>
      </c>
      <c r="AG92" s="11">
        <v>1230060175.1800001</v>
      </c>
      <c r="AH92" s="11">
        <v>600937737.98000002</v>
      </c>
      <c r="AI92" s="12">
        <v>629122437.20000005</v>
      </c>
      <c r="AJ92" s="11">
        <v>629122437.20000005</v>
      </c>
      <c r="AK92" s="11">
        <v>0</v>
      </c>
      <c r="AL92" s="11">
        <v>0</v>
      </c>
      <c r="AM92" s="11">
        <v>629913234.39999998</v>
      </c>
      <c r="AN92" s="11">
        <v>1230041775.1800001</v>
      </c>
      <c r="AO92" s="11">
        <v>600128540.77999997</v>
      </c>
      <c r="AP92" s="11">
        <v>1230041775.1800001</v>
      </c>
      <c r="AQ92" s="11">
        <v>0</v>
      </c>
      <c r="AR92" s="11">
        <v>600128540.77999997</v>
      </c>
      <c r="AS92" t="s">
        <v>57</v>
      </c>
      <c r="AT92" s="4" t="str">
        <f>+H92</f>
        <v>Impuesto sobre vehículos automotores (Intereses de Mora)</v>
      </c>
      <c r="AU92" s="7" t="str">
        <f>+$D92&amp;$AT92&amp;Z92</f>
        <v>20Impuesto sobre vehículos automotores (Intereses de Mora)629122437,2</v>
      </c>
      <c r="AV92" t="str">
        <f>+_xlfn.XLOOKUP(AU92,CRUCE!I:I,CRUCE!M:M)</f>
        <v>READY</v>
      </c>
      <c r="AW92" t="s">
        <v>1907</v>
      </c>
      <c r="AX92">
        <f>+SUMIFS(CRUCE!C:C,CRUCE!A:A,D92,CRUCE!B:B,'2021'!H92)</f>
        <v>629122437.20000005</v>
      </c>
    </row>
    <row r="93" spans="1:50" hidden="1" x14ac:dyDescent="0.3">
      <c r="A93">
        <v>2021</v>
      </c>
      <c r="B93">
        <v>307</v>
      </c>
      <c r="C93">
        <v>110205</v>
      </c>
      <c r="D93" s="5" t="s">
        <v>44</v>
      </c>
      <c r="E93" s="8" t="s">
        <v>221</v>
      </c>
      <c r="F93">
        <v>110205</v>
      </c>
      <c r="H93" s="8" t="s">
        <v>222</v>
      </c>
      <c r="I93" t="s">
        <v>47</v>
      </c>
      <c r="J93" s="11">
        <v>363287619</v>
      </c>
      <c r="K93" s="11">
        <v>363287619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363287619</v>
      </c>
      <c r="R93" s="11">
        <v>155289029.59</v>
      </c>
      <c r="S93" s="11">
        <v>7944046.3399999999</v>
      </c>
      <c r="T93" s="11">
        <v>147344983.25</v>
      </c>
      <c r="U93" s="11">
        <v>0</v>
      </c>
      <c r="V93" s="11">
        <v>0</v>
      </c>
      <c r="W93" s="11">
        <v>0</v>
      </c>
      <c r="X93" s="11">
        <v>151988025.86000001</v>
      </c>
      <c r="Y93" s="11">
        <v>1035600.9</v>
      </c>
      <c r="Z93" s="17">
        <v>150952424.96000001</v>
      </c>
      <c r="AA93" s="11">
        <v>155289029.59</v>
      </c>
      <c r="AB93" s="11">
        <v>7944046.3399999999</v>
      </c>
      <c r="AC93" s="11">
        <v>147344983.25</v>
      </c>
      <c r="AD93" s="11">
        <v>0</v>
      </c>
      <c r="AE93" s="11">
        <v>0</v>
      </c>
      <c r="AF93" s="11">
        <v>0</v>
      </c>
      <c r="AG93" s="11">
        <v>151988025.86000001</v>
      </c>
      <c r="AH93" s="11">
        <v>1035600.9</v>
      </c>
      <c r="AI93" s="12">
        <v>150952424.96000001</v>
      </c>
      <c r="AJ93" s="11">
        <v>150952424.96000001</v>
      </c>
      <c r="AK93" s="11">
        <v>0</v>
      </c>
      <c r="AL93" s="11">
        <v>0</v>
      </c>
      <c r="AM93" s="11">
        <v>151302024.96000001</v>
      </c>
      <c r="AN93" s="11">
        <v>151988025.86000001</v>
      </c>
      <c r="AO93" s="11">
        <v>686000.9</v>
      </c>
      <c r="AP93" s="11">
        <v>151988025.86000001</v>
      </c>
      <c r="AQ93" s="11">
        <v>0</v>
      </c>
      <c r="AR93" s="11">
        <v>686000.9</v>
      </c>
      <c r="AS93" t="s">
        <v>48</v>
      </c>
      <c r="AT93"/>
    </row>
    <row r="94" spans="1:50" hidden="1" x14ac:dyDescent="0.3">
      <c r="A94">
        <v>2021</v>
      </c>
      <c r="B94">
        <v>307</v>
      </c>
      <c r="C94">
        <v>110205001</v>
      </c>
      <c r="D94" s="5" t="s">
        <v>44</v>
      </c>
      <c r="E94" s="8" t="s">
        <v>223</v>
      </c>
      <c r="F94">
        <v>110205001</v>
      </c>
      <c r="H94" s="8" t="s">
        <v>224</v>
      </c>
      <c r="I94" t="s">
        <v>47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120678828.59</v>
      </c>
      <c r="S94" s="11">
        <v>1604067.34</v>
      </c>
      <c r="T94" s="11">
        <v>119074761.25</v>
      </c>
      <c r="U94" s="11">
        <v>0</v>
      </c>
      <c r="V94" s="11">
        <v>0</v>
      </c>
      <c r="W94" s="11">
        <v>0</v>
      </c>
      <c r="X94" s="11">
        <v>125787497.86</v>
      </c>
      <c r="Y94" s="11">
        <v>35.9</v>
      </c>
      <c r="Z94" s="17">
        <v>125787461.95999999</v>
      </c>
      <c r="AA94" s="11">
        <v>120678828.59</v>
      </c>
      <c r="AB94" s="11">
        <v>1604067.34</v>
      </c>
      <c r="AC94" s="11">
        <v>119074761.25</v>
      </c>
      <c r="AD94" s="11">
        <v>0</v>
      </c>
      <c r="AE94" s="11">
        <v>0</v>
      </c>
      <c r="AF94" s="11">
        <v>0</v>
      </c>
      <c r="AG94" s="11">
        <v>125787497.86</v>
      </c>
      <c r="AH94" s="11">
        <v>35.9</v>
      </c>
      <c r="AI94" s="12">
        <v>125787461.95999999</v>
      </c>
      <c r="AJ94" s="11">
        <v>125787461.95999999</v>
      </c>
      <c r="AK94" s="11">
        <v>0</v>
      </c>
      <c r="AL94" s="11">
        <v>0</v>
      </c>
      <c r="AM94" s="11">
        <v>125787496.95999999</v>
      </c>
      <c r="AN94" s="11">
        <v>125787497.86</v>
      </c>
      <c r="AO94" s="11">
        <v>0.9</v>
      </c>
      <c r="AP94" s="11">
        <v>125787497.86</v>
      </c>
      <c r="AQ94" s="11">
        <v>0</v>
      </c>
      <c r="AR94" s="11">
        <v>0.9</v>
      </c>
      <c r="AS94" t="s">
        <v>48</v>
      </c>
      <c r="AT94"/>
    </row>
    <row r="95" spans="1:50" x14ac:dyDescent="0.3">
      <c r="A95">
        <v>2021</v>
      </c>
      <c r="B95">
        <v>307</v>
      </c>
      <c r="C95">
        <v>11020500109</v>
      </c>
      <c r="D95" s="5">
        <v>20</v>
      </c>
      <c r="E95" s="8" t="s">
        <v>225</v>
      </c>
      <c r="F95">
        <v>11020500109</v>
      </c>
      <c r="G95" t="s">
        <v>1908</v>
      </c>
      <c r="H95" s="8" t="s">
        <v>226</v>
      </c>
      <c r="I95" t="s">
        <v>47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120678828.59</v>
      </c>
      <c r="S95" s="11">
        <v>1604067.34</v>
      </c>
      <c r="T95" s="11">
        <v>119074761.25</v>
      </c>
      <c r="U95" s="11">
        <v>0</v>
      </c>
      <c r="V95" s="11">
        <v>0</v>
      </c>
      <c r="W95" s="11">
        <v>0</v>
      </c>
      <c r="X95" s="11">
        <v>125787497.86</v>
      </c>
      <c r="Y95" s="11">
        <v>35.9</v>
      </c>
      <c r="Z95" s="17">
        <v>125787461.95999999</v>
      </c>
      <c r="AA95" s="11">
        <v>120678828.59</v>
      </c>
      <c r="AB95" s="11">
        <v>1604067.34</v>
      </c>
      <c r="AC95" s="11">
        <v>119074761.25</v>
      </c>
      <c r="AD95" s="11">
        <v>0</v>
      </c>
      <c r="AE95" s="11">
        <v>0</v>
      </c>
      <c r="AF95" s="11">
        <v>0</v>
      </c>
      <c r="AG95" s="11">
        <v>125787497.86</v>
      </c>
      <c r="AH95" s="11">
        <v>35.9</v>
      </c>
      <c r="AI95" s="12">
        <v>125787461.95999999</v>
      </c>
      <c r="AJ95" s="11">
        <v>125787461.95999999</v>
      </c>
      <c r="AK95" s="11">
        <v>0</v>
      </c>
      <c r="AL95" s="11">
        <v>0</v>
      </c>
      <c r="AM95" s="11">
        <v>125787496.95999999</v>
      </c>
      <c r="AN95" s="11">
        <v>125787497.86</v>
      </c>
      <c r="AO95" s="11">
        <v>0.9</v>
      </c>
      <c r="AP95" s="11">
        <v>125787497.86</v>
      </c>
      <c r="AQ95" s="11">
        <v>0</v>
      </c>
      <c r="AR95" s="11">
        <v>0.9</v>
      </c>
      <c r="AS95" t="s">
        <v>57</v>
      </c>
      <c r="AT95" s="4" t="str">
        <f>+H95</f>
        <v>Servicios para la comunidad, sociales y personales</v>
      </c>
      <c r="AU95" s="7" t="str">
        <f>+$D95&amp;$AT95&amp;Z95</f>
        <v>20Servicios para la comunidad, sociales y personales125787461,96</v>
      </c>
      <c r="AV95" t="e">
        <f>+_xlfn.XLOOKUP(AU95,CRUCE!I:I,CRUCE!M:M)</f>
        <v>#N/A</v>
      </c>
      <c r="AW95" t="s">
        <v>1907</v>
      </c>
      <c r="AX95">
        <f>+SUMIFS(CRUCE!C:C,CRUCE!A:A,D95,CRUCE!B:B,'2021'!H95)</f>
        <v>126602308.92999999</v>
      </c>
    </row>
    <row r="96" spans="1:50" hidden="1" x14ac:dyDescent="0.3">
      <c r="A96">
        <v>2021</v>
      </c>
      <c r="B96">
        <v>307</v>
      </c>
      <c r="C96">
        <v>110205002</v>
      </c>
      <c r="D96" s="5" t="s">
        <v>44</v>
      </c>
      <c r="E96" s="8" t="s">
        <v>227</v>
      </c>
      <c r="F96">
        <v>110205002</v>
      </c>
      <c r="H96" s="8" t="s">
        <v>228</v>
      </c>
      <c r="I96" t="s">
        <v>47</v>
      </c>
      <c r="J96" s="11">
        <v>363287619</v>
      </c>
      <c r="K96" s="11">
        <v>363287619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363287619</v>
      </c>
      <c r="R96" s="11">
        <v>34610201</v>
      </c>
      <c r="S96" s="11">
        <v>6339979</v>
      </c>
      <c r="T96" s="11">
        <v>28270222</v>
      </c>
      <c r="U96" s="11">
        <v>0</v>
      </c>
      <c r="V96" s="11">
        <v>0</v>
      </c>
      <c r="W96" s="11">
        <v>0</v>
      </c>
      <c r="X96" s="11">
        <v>26200528</v>
      </c>
      <c r="Y96" s="11">
        <v>1035565</v>
      </c>
      <c r="Z96" s="17">
        <v>25164963</v>
      </c>
      <c r="AA96" s="11">
        <v>34610201</v>
      </c>
      <c r="AB96" s="11">
        <v>6339979</v>
      </c>
      <c r="AC96" s="11">
        <v>28270222</v>
      </c>
      <c r="AD96" s="11">
        <v>0</v>
      </c>
      <c r="AE96" s="11">
        <v>0</v>
      </c>
      <c r="AF96" s="11">
        <v>0</v>
      </c>
      <c r="AG96" s="11">
        <v>26200528</v>
      </c>
      <c r="AH96" s="11">
        <v>1035565</v>
      </c>
      <c r="AI96" s="12">
        <v>25164963</v>
      </c>
      <c r="AJ96" s="11">
        <v>25164963</v>
      </c>
      <c r="AK96" s="11">
        <v>0</v>
      </c>
      <c r="AL96" s="11">
        <v>0</v>
      </c>
      <c r="AM96" s="11">
        <v>25514528</v>
      </c>
      <c r="AN96" s="11">
        <v>26200528</v>
      </c>
      <c r="AO96" s="11">
        <v>686000</v>
      </c>
      <c r="AP96" s="11">
        <v>26200528</v>
      </c>
      <c r="AQ96" s="11">
        <v>0</v>
      </c>
      <c r="AR96" s="11">
        <v>686000</v>
      </c>
      <c r="AS96" t="s">
        <v>48</v>
      </c>
      <c r="AT96"/>
    </row>
    <row r="97" spans="1:50" hidden="1" x14ac:dyDescent="0.3">
      <c r="A97">
        <v>2021</v>
      </c>
      <c r="B97">
        <v>307</v>
      </c>
      <c r="C97">
        <v>11020500207</v>
      </c>
      <c r="D97" s="5" t="s">
        <v>44</v>
      </c>
      <c r="E97" s="8" t="s">
        <v>229</v>
      </c>
      <c r="F97">
        <v>11020500207</v>
      </c>
      <c r="H97" s="8" t="s">
        <v>230</v>
      </c>
      <c r="I97" t="s">
        <v>47</v>
      </c>
      <c r="J97" s="11">
        <v>118460356</v>
      </c>
      <c r="K97" s="11">
        <v>118460356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118460356</v>
      </c>
      <c r="R97" s="11">
        <v>34610201</v>
      </c>
      <c r="S97" s="11">
        <v>6339979</v>
      </c>
      <c r="T97" s="11">
        <v>28270222</v>
      </c>
      <c r="U97" s="11">
        <v>0</v>
      </c>
      <c r="V97" s="11">
        <v>0</v>
      </c>
      <c r="W97" s="11">
        <v>0</v>
      </c>
      <c r="X97" s="11">
        <v>26200528</v>
      </c>
      <c r="Y97" s="11">
        <v>1035565</v>
      </c>
      <c r="Z97" s="17">
        <v>25164963</v>
      </c>
      <c r="AA97" s="11">
        <v>34610201</v>
      </c>
      <c r="AB97" s="11">
        <v>6339979</v>
      </c>
      <c r="AC97" s="11">
        <v>28270222</v>
      </c>
      <c r="AD97" s="11">
        <v>0</v>
      </c>
      <c r="AE97" s="11">
        <v>0</v>
      </c>
      <c r="AF97" s="11">
        <v>0</v>
      </c>
      <c r="AG97" s="11">
        <v>26200528</v>
      </c>
      <c r="AH97" s="11">
        <v>1035565</v>
      </c>
      <c r="AI97" s="12">
        <v>25164963</v>
      </c>
      <c r="AJ97" s="11">
        <v>25164963</v>
      </c>
      <c r="AK97" s="11">
        <v>0</v>
      </c>
      <c r="AL97" s="11">
        <v>0</v>
      </c>
      <c r="AM97" s="11">
        <v>25514528</v>
      </c>
      <c r="AN97" s="11">
        <v>26200528</v>
      </c>
      <c r="AO97" s="11">
        <v>686000</v>
      </c>
      <c r="AP97" s="11">
        <v>26200528</v>
      </c>
      <c r="AQ97" s="11">
        <v>0</v>
      </c>
      <c r="AR97" s="11">
        <v>686000</v>
      </c>
      <c r="AS97" t="s">
        <v>48</v>
      </c>
      <c r="AT97"/>
    </row>
    <row r="98" spans="1:50" hidden="1" x14ac:dyDescent="0.3">
      <c r="A98">
        <v>2021</v>
      </c>
      <c r="B98">
        <v>307</v>
      </c>
      <c r="C98">
        <v>1102050020702</v>
      </c>
      <c r="D98" s="5" t="s">
        <v>44</v>
      </c>
      <c r="E98" s="8" t="s">
        <v>231</v>
      </c>
      <c r="F98">
        <v>1102050020702</v>
      </c>
      <c r="H98" s="8" t="s">
        <v>232</v>
      </c>
      <c r="I98" t="s">
        <v>47</v>
      </c>
      <c r="J98" s="11">
        <v>118460356</v>
      </c>
      <c r="K98" s="11">
        <v>118460356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118460356</v>
      </c>
      <c r="R98" s="11">
        <v>34610201</v>
      </c>
      <c r="S98" s="11">
        <v>6339979</v>
      </c>
      <c r="T98" s="11">
        <v>28270222</v>
      </c>
      <c r="U98" s="11">
        <v>0</v>
      </c>
      <c r="V98" s="11">
        <v>0</v>
      </c>
      <c r="W98" s="11">
        <v>0</v>
      </c>
      <c r="X98" s="11">
        <v>26200528</v>
      </c>
      <c r="Y98" s="11">
        <v>1035565</v>
      </c>
      <c r="Z98" s="17">
        <v>25164963</v>
      </c>
      <c r="AA98" s="11">
        <v>34610201</v>
      </c>
      <c r="AB98" s="11">
        <v>6339979</v>
      </c>
      <c r="AC98" s="11">
        <v>28270222</v>
      </c>
      <c r="AD98" s="11">
        <v>0</v>
      </c>
      <c r="AE98" s="11">
        <v>0</v>
      </c>
      <c r="AF98" s="11">
        <v>0</v>
      </c>
      <c r="AG98" s="11">
        <v>26200528</v>
      </c>
      <c r="AH98" s="11">
        <v>1035565</v>
      </c>
      <c r="AI98" s="12">
        <v>25164963</v>
      </c>
      <c r="AJ98" s="11">
        <v>25164963</v>
      </c>
      <c r="AK98" s="11">
        <v>0</v>
      </c>
      <c r="AL98" s="11">
        <v>0</v>
      </c>
      <c r="AM98" s="11">
        <v>25514528</v>
      </c>
      <c r="AN98" s="11">
        <v>26200528</v>
      </c>
      <c r="AO98" s="11">
        <v>686000</v>
      </c>
      <c r="AP98" s="11">
        <v>26200528</v>
      </c>
      <c r="AQ98" s="11">
        <v>0</v>
      </c>
      <c r="AR98" s="11">
        <v>686000</v>
      </c>
      <c r="AS98" t="s">
        <v>48</v>
      </c>
      <c r="AT98"/>
    </row>
    <row r="99" spans="1:50" x14ac:dyDescent="0.3">
      <c r="A99">
        <v>2021</v>
      </c>
      <c r="B99">
        <v>307</v>
      </c>
      <c r="C99">
        <v>110205002070201</v>
      </c>
      <c r="D99" s="5">
        <v>20</v>
      </c>
      <c r="E99" s="8" t="s">
        <v>233</v>
      </c>
      <c r="F99">
        <v>110205002070201</v>
      </c>
      <c r="G99" t="s">
        <v>1908</v>
      </c>
      <c r="H99" s="8" t="s">
        <v>234</v>
      </c>
      <c r="I99" t="s">
        <v>47</v>
      </c>
      <c r="J99" s="11">
        <v>118460356</v>
      </c>
      <c r="K99" s="11">
        <v>118460356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118460356</v>
      </c>
      <c r="R99" s="11">
        <v>34610201</v>
      </c>
      <c r="S99" s="11">
        <v>6339979</v>
      </c>
      <c r="T99" s="11">
        <v>28270222</v>
      </c>
      <c r="U99" s="11">
        <v>0</v>
      </c>
      <c r="V99" s="11">
        <v>0</v>
      </c>
      <c r="W99" s="11">
        <v>0</v>
      </c>
      <c r="X99" s="11">
        <v>26200528</v>
      </c>
      <c r="Y99" s="11">
        <v>1035565</v>
      </c>
      <c r="Z99" s="17">
        <v>25164963</v>
      </c>
      <c r="AA99" s="11">
        <v>34610201</v>
      </c>
      <c r="AB99" s="11">
        <v>6339979</v>
      </c>
      <c r="AC99" s="11">
        <v>28270222</v>
      </c>
      <c r="AD99" s="11">
        <v>0</v>
      </c>
      <c r="AE99" s="11">
        <v>0</v>
      </c>
      <c r="AF99" s="11">
        <v>0</v>
      </c>
      <c r="AG99" s="11">
        <v>26200528</v>
      </c>
      <c r="AH99" s="11">
        <v>1035565</v>
      </c>
      <c r="AI99" s="12">
        <v>25164963</v>
      </c>
      <c r="AJ99" s="11">
        <v>25164963</v>
      </c>
      <c r="AK99" s="11">
        <v>0</v>
      </c>
      <c r="AL99" s="11">
        <v>0</v>
      </c>
      <c r="AM99" s="11">
        <v>25514528</v>
      </c>
      <c r="AN99" s="11">
        <v>26200528</v>
      </c>
      <c r="AO99" s="11">
        <v>686000</v>
      </c>
      <c r="AP99" s="11">
        <v>26200528</v>
      </c>
      <c r="AQ99" s="11">
        <v>0</v>
      </c>
      <c r="AR99" s="11">
        <v>686000</v>
      </c>
      <c r="AS99" t="s">
        <v>57</v>
      </c>
      <c r="AT99" s="4" t="str">
        <f>+H99</f>
        <v>Servicion inmobiliarios relativos a bienes raíces propios o arrendados</v>
      </c>
      <c r="AU99" s="7" t="str">
        <f>+$D99&amp;$AT99&amp;Z99</f>
        <v>20Servicion inmobiliarios relativos a bienes raíces propios o arrendados25164963</v>
      </c>
      <c r="AV99" t="e">
        <f>+_xlfn.XLOOKUP(AU99,CRUCE!I:I,CRUCE!M:M)</f>
        <v>#N/A</v>
      </c>
      <c r="AW99" t="s">
        <v>1907</v>
      </c>
      <c r="AX99">
        <f>+SUMIFS(CRUCE!C:C,CRUCE!A:A,D99,CRUCE!B:B,'2021'!H99)</f>
        <v>25165497.34</v>
      </c>
    </row>
    <row r="100" spans="1:50" hidden="1" x14ac:dyDescent="0.3">
      <c r="A100">
        <v>2021</v>
      </c>
      <c r="B100">
        <v>307</v>
      </c>
      <c r="C100">
        <v>11020500208</v>
      </c>
      <c r="D100" s="5" t="s">
        <v>44</v>
      </c>
      <c r="E100" s="8" t="s">
        <v>235</v>
      </c>
      <c r="F100">
        <v>11020500208</v>
      </c>
      <c r="H100" s="8" t="s">
        <v>236</v>
      </c>
      <c r="I100" t="s">
        <v>47</v>
      </c>
      <c r="J100" s="11">
        <v>244827263</v>
      </c>
      <c r="K100" s="11">
        <v>244827263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244827263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7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2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t="s">
        <v>48</v>
      </c>
      <c r="AT100"/>
    </row>
    <row r="101" spans="1:50" hidden="1" x14ac:dyDescent="0.3">
      <c r="A101">
        <v>2021</v>
      </c>
      <c r="B101">
        <v>307</v>
      </c>
      <c r="C101">
        <v>1102050020805</v>
      </c>
      <c r="D101" s="5" t="s">
        <v>44</v>
      </c>
      <c r="E101" s="8" t="s">
        <v>237</v>
      </c>
      <c r="F101">
        <v>1102050020805</v>
      </c>
      <c r="H101" s="8" t="s">
        <v>238</v>
      </c>
      <c r="I101" t="s">
        <v>47</v>
      </c>
      <c r="J101" s="11">
        <v>244827263</v>
      </c>
      <c r="K101" s="11">
        <v>244827263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244827263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7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2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t="s">
        <v>48</v>
      </c>
      <c r="AT101"/>
    </row>
    <row r="102" spans="1:50" x14ac:dyDescent="0.3">
      <c r="A102">
        <v>2021</v>
      </c>
      <c r="B102">
        <v>307</v>
      </c>
      <c r="C102">
        <v>110205002080505</v>
      </c>
      <c r="D102" s="5">
        <v>20</v>
      </c>
      <c r="E102" s="8" t="s">
        <v>239</v>
      </c>
      <c r="F102">
        <v>110205002080505</v>
      </c>
      <c r="G102" t="s">
        <v>1908</v>
      </c>
      <c r="H102" s="8" t="s">
        <v>240</v>
      </c>
      <c r="I102" t="s">
        <v>47</v>
      </c>
      <c r="J102" s="11">
        <v>244827263</v>
      </c>
      <c r="K102" s="11">
        <v>244827263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244827263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7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2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t="s">
        <v>57</v>
      </c>
      <c r="AT102" s="4" t="str">
        <f>+H102</f>
        <v>Servicios de organización de viajes, operadores turísticos y servicios conexos</v>
      </c>
      <c r="AU102" s="7" t="str">
        <f>+$D102&amp;$AT102&amp;Z102</f>
        <v>20Servicios de organización de viajes, operadores turísticos y servicios conexos0</v>
      </c>
      <c r="AV102" t="str">
        <f>+_xlfn.XLOOKUP(AU102,CRUCE!I:I,CRUCE!M:M)</f>
        <v>READY</v>
      </c>
      <c r="AW102" t="s">
        <v>1907</v>
      </c>
      <c r="AX102">
        <f>+SUMIFS(CRUCE!C:C,CRUCE!A:A,D102,CRUCE!B:B,'2021'!H102)</f>
        <v>0</v>
      </c>
    </row>
    <row r="103" spans="1:50" hidden="1" x14ac:dyDescent="0.3">
      <c r="A103">
        <v>2021</v>
      </c>
      <c r="B103">
        <v>307</v>
      </c>
      <c r="C103">
        <v>110206</v>
      </c>
      <c r="D103" s="5" t="s">
        <v>44</v>
      </c>
      <c r="E103" s="8" t="s">
        <v>241</v>
      </c>
      <c r="F103">
        <v>110206</v>
      </c>
      <c r="H103" s="8" t="s">
        <v>242</v>
      </c>
      <c r="I103" t="s">
        <v>47</v>
      </c>
      <c r="J103" s="11">
        <v>9233352286</v>
      </c>
      <c r="K103" s="11">
        <v>9233352286</v>
      </c>
      <c r="L103" s="11">
        <v>8113572569.8400002</v>
      </c>
      <c r="M103" s="11">
        <v>121874339</v>
      </c>
      <c r="N103" s="11">
        <v>7991698230.8400002</v>
      </c>
      <c r="O103" s="11">
        <v>8113572569.8400002</v>
      </c>
      <c r="P103" s="11">
        <v>121874339</v>
      </c>
      <c r="Q103" s="11">
        <v>17225050516.84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13026567820.42</v>
      </c>
      <c r="Y103" s="11">
        <v>499030543</v>
      </c>
      <c r="Z103" s="17">
        <v>12527537277.42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13026567820.42</v>
      </c>
      <c r="AH103" s="11">
        <v>499030543</v>
      </c>
      <c r="AI103" s="12">
        <v>12527537277.42</v>
      </c>
      <c r="AJ103" s="11">
        <v>12527537277.42</v>
      </c>
      <c r="AK103" s="11">
        <v>141163803</v>
      </c>
      <c r="AL103" s="11">
        <v>141163803</v>
      </c>
      <c r="AM103" s="11">
        <v>12396045474.42</v>
      </c>
      <c r="AN103" s="11">
        <v>12885404017.42</v>
      </c>
      <c r="AO103" s="11">
        <v>489358543</v>
      </c>
      <c r="AP103" s="11">
        <v>12885404017.42</v>
      </c>
      <c r="AQ103" s="11">
        <v>0</v>
      </c>
      <c r="AR103" s="11">
        <v>489358543</v>
      </c>
      <c r="AS103" t="s">
        <v>48</v>
      </c>
      <c r="AT103"/>
    </row>
    <row r="104" spans="1:50" hidden="1" x14ac:dyDescent="0.3">
      <c r="A104">
        <v>2021</v>
      </c>
      <c r="B104">
        <v>307</v>
      </c>
      <c r="C104">
        <v>110206001</v>
      </c>
      <c r="D104" s="5" t="s">
        <v>44</v>
      </c>
      <c r="E104" s="8" t="s">
        <v>243</v>
      </c>
      <c r="F104">
        <v>110206001</v>
      </c>
      <c r="H104" s="8" t="s">
        <v>244</v>
      </c>
      <c r="I104" t="s">
        <v>47</v>
      </c>
      <c r="J104" s="11">
        <v>2751236459</v>
      </c>
      <c r="K104" s="11">
        <v>2751236459</v>
      </c>
      <c r="L104" s="11">
        <v>123718865</v>
      </c>
      <c r="M104" s="11">
        <v>0</v>
      </c>
      <c r="N104" s="11">
        <v>123718865</v>
      </c>
      <c r="O104" s="11">
        <v>123718865</v>
      </c>
      <c r="P104" s="11">
        <v>0</v>
      </c>
      <c r="Q104" s="11">
        <v>2874955324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2876730086</v>
      </c>
      <c r="Y104" s="11">
        <v>0</v>
      </c>
      <c r="Z104" s="17">
        <v>2876730086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2876730086</v>
      </c>
      <c r="AH104" s="11">
        <v>0</v>
      </c>
      <c r="AI104" s="12">
        <v>2876730086</v>
      </c>
      <c r="AJ104" s="11">
        <v>2876730086</v>
      </c>
      <c r="AK104" s="11">
        <v>0</v>
      </c>
      <c r="AL104" s="11">
        <v>0</v>
      </c>
      <c r="AM104" s="11">
        <v>2876730086</v>
      </c>
      <c r="AN104" s="11">
        <v>2876730086</v>
      </c>
      <c r="AO104" s="11">
        <v>0</v>
      </c>
      <c r="AP104" s="11">
        <v>2876730086</v>
      </c>
      <c r="AQ104" s="11">
        <v>0</v>
      </c>
      <c r="AR104" s="11">
        <v>0</v>
      </c>
      <c r="AS104" t="s">
        <v>48</v>
      </c>
      <c r="AT104"/>
    </row>
    <row r="105" spans="1:50" x14ac:dyDescent="0.3">
      <c r="A105">
        <v>2021</v>
      </c>
      <c r="B105">
        <v>307</v>
      </c>
      <c r="C105">
        <v>11020600105</v>
      </c>
      <c r="D105" s="5">
        <v>27</v>
      </c>
      <c r="E105" s="8" t="s">
        <v>245</v>
      </c>
      <c r="F105">
        <v>11020600105</v>
      </c>
      <c r="G105" t="s">
        <v>1908</v>
      </c>
      <c r="H105" s="8" t="s">
        <v>246</v>
      </c>
      <c r="I105" t="s">
        <v>47</v>
      </c>
      <c r="J105" s="11">
        <v>2751236459</v>
      </c>
      <c r="K105" s="11">
        <v>2751236459</v>
      </c>
      <c r="L105" s="11">
        <v>123718865</v>
      </c>
      <c r="M105" s="11">
        <v>0</v>
      </c>
      <c r="N105" s="11">
        <v>123718865</v>
      </c>
      <c r="O105" s="11">
        <v>123718865</v>
      </c>
      <c r="P105" s="11">
        <v>0</v>
      </c>
      <c r="Q105" s="11">
        <v>2874955324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2876730086</v>
      </c>
      <c r="Y105" s="11">
        <v>0</v>
      </c>
      <c r="Z105" s="17">
        <v>2876730086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2876730086</v>
      </c>
      <c r="AH105" s="11">
        <v>0</v>
      </c>
      <c r="AI105" s="12">
        <v>2876730086</v>
      </c>
      <c r="AJ105" s="11">
        <v>2876730086</v>
      </c>
      <c r="AK105" s="11">
        <v>0</v>
      </c>
      <c r="AL105" s="11">
        <v>0</v>
      </c>
      <c r="AM105" s="11">
        <v>2876730086</v>
      </c>
      <c r="AN105" s="11">
        <v>2876730086</v>
      </c>
      <c r="AO105" s="11">
        <v>0</v>
      </c>
      <c r="AP105" s="11">
        <v>2876730086</v>
      </c>
      <c r="AQ105" s="11">
        <v>0</v>
      </c>
      <c r="AR105" s="11">
        <v>0</v>
      </c>
      <c r="AS105" t="s">
        <v>247</v>
      </c>
      <c r="AT105" s="4" t="str">
        <f>+H105</f>
        <v>Agua potable y saneamiento básico</v>
      </c>
      <c r="AU105" s="7" t="str">
        <f>+$D105&amp;$AT105&amp;Z105</f>
        <v>27Agua potable y saneamiento básico2876730086</v>
      </c>
      <c r="AV105" t="e">
        <f>+_xlfn.XLOOKUP(AU105,CRUCE!I:I,CRUCE!M:M)</f>
        <v>#N/A</v>
      </c>
      <c r="AW105" t="s">
        <v>1907</v>
      </c>
      <c r="AX105">
        <f>+SUMIFS(CRUCE!C:C,CRUCE!A:A,D105,CRUCE!B:B,'2021'!H105)</f>
        <v>2877368096.1199999</v>
      </c>
    </row>
    <row r="106" spans="1:50" hidden="1" x14ac:dyDescent="0.3">
      <c r="A106">
        <v>2021</v>
      </c>
      <c r="B106">
        <v>307</v>
      </c>
      <c r="C106">
        <v>110206003</v>
      </c>
      <c r="D106" s="5" t="s">
        <v>44</v>
      </c>
      <c r="E106" s="8" t="s">
        <v>248</v>
      </c>
      <c r="F106">
        <v>110206003</v>
      </c>
      <c r="H106" s="8" t="s">
        <v>249</v>
      </c>
      <c r="I106" t="s">
        <v>47</v>
      </c>
      <c r="J106" s="11">
        <v>5127472595</v>
      </c>
      <c r="K106" s="11">
        <v>5127472595</v>
      </c>
      <c r="L106" s="11">
        <v>0</v>
      </c>
      <c r="M106" s="11">
        <v>121874339</v>
      </c>
      <c r="N106" s="11">
        <v>-121874339</v>
      </c>
      <c r="O106" s="11">
        <v>0</v>
      </c>
      <c r="P106" s="11">
        <v>121874339</v>
      </c>
      <c r="Q106" s="11">
        <v>5005598256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5116021366.8800001</v>
      </c>
      <c r="Y106" s="11">
        <v>322458691</v>
      </c>
      <c r="Z106" s="17">
        <v>4793562675.8800001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5116021366.8800001</v>
      </c>
      <c r="AH106" s="11">
        <v>322458691</v>
      </c>
      <c r="AI106" s="12">
        <v>4793562675.8800001</v>
      </c>
      <c r="AJ106" s="11">
        <v>4793562675.8800001</v>
      </c>
      <c r="AK106" s="11">
        <v>141163803</v>
      </c>
      <c r="AL106" s="11">
        <v>141163803</v>
      </c>
      <c r="AM106" s="11">
        <v>4652398872.8800001</v>
      </c>
      <c r="AN106" s="11">
        <v>4974857563.8800001</v>
      </c>
      <c r="AO106" s="11">
        <v>322458691</v>
      </c>
      <c r="AP106" s="11">
        <v>4974857563.8800001</v>
      </c>
      <c r="AQ106" s="11">
        <v>0</v>
      </c>
      <c r="AR106" s="11">
        <v>322458691</v>
      </c>
      <c r="AS106" t="s">
        <v>48</v>
      </c>
      <c r="AT106"/>
    </row>
    <row r="107" spans="1:50" hidden="1" x14ac:dyDescent="0.3">
      <c r="A107">
        <v>2021</v>
      </c>
      <c r="B107">
        <v>307</v>
      </c>
      <c r="C107">
        <v>11020600301</v>
      </c>
      <c r="D107" s="5" t="s">
        <v>44</v>
      </c>
      <c r="E107" s="8" t="s">
        <v>250</v>
      </c>
      <c r="F107">
        <v>11020600301</v>
      </c>
      <c r="H107" s="8" t="s">
        <v>251</v>
      </c>
      <c r="I107" t="s">
        <v>47</v>
      </c>
      <c r="J107" s="11">
        <v>5127472595</v>
      </c>
      <c r="K107" s="11">
        <v>5127472595</v>
      </c>
      <c r="L107" s="11">
        <v>0</v>
      </c>
      <c r="M107" s="11">
        <v>121874339</v>
      </c>
      <c r="N107" s="11">
        <v>-121874339</v>
      </c>
      <c r="O107" s="11">
        <v>0</v>
      </c>
      <c r="P107" s="11">
        <v>121874339</v>
      </c>
      <c r="Q107" s="11">
        <v>5005598256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5115871434</v>
      </c>
      <c r="Y107" s="11">
        <v>322458691</v>
      </c>
      <c r="Z107" s="17">
        <v>4793412743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5115871434</v>
      </c>
      <c r="AH107" s="11">
        <v>322458691</v>
      </c>
      <c r="AI107" s="12">
        <v>4793412743</v>
      </c>
      <c r="AJ107" s="11">
        <v>4793412743</v>
      </c>
      <c r="AK107" s="11">
        <v>141163803</v>
      </c>
      <c r="AL107" s="11">
        <v>141163803</v>
      </c>
      <c r="AM107" s="11">
        <v>4652248940</v>
      </c>
      <c r="AN107" s="11">
        <v>4974707631</v>
      </c>
      <c r="AO107" s="11">
        <v>322458691</v>
      </c>
      <c r="AP107" s="11">
        <v>4974707631</v>
      </c>
      <c r="AQ107" s="11">
        <v>0</v>
      </c>
      <c r="AR107" s="11">
        <v>322458691</v>
      </c>
      <c r="AS107" t="s">
        <v>48</v>
      </c>
      <c r="AT107"/>
    </row>
    <row r="108" spans="1:50" x14ac:dyDescent="0.3">
      <c r="A108">
        <v>2021</v>
      </c>
      <c r="B108">
        <v>307</v>
      </c>
      <c r="C108">
        <v>1102060030110</v>
      </c>
      <c r="D108" s="5">
        <v>20</v>
      </c>
      <c r="E108" s="8" t="s">
        <v>252</v>
      </c>
      <c r="F108">
        <v>1102060030110</v>
      </c>
      <c r="G108" t="s">
        <v>1908</v>
      </c>
      <c r="H108" s="8" t="s">
        <v>253</v>
      </c>
      <c r="I108" t="s">
        <v>47</v>
      </c>
      <c r="J108" s="11">
        <v>4864434453</v>
      </c>
      <c r="K108" s="11">
        <v>4864434453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4864434453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4974707631</v>
      </c>
      <c r="Y108" s="11">
        <v>322458691</v>
      </c>
      <c r="Z108" s="17">
        <v>4652248940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4974707631</v>
      </c>
      <c r="AH108" s="11">
        <v>322458691</v>
      </c>
      <c r="AI108" s="12">
        <v>4652248940</v>
      </c>
      <c r="AJ108" s="11">
        <v>4652248940</v>
      </c>
      <c r="AK108" s="11">
        <v>0</v>
      </c>
      <c r="AL108" s="11">
        <v>0</v>
      </c>
      <c r="AM108" s="11">
        <v>4652248940</v>
      </c>
      <c r="AN108" s="11">
        <v>4974707631</v>
      </c>
      <c r="AO108" s="11">
        <v>322458691</v>
      </c>
      <c r="AP108" s="11">
        <v>4974707631</v>
      </c>
      <c r="AQ108" s="11">
        <v>0</v>
      </c>
      <c r="AR108" s="11">
        <v>322458691</v>
      </c>
      <c r="AS108" t="s">
        <v>57</v>
      </c>
      <c r="AT108" s="4" t="str">
        <f>+H108</f>
        <v>Participación de la sobretasa al ACPM</v>
      </c>
      <c r="AU108" s="7" t="str">
        <f t="shared" ref="AU108:AU109" si="13">+$D108&amp;$AT108&amp;Z108</f>
        <v>20Participación de la sobretasa al ACPM4652248940</v>
      </c>
      <c r="AV108" t="e">
        <f>+_xlfn.XLOOKUP(AU108,CRUCE!I:I,CRUCE!M:M)</f>
        <v>#N/A</v>
      </c>
      <c r="AW108" t="s">
        <v>1907</v>
      </c>
      <c r="AX108">
        <f>+SUMIFS(CRUCE!C:C,CRUCE!A:A,D108,CRUCE!B:B,'2021'!H108)</f>
        <v>4657704792.6000004</v>
      </c>
    </row>
    <row r="109" spans="1:50" x14ac:dyDescent="0.3">
      <c r="A109">
        <v>2021</v>
      </c>
      <c r="B109">
        <v>307</v>
      </c>
      <c r="C109">
        <v>1102060030111</v>
      </c>
      <c r="D109" s="5">
        <v>47</v>
      </c>
      <c r="E109" s="8" t="s">
        <v>254</v>
      </c>
      <c r="F109">
        <v>1102060030111</v>
      </c>
      <c r="G109" t="s">
        <v>1908</v>
      </c>
      <c r="H109" s="8" t="s">
        <v>255</v>
      </c>
      <c r="I109" t="s">
        <v>47</v>
      </c>
      <c r="J109" s="11">
        <v>263038142</v>
      </c>
      <c r="K109" s="11">
        <v>263038142</v>
      </c>
      <c r="L109" s="11">
        <v>0</v>
      </c>
      <c r="M109" s="11">
        <v>121874339</v>
      </c>
      <c r="N109" s="11">
        <v>-121874339</v>
      </c>
      <c r="O109" s="11">
        <v>0</v>
      </c>
      <c r="P109" s="11">
        <v>121874339</v>
      </c>
      <c r="Q109" s="11">
        <v>141163803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141163803</v>
      </c>
      <c r="Y109" s="11">
        <v>0</v>
      </c>
      <c r="Z109" s="17">
        <v>141163803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141163803</v>
      </c>
      <c r="AH109" s="11">
        <v>0</v>
      </c>
      <c r="AI109" s="12">
        <v>141163803</v>
      </c>
      <c r="AJ109" s="11">
        <v>141163803</v>
      </c>
      <c r="AK109" s="11">
        <v>141163803</v>
      </c>
      <c r="AL109" s="11">
        <v>141163803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t="s">
        <v>256</v>
      </c>
      <c r="AT109" s="4" t="str">
        <f>+H109</f>
        <v>Participación del impuesto nacional al consumo del servicio de telefonía móvil</v>
      </c>
      <c r="AU109" s="7" t="str">
        <f t="shared" si="13"/>
        <v>47Participación del impuesto nacional al consumo del servicio de telefonía móvil141163803</v>
      </c>
      <c r="AV109" t="str">
        <f>+_xlfn.XLOOKUP(AU109,CRUCE!I:I,CRUCE!M:M)</f>
        <v>READY</v>
      </c>
      <c r="AW109" t="s">
        <v>1907</v>
      </c>
      <c r="AX109">
        <f>+SUMIFS(CRUCE!C:C,CRUCE!A:A,D109,CRUCE!B:B,'2021'!H109)</f>
        <v>141163803</v>
      </c>
    </row>
    <row r="110" spans="1:50" hidden="1" x14ac:dyDescent="0.3">
      <c r="A110">
        <v>2021</v>
      </c>
      <c r="B110">
        <v>307</v>
      </c>
      <c r="C110">
        <v>11020600304</v>
      </c>
      <c r="D110" s="5" t="s">
        <v>44</v>
      </c>
      <c r="E110" s="8" t="s">
        <v>257</v>
      </c>
      <c r="F110">
        <v>11020600304</v>
      </c>
      <c r="H110" s="8" t="s">
        <v>258</v>
      </c>
      <c r="I110" t="s">
        <v>47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149932.88</v>
      </c>
      <c r="Y110" s="11">
        <v>0</v>
      </c>
      <c r="Z110" s="17">
        <v>149932.88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149932.88</v>
      </c>
      <c r="AH110" s="11">
        <v>0</v>
      </c>
      <c r="AI110" s="12">
        <v>149932.88</v>
      </c>
      <c r="AJ110" s="11">
        <v>149932.88</v>
      </c>
      <c r="AK110" s="11">
        <v>0</v>
      </c>
      <c r="AL110" s="11">
        <v>0</v>
      </c>
      <c r="AM110" s="11">
        <v>149932.88</v>
      </c>
      <c r="AN110" s="11">
        <v>149932.88</v>
      </c>
      <c r="AO110" s="11">
        <v>0</v>
      </c>
      <c r="AP110" s="11">
        <v>149932.88</v>
      </c>
      <c r="AQ110" s="11">
        <v>0</v>
      </c>
      <c r="AR110" s="11">
        <v>0</v>
      </c>
      <c r="AS110" t="s">
        <v>48</v>
      </c>
      <c r="AT110"/>
    </row>
    <row r="111" spans="1:50" hidden="1" x14ac:dyDescent="0.3">
      <c r="A111">
        <v>2021</v>
      </c>
      <c r="B111">
        <v>307</v>
      </c>
      <c r="C111">
        <v>1102060030401</v>
      </c>
      <c r="D111" s="5" t="s">
        <v>44</v>
      </c>
      <c r="E111" s="8" t="s">
        <v>259</v>
      </c>
      <c r="F111">
        <v>1102060030401</v>
      </c>
      <c r="H111" s="8" t="s">
        <v>260</v>
      </c>
      <c r="I111" t="s">
        <v>47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149932.88</v>
      </c>
      <c r="Y111" s="11">
        <v>0</v>
      </c>
      <c r="Z111" s="17">
        <v>149932.88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149932.88</v>
      </c>
      <c r="AH111" s="11">
        <v>0</v>
      </c>
      <c r="AI111" s="12">
        <v>149932.88</v>
      </c>
      <c r="AJ111" s="11">
        <v>149932.88</v>
      </c>
      <c r="AK111" s="11">
        <v>0</v>
      </c>
      <c r="AL111" s="11">
        <v>0</v>
      </c>
      <c r="AM111" s="11">
        <v>149932.88</v>
      </c>
      <c r="AN111" s="11">
        <v>149932.88</v>
      </c>
      <c r="AO111" s="11">
        <v>0</v>
      </c>
      <c r="AP111" s="11">
        <v>149932.88</v>
      </c>
      <c r="AQ111" s="11">
        <v>0</v>
      </c>
      <c r="AR111" s="11">
        <v>0</v>
      </c>
      <c r="AS111" t="s">
        <v>48</v>
      </c>
      <c r="AT111"/>
    </row>
    <row r="112" spans="1:50" hidden="1" x14ac:dyDescent="0.3">
      <c r="A112">
        <v>2021</v>
      </c>
      <c r="B112">
        <v>307</v>
      </c>
      <c r="C112">
        <v>110206003040103</v>
      </c>
      <c r="D112" s="5" t="s">
        <v>44</v>
      </c>
      <c r="E112" s="8" t="s">
        <v>261</v>
      </c>
      <c r="F112">
        <v>110206003040103</v>
      </c>
      <c r="H112" s="8" t="s">
        <v>262</v>
      </c>
      <c r="I112" t="s">
        <v>47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149932.88</v>
      </c>
      <c r="Y112" s="11">
        <v>0</v>
      </c>
      <c r="Z112" s="17">
        <v>149932.88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149932.88</v>
      </c>
      <c r="AH112" s="11">
        <v>0</v>
      </c>
      <c r="AI112" s="12">
        <v>149932.88</v>
      </c>
      <c r="AJ112" s="11">
        <v>149932.88</v>
      </c>
      <c r="AK112" s="11">
        <v>0</v>
      </c>
      <c r="AL112" s="11">
        <v>0</v>
      </c>
      <c r="AM112" s="11">
        <v>149932.88</v>
      </c>
      <c r="AN112" s="11">
        <v>149932.88</v>
      </c>
      <c r="AO112" s="11">
        <v>0</v>
      </c>
      <c r="AP112" s="11">
        <v>149932.88</v>
      </c>
      <c r="AQ112" s="11">
        <v>0</v>
      </c>
      <c r="AR112" s="11">
        <v>0</v>
      </c>
      <c r="AS112" t="s">
        <v>48</v>
      </c>
      <c r="AT112"/>
    </row>
    <row r="113" spans="1:50" x14ac:dyDescent="0.3">
      <c r="A113">
        <v>2021</v>
      </c>
      <c r="B113">
        <v>307</v>
      </c>
      <c r="C113">
        <v>1.1020600304010301E+17</v>
      </c>
      <c r="D113" s="5">
        <v>134</v>
      </c>
      <c r="E113" s="8" t="s">
        <v>263</v>
      </c>
      <c r="F113">
        <v>1.1020600304010301E+17</v>
      </c>
      <c r="G113" t="s">
        <v>1908</v>
      </c>
      <c r="H113" s="8" t="s">
        <v>264</v>
      </c>
      <c r="I113" t="s">
        <v>47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149932.88</v>
      </c>
      <c r="Y113" s="11">
        <v>0</v>
      </c>
      <c r="Z113" s="17">
        <v>149932.88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149932.88</v>
      </c>
      <c r="AH113" s="11">
        <v>0</v>
      </c>
      <c r="AI113" s="12">
        <v>149932.88</v>
      </c>
      <c r="AJ113" s="11">
        <v>149932.88</v>
      </c>
      <c r="AK113" s="11">
        <v>0</v>
      </c>
      <c r="AL113" s="11">
        <v>0</v>
      </c>
      <c r="AM113" s="11">
        <v>149932.88</v>
      </c>
      <c r="AN113" s="11">
        <v>149932.88</v>
      </c>
      <c r="AO113" s="11">
        <v>0</v>
      </c>
      <c r="AP113" s="11">
        <v>149932.88</v>
      </c>
      <c r="AQ113" s="11">
        <v>0</v>
      </c>
      <c r="AR113" s="11">
        <v>0</v>
      </c>
      <c r="AS113" t="s">
        <v>265</v>
      </c>
      <c r="AT113" s="4" t="str">
        <f>+H113</f>
        <v>Agencia Nacional de Minería</v>
      </c>
      <c r="AU113" s="7" t="str">
        <f>+$D113&amp;$AT113&amp;Z113</f>
        <v>134Agencia Nacional de Minería149932,88</v>
      </c>
      <c r="AV113" t="str">
        <f>+_xlfn.XLOOKUP(AU113,CRUCE!I:I,CRUCE!M:M)</f>
        <v>READY</v>
      </c>
      <c r="AW113" t="s">
        <v>1907</v>
      </c>
      <c r="AX113">
        <f>+SUMIFS(CRUCE!C:C,CRUCE!A:A,D113,CRUCE!B:B,'2021'!H113)</f>
        <v>149932.88</v>
      </c>
    </row>
    <row r="114" spans="1:50" hidden="1" x14ac:dyDescent="0.3">
      <c r="A114">
        <v>2021</v>
      </c>
      <c r="B114">
        <v>307</v>
      </c>
      <c r="C114">
        <v>110206006</v>
      </c>
      <c r="D114" s="5" t="s">
        <v>44</v>
      </c>
      <c r="E114" s="8" t="s">
        <v>266</v>
      </c>
      <c r="F114">
        <v>110206006</v>
      </c>
      <c r="H114" s="8" t="s">
        <v>267</v>
      </c>
      <c r="I114" t="s">
        <v>47</v>
      </c>
      <c r="J114" s="11">
        <v>250000000</v>
      </c>
      <c r="K114" s="11">
        <v>250000000</v>
      </c>
      <c r="L114" s="11">
        <v>7989853704.8400002</v>
      </c>
      <c r="M114" s="11">
        <v>0</v>
      </c>
      <c r="N114" s="11">
        <v>7989853704.8400002</v>
      </c>
      <c r="O114" s="11">
        <v>7989853704.8400002</v>
      </c>
      <c r="P114" s="11">
        <v>0</v>
      </c>
      <c r="Q114" s="11">
        <v>8239853704.8400002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4435117838.8400002</v>
      </c>
      <c r="Y114" s="11">
        <v>9672000</v>
      </c>
      <c r="Z114" s="17">
        <v>4425445838.8400002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4435117838.8400002</v>
      </c>
      <c r="AH114" s="11">
        <v>9672000</v>
      </c>
      <c r="AI114" s="12">
        <v>4425445838.8400002</v>
      </c>
      <c r="AJ114" s="11">
        <v>4425445838.8400002</v>
      </c>
      <c r="AK114" s="11">
        <v>0</v>
      </c>
      <c r="AL114" s="11">
        <v>0</v>
      </c>
      <c r="AM114" s="11">
        <v>4435117838.8400002</v>
      </c>
      <c r="AN114" s="11">
        <v>4435117838.8400002</v>
      </c>
      <c r="AO114" s="11">
        <v>0</v>
      </c>
      <c r="AP114" s="11">
        <v>4435117838.8400002</v>
      </c>
      <c r="AQ114" s="11">
        <v>0</v>
      </c>
      <c r="AR114" s="11">
        <v>0</v>
      </c>
      <c r="AS114" t="s">
        <v>48</v>
      </c>
      <c r="AT114"/>
    </row>
    <row r="115" spans="1:50" hidden="1" x14ac:dyDescent="0.3">
      <c r="A115">
        <v>2021</v>
      </c>
      <c r="B115">
        <v>307</v>
      </c>
      <c r="C115">
        <v>11020600606</v>
      </c>
      <c r="D115" s="5" t="s">
        <v>44</v>
      </c>
      <c r="E115" s="8" t="s">
        <v>268</v>
      </c>
      <c r="F115">
        <v>11020600606</v>
      </c>
      <c r="H115" s="8" t="s">
        <v>269</v>
      </c>
      <c r="I115" t="s">
        <v>47</v>
      </c>
      <c r="J115" s="11">
        <v>250000000</v>
      </c>
      <c r="K115" s="11">
        <v>250000000</v>
      </c>
      <c r="L115" s="11">
        <v>7989853704.8400002</v>
      </c>
      <c r="M115" s="11">
        <v>0</v>
      </c>
      <c r="N115" s="11">
        <v>7989853704.8400002</v>
      </c>
      <c r="O115" s="11">
        <v>7989853704.8400002</v>
      </c>
      <c r="P115" s="11">
        <v>0</v>
      </c>
      <c r="Q115" s="11">
        <v>8239853704.8400002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4435117838.8400002</v>
      </c>
      <c r="Y115" s="11">
        <v>9672000</v>
      </c>
      <c r="Z115" s="17">
        <v>4425445838.8400002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4435117838.8400002</v>
      </c>
      <c r="AH115" s="11">
        <v>9672000</v>
      </c>
      <c r="AI115" s="12">
        <v>4425445838.8400002</v>
      </c>
      <c r="AJ115" s="11">
        <v>4425445838.8400002</v>
      </c>
      <c r="AK115" s="11">
        <v>0</v>
      </c>
      <c r="AL115" s="11">
        <v>0</v>
      </c>
      <c r="AM115" s="11">
        <v>4435117838.8400002</v>
      </c>
      <c r="AN115" s="11">
        <v>4435117838.8400002</v>
      </c>
      <c r="AO115" s="11">
        <v>0</v>
      </c>
      <c r="AP115" s="11">
        <v>4435117838.8400002</v>
      </c>
      <c r="AQ115" s="11">
        <v>0</v>
      </c>
      <c r="AR115" s="11">
        <v>0</v>
      </c>
      <c r="AS115" t="s">
        <v>48</v>
      </c>
      <c r="AT115"/>
    </row>
    <row r="116" spans="1:50" hidden="1" x14ac:dyDescent="0.3">
      <c r="A116">
        <v>2021</v>
      </c>
      <c r="B116">
        <v>307</v>
      </c>
      <c r="C116">
        <v>1102060060600</v>
      </c>
      <c r="D116" s="5" t="s">
        <v>44</v>
      </c>
      <c r="E116" s="8" t="s">
        <v>270</v>
      </c>
      <c r="F116">
        <v>1102060060600</v>
      </c>
      <c r="H116" s="8" t="s">
        <v>269</v>
      </c>
      <c r="I116" t="s">
        <v>47</v>
      </c>
      <c r="J116" s="11">
        <v>250000000</v>
      </c>
      <c r="K116" s="11">
        <v>250000000</v>
      </c>
      <c r="L116" s="11">
        <v>7989853704.8400002</v>
      </c>
      <c r="M116" s="11">
        <v>0</v>
      </c>
      <c r="N116" s="11">
        <v>7989853704.8400002</v>
      </c>
      <c r="O116" s="11">
        <v>7989853704.8400002</v>
      </c>
      <c r="P116" s="11">
        <v>0</v>
      </c>
      <c r="Q116" s="11">
        <v>8239853704.8400002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4435117838.8400002</v>
      </c>
      <c r="Y116" s="11">
        <v>9672000</v>
      </c>
      <c r="Z116" s="17">
        <v>4425445838.8400002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4435117838.8400002</v>
      </c>
      <c r="AH116" s="11">
        <v>9672000</v>
      </c>
      <c r="AI116" s="12">
        <v>4425445838.8400002</v>
      </c>
      <c r="AJ116" s="11">
        <v>4425445838.8400002</v>
      </c>
      <c r="AK116" s="11">
        <v>0</v>
      </c>
      <c r="AL116" s="11">
        <v>0</v>
      </c>
      <c r="AM116" s="11">
        <v>4435117838.8400002</v>
      </c>
      <c r="AN116" s="11">
        <v>4435117838.8400002</v>
      </c>
      <c r="AO116" s="11">
        <v>0</v>
      </c>
      <c r="AP116" s="11">
        <v>4435117838.8400002</v>
      </c>
      <c r="AQ116" s="11">
        <v>0</v>
      </c>
      <c r="AR116" s="11">
        <v>0</v>
      </c>
      <c r="AS116" t="s">
        <v>48</v>
      </c>
      <c r="AT116"/>
    </row>
    <row r="117" spans="1:50" hidden="1" x14ac:dyDescent="0.3">
      <c r="A117">
        <v>2021</v>
      </c>
      <c r="B117">
        <v>307</v>
      </c>
      <c r="C117">
        <v>110206006060000</v>
      </c>
      <c r="D117" s="5" t="s">
        <v>44</v>
      </c>
      <c r="E117" s="8" t="s">
        <v>271</v>
      </c>
      <c r="F117">
        <v>110206006060000</v>
      </c>
      <c r="H117" s="8" t="s">
        <v>269</v>
      </c>
      <c r="I117" t="s">
        <v>47</v>
      </c>
      <c r="J117" s="11">
        <v>250000000</v>
      </c>
      <c r="K117" s="11">
        <v>250000000</v>
      </c>
      <c r="L117" s="11">
        <v>7989853704.8400002</v>
      </c>
      <c r="M117" s="11">
        <v>0</v>
      </c>
      <c r="N117" s="11">
        <v>7989853704.8400002</v>
      </c>
      <c r="O117" s="11">
        <v>7989853704.8400002</v>
      </c>
      <c r="P117" s="11">
        <v>0</v>
      </c>
      <c r="Q117" s="11">
        <v>8239853704.8400002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4435117838.8400002</v>
      </c>
      <c r="Y117" s="11">
        <v>9672000</v>
      </c>
      <c r="Z117" s="17">
        <v>4425445838.8400002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4435117838.8400002</v>
      </c>
      <c r="AH117" s="11">
        <v>9672000</v>
      </c>
      <c r="AI117" s="12">
        <v>4425445838.8400002</v>
      </c>
      <c r="AJ117" s="11">
        <v>4425445838.8400002</v>
      </c>
      <c r="AK117" s="11">
        <v>0</v>
      </c>
      <c r="AL117" s="11">
        <v>0</v>
      </c>
      <c r="AM117" s="11">
        <v>4435117838.8400002</v>
      </c>
      <c r="AN117" s="11">
        <v>4435117838.8400002</v>
      </c>
      <c r="AO117" s="11">
        <v>0</v>
      </c>
      <c r="AP117" s="11">
        <v>4435117838.8400002</v>
      </c>
      <c r="AQ117" s="11">
        <v>0</v>
      </c>
      <c r="AR117" s="11">
        <v>0</v>
      </c>
      <c r="AS117" t="s">
        <v>48</v>
      </c>
      <c r="AT117"/>
    </row>
    <row r="118" spans="1:50" hidden="1" x14ac:dyDescent="0.3">
      <c r="A118">
        <v>2021</v>
      </c>
      <c r="B118">
        <v>307</v>
      </c>
      <c r="C118">
        <v>1.1020600606E+17</v>
      </c>
      <c r="D118" s="5" t="s">
        <v>44</v>
      </c>
      <c r="E118" s="8" t="s">
        <v>272</v>
      </c>
      <c r="F118">
        <v>1.1020600606E+17</v>
      </c>
      <c r="H118" s="8" t="s">
        <v>269</v>
      </c>
      <c r="I118" t="s">
        <v>47</v>
      </c>
      <c r="J118" s="11">
        <v>250000000</v>
      </c>
      <c r="K118" s="11">
        <v>250000000</v>
      </c>
      <c r="L118" s="11">
        <v>7989853704.8400002</v>
      </c>
      <c r="M118" s="11">
        <v>0</v>
      </c>
      <c r="N118" s="11">
        <v>7989853704.8400002</v>
      </c>
      <c r="O118" s="11">
        <v>7989853704.8400002</v>
      </c>
      <c r="P118" s="11">
        <v>0</v>
      </c>
      <c r="Q118" s="11">
        <v>8239853704.8400002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4435117838.8400002</v>
      </c>
      <c r="Y118" s="11">
        <v>9672000</v>
      </c>
      <c r="Z118" s="17">
        <v>4425445838.8400002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4435117838.8400002</v>
      </c>
      <c r="AH118" s="11">
        <v>9672000</v>
      </c>
      <c r="AI118" s="12">
        <v>4425445838.8400002</v>
      </c>
      <c r="AJ118" s="11">
        <v>4425445838.8400002</v>
      </c>
      <c r="AK118" s="11">
        <v>0</v>
      </c>
      <c r="AL118" s="11">
        <v>0</v>
      </c>
      <c r="AM118" s="11">
        <v>4435117838.8400002</v>
      </c>
      <c r="AN118" s="11">
        <v>4435117838.8400002</v>
      </c>
      <c r="AO118" s="11">
        <v>0</v>
      </c>
      <c r="AP118" s="11">
        <v>4435117838.8400002</v>
      </c>
      <c r="AQ118" s="11">
        <v>0</v>
      </c>
      <c r="AR118" s="11">
        <v>0</v>
      </c>
      <c r="AS118" t="s">
        <v>48</v>
      </c>
      <c r="AT118"/>
    </row>
    <row r="119" spans="1:50" hidden="1" x14ac:dyDescent="0.3">
      <c r="A119">
        <v>2021</v>
      </c>
      <c r="B119">
        <v>307</v>
      </c>
      <c r="C119">
        <v>1.1020600606E+20</v>
      </c>
      <c r="D119" s="5" t="s">
        <v>44</v>
      </c>
      <c r="E119" s="8" t="s">
        <v>273</v>
      </c>
      <c r="F119">
        <v>1.1020600606E+20</v>
      </c>
      <c r="H119" s="8" t="s">
        <v>269</v>
      </c>
      <c r="I119" t="s">
        <v>47</v>
      </c>
      <c r="J119" s="11">
        <v>250000000</v>
      </c>
      <c r="K119" s="11">
        <v>250000000</v>
      </c>
      <c r="L119" s="11">
        <v>7989853704.8400002</v>
      </c>
      <c r="M119" s="11">
        <v>0</v>
      </c>
      <c r="N119" s="11">
        <v>7989853704.8400002</v>
      </c>
      <c r="O119" s="11">
        <v>7989853704.8400002</v>
      </c>
      <c r="P119" s="11">
        <v>0</v>
      </c>
      <c r="Q119" s="11">
        <v>8239853704.8400002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4435117838.8400002</v>
      </c>
      <c r="Y119" s="11">
        <v>9672000</v>
      </c>
      <c r="Z119" s="17">
        <v>4425445838.8400002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4435117838.8400002</v>
      </c>
      <c r="AH119" s="11">
        <v>9672000</v>
      </c>
      <c r="AI119" s="12">
        <v>4425445838.8400002</v>
      </c>
      <c r="AJ119" s="11">
        <v>4425445838.8400002</v>
      </c>
      <c r="AK119" s="11">
        <v>0</v>
      </c>
      <c r="AL119" s="11">
        <v>0</v>
      </c>
      <c r="AM119" s="11">
        <v>4435117838.8400002</v>
      </c>
      <c r="AN119" s="11">
        <v>4435117838.8400002</v>
      </c>
      <c r="AO119" s="11">
        <v>0</v>
      </c>
      <c r="AP119" s="11">
        <v>4435117838.8400002</v>
      </c>
      <c r="AQ119" s="11">
        <v>0</v>
      </c>
      <c r="AR119" s="11">
        <v>0</v>
      </c>
      <c r="AS119" t="s">
        <v>48</v>
      </c>
      <c r="AT119"/>
    </row>
    <row r="120" spans="1:50" x14ac:dyDescent="0.3">
      <c r="A120">
        <v>2021</v>
      </c>
      <c r="B120">
        <v>307</v>
      </c>
      <c r="C120">
        <v>1.1020600605999999E+35</v>
      </c>
      <c r="D120" s="5">
        <v>196</v>
      </c>
      <c r="E120" s="8" t="s">
        <v>274</v>
      </c>
      <c r="F120">
        <v>1.1020600605999999E+35</v>
      </c>
      <c r="G120" t="s">
        <v>1908</v>
      </c>
      <c r="H120" s="8" t="s">
        <v>275</v>
      </c>
      <c r="I120" t="s">
        <v>47</v>
      </c>
      <c r="J120" s="11">
        <v>0</v>
      </c>
      <c r="K120" s="11">
        <v>0</v>
      </c>
      <c r="L120" s="11">
        <v>12090000</v>
      </c>
      <c r="M120" s="11">
        <v>0</v>
      </c>
      <c r="N120" s="11">
        <v>12090000</v>
      </c>
      <c r="O120" s="11">
        <v>12090000</v>
      </c>
      <c r="P120" s="11">
        <v>0</v>
      </c>
      <c r="Q120" s="11">
        <v>12090000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9672000</v>
      </c>
      <c r="Y120" s="11">
        <v>0</v>
      </c>
      <c r="Z120" s="17">
        <v>9672000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9672000</v>
      </c>
      <c r="AH120" s="11">
        <v>0</v>
      </c>
      <c r="AI120" s="12">
        <v>9672000</v>
      </c>
      <c r="AJ120" s="11">
        <v>9672000</v>
      </c>
      <c r="AK120" s="11">
        <v>0</v>
      </c>
      <c r="AL120" s="11">
        <v>0</v>
      </c>
      <c r="AM120" s="11">
        <v>9672000</v>
      </c>
      <c r="AN120" s="11">
        <v>9672000</v>
      </c>
      <c r="AO120" s="11">
        <v>0</v>
      </c>
      <c r="AP120" s="11">
        <v>9672000</v>
      </c>
      <c r="AQ120" s="11">
        <v>0</v>
      </c>
      <c r="AR120" s="11">
        <v>0</v>
      </c>
      <c r="AS120" t="s">
        <v>276</v>
      </c>
      <c r="AT120" s="4" t="str">
        <f t="shared" ref="AT120:AT125" si="14">+H120</f>
        <v>Ministerio de la Cultura</v>
      </c>
      <c r="AU120" s="7" t="str">
        <f t="shared" ref="AU120:AU125" si="15">+$D120&amp;$AT120&amp;Z120</f>
        <v>196Ministerio de la Cultura9672000</v>
      </c>
      <c r="AV120" t="str">
        <f>+_xlfn.XLOOKUP(AU120,CRUCE!I:I,CRUCE!M:M)</f>
        <v>READY</v>
      </c>
      <c r="AW120" t="s">
        <v>1907</v>
      </c>
      <c r="AX120">
        <f>+SUMIFS(CRUCE!C:C,CRUCE!A:A,D120,CRUCE!B:B,'2021'!H120)</f>
        <v>9672000</v>
      </c>
    </row>
    <row r="121" spans="1:50" x14ac:dyDescent="0.3">
      <c r="A121">
        <v>2021</v>
      </c>
      <c r="B121">
        <v>307</v>
      </c>
      <c r="C121">
        <v>1.1020600605999999E+35</v>
      </c>
      <c r="D121" s="5">
        <v>56</v>
      </c>
      <c r="E121" s="8" t="s">
        <v>277</v>
      </c>
      <c r="F121">
        <v>1.1020600605999999E+35</v>
      </c>
      <c r="G121" t="s">
        <v>1908</v>
      </c>
      <c r="H121" s="8" t="s">
        <v>278</v>
      </c>
      <c r="I121" t="s">
        <v>47</v>
      </c>
      <c r="J121" s="11">
        <v>0</v>
      </c>
      <c r="K121" s="11">
        <v>0</v>
      </c>
      <c r="L121" s="11">
        <v>3798323517</v>
      </c>
      <c r="M121" s="11">
        <v>0</v>
      </c>
      <c r="N121" s="11">
        <v>3798323517</v>
      </c>
      <c r="O121" s="11">
        <v>3798323517</v>
      </c>
      <c r="P121" s="11">
        <v>0</v>
      </c>
      <c r="Q121" s="11">
        <v>3798323517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7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2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t="s">
        <v>279</v>
      </c>
      <c r="AT121" s="4" t="str">
        <f t="shared" si="14"/>
        <v>Invias, Via Salento</v>
      </c>
      <c r="AU121" s="7" t="str">
        <f t="shared" si="15"/>
        <v>56Invias, Via Salento0</v>
      </c>
      <c r="AV121" t="str">
        <f>+_xlfn.XLOOKUP(AU121,CRUCE!I:I,CRUCE!M:M)</f>
        <v>READY</v>
      </c>
      <c r="AW121" t="s">
        <v>1907</v>
      </c>
      <c r="AX121">
        <f>+SUMIFS(CRUCE!C:C,CRUCE!A:A,D121,CRUCE!B:B,'2021'!H121)</f>
        <v>0</v>
      </c>
    </row>
    <row r="122" spans="1:50" x14ac:dyDescent="0.3">
      <c r="A122">
        <v>2021</v>
      </c>
      <c r="B122">
        <v>307</v>
      </c>
      <c r="C122">
        <v>1.1020600605999999E+35</v>
      </c>
      <c r="D122" s="5">
        <v>56</v>
      </c>
      <c r="E122" s="8" t="s">
        <v>280</v>
      </c>
      <c r="F122">
        <v>1.1020600605999999E+35</v>
      </c>
      <c r="G122" t="s">
        <v>1908</v>
      </c>
      <c r="H122" s="8" t="s">
        <v>281</v>
      </c>
      <c r="I122" t="s">
        <v>47</v>
      </c>
      <c r="J122" s="11">
        <v>0</v>
      </c>
      <c r="K122" s="11">
        <v>0</v>
      </c>
      <c r="L122" s="11">
        <v>4000000000</v>
      </c>
      <c r="M122" s="11">
        <v>0</v>
      </c>
      <c r="N122" s="11">
        <v>4000000000</v>
      </c>
      <c r="O122" s="11">
        <v>4000000000</v>
      </c>
      <c r="P122" s="11">
        <v>0</v>
      </c>
      <c r="Q122" s="11">
        <v>4000000000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4000000000</v>
      </c>
      <c r="Y122" s="11">
        <v>0</v>
      </c>
      <c r="Z122" s="17">
        <v>4000000000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4000000000</v>
      </c>
      <c r="AH122" s="11">
        <v>0</v>
      </c>
      <c r="AI122" s="12">
        <v>4000000000</v>
      </c>
      <c r="AJ122" s="11">
        <v>4000000000</v>
      </c>
      <c r="AK122" s="11">
        <v>0</v>
      </c>
      <c r="AL122" s="11">
        <v>0</v>
      </c>
      <c r="AM122" s="11">
        <v>4000000000</v>
      </c>
      <c r="AN122" s="11">
        <v>4000000000</v>
      </c>
      <c r="AO122" s="11">
        <v>0</v>
      </c>
      <c r="AP122" s="11">
        <v>4000000000</v>
      </c>
      <c r="AQ122" s="11">
        <v>0</v>
      </c>
      <c r="AR122" s="11">
        <v>0</v>
      </c>
      <c r="AS122" t="s">
        <v>279</v>
      </c>
      <c r="AT122" s="4" t="str">
        <f t="shared" si="14"/>
        <v>Instituto Nacional de Vías</v>
      </c>
      <c r="AU122" s="7" t="str">
        <f t="shared" si="15"/>
        <v>56Instituto Nacional de Vías4000000000</v>
      </c>
      <c r="AV122" t="str">
        <f>+_xlfn.XLOOKUP(AU122,CRUCE!I:I,CRUCE!M:M)</f>
        <v>READY</v>
      </c>
      <c r="AW122" t="s">
        <v>1907</v>
      </c>
      <c r="AX122">
        <f>+SUMIFS(CRUCE!C:C,CRUCE!A:A,D122,CRUCE!B:B,'2021'!H122)</f>
        <v>4000000000</v>
      </c>
    </row>
    <row r="123" spans="1:50" x14ac:dyDescent="0.3">
      <c r="A123">
        <v>2021</v>
      </c>
      <c r="B123">
        <v>307</v>
      </c>
      <c r="C123">
        <v>1.1020600605999999E+35</v>
      </c>
      <c r="D123" s="5">
        <v>201</v>
      </c>
      <c r="E123" s="8" t="s">
        <v>282</v>
      </c>
      <c r="F123">
        <v>1.1020600605999999E+35</v>
      </c>
      <c r="G123" t="s">
        <v>1908</v>
      </c>
      <c r="H123" s="8" t="s">
        <v>283</v>
      </c>
      <c r="I123" t="s">
        <v>47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9672000</v>
      </c>
      <c r="Y123" s="11">
        <v>9672000</v>
      </c>
      <c r="Z123" s="17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9672000</v>
      </c>
      <c r="AH123" s="11">
        <v>9672000</v>
      </c>
      <c r="AI123" s="12">
        <v>0</v>
      </c>
      <c r="AJ123" s="11">
        <v>0</v>
      </c>
      <c r="AK123" s="11">
        <v>0</v>
      </c>
      <c r="AL123" s="11">
        <v>0</v>
      </c>
      <c r="AM123" s="11">
        <v>9672000</v>
      </c>
      <c r="AN123" s="11">
        <v>9672000</v>
      </c>
      <c r="AO123" s="11">
        <v>0</v>
      </c>
      <c r="AP123" s="11">
        <v>9672000</v>
      </c>
      <c r="AQ123" s="11">
        <v>0</v>
      </c>
      <c r="AR123" s="11">
        <v>0</v>
      </c>
      <c r="AS123" t="s">
        <v>284</v>
      </c>
      <c r="AT123" s="4" t="str">
        <f t="shared" si="14"/>
        <v>Ministerio de Cutura Convenio 0894-2021 Quindío un corazon para leer</v>
      </c>
      <c r="AU123" s="7" t="str">
        <f t="shared" si="15"/>
        <v>201Ministerio de Cutura Convenio 0894-2021 Quindío un corazon para leer0</v>
      </c>
      <c r="AV123" t="str">
        <f>+_xlfn.XLOOKUP(AU123,CRUCE!I:I,CRUCE!M:M)</f>
        <v>READY</v>
      </c>
      <c r="AW123" t="s">
        <v>1907</v>
      </c>
      <c r="AX123">
        <f>+SUMIFS(CRUCE!C:C,CRUCE!A:A,D123,CRUCE!B:B,'2021'!H123)</f>
        <v>0</v>
      </c>
    </row>
    <row r="124" spans="1:50" x14ac:dyDescent="0.3">
      <c r="A124">
        <v>2021</v>
      </c>
      <c r="B124">
        <v>307</v>
      </c>
      <c r="C124">
        <v>1.1020600605999999E+35</v>
      </c>
      <c r="D124" s="5">
        <v>56</v>
      </c>
      <c r="E124" s="8" t="s">
        <v>285</v>
      </c>
      <c r="F124">
        <v>1.1020600605999999E+35</v>
      </c>
      <c r="G124" t="s">
        <v>1908</v>
      </c>
      <c r="H124" s="8" t="s">
        <v>286</v>
      </c>
      <c r="I124" t="s">
        <v>47</v>
      </c>
      <c r="J124" s="11">
        <v>250000000</v>
      </c>
      <c r="K124" s="11">
        <v>250000000</v>
      </c>
      <c r="L124" s="11">
        <v>179440187.84</v>
      </c>
      <c r="M124" s="11">
        <v>0</v>
      </c>
      <c r="N124" s="11">
        <v>179440187.84</v>
      </c>
      <c r="O124" s="11">
        <v>179440187.84</v>
      </c>
      <c r="P124" s="11">
        <v>0</v>
      </c>
      <c r="Q124" s="11">
        <v>429440187.83999997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410775187.83999997</v>
      </c>
      <c r="Y124" s="11">
        <v>0</v>
      </c>
      <c r="Z124" s="17">
        <v>410775187.83999997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410775187.83999997</v>
      </c>
      <c r="AH124" s="11">
        <v>0</v>
      </c>
      <c r="AI124" s="12">
        <v>410775187.83999997</v>
      </c>
      <c r="AJ124" s="11">
        <v>410775187.83999997</v>
      </c>
      <c r="AK124" s="11">
        <v>0</v>
      </c>
      <c r="AL124" s="11">
        <v>0</v>
      </c>
      <c r="AM124" s="11">
        <v>410775187.83999997</v>
      </c>
      <c r="AN124" s="11">
        <v>410775187.83999997</v>
      </c>
      <c r="AO124" s="11">
        <v>0</v>
      </c>
      <c r="AP124" s="11">
        <v>410775187.83999997</v>
      </c>
      <c r="AQ124" s="11">
        <v>0</v>
      </c>
      <c r="AR124" s="11">
        <v>0</v>
      </c>
      <c r="AS124" t="s">
        <v>279</v>
      </c>
      <c r="AT124" s="4" t="str">
        <f t="shared" si="14"/>
        <v>Federación Nacional de Departamentos</v>
      </c>
      <c r="AU124" s="7" t="str">
        <f t="shared" si="15"/>
        <v>56Federación Nacional de Departamentos410775187,84</v>
      </c>
      <c r="AV124" t="str">
        <f>+_xlfn.XLOOKUP(AU124,CRUCE!I:I,CRUCE!M:M)</f>
        <v>READY</v>
      </c>
      <c r="AW124" t="s">
        <v>1907</v>
      </c>
      <c r="AX124">
        <f>+SUMIFS(CRUCE!C:C,CRUCE!A:A,D124,CRUCE!B:B,'2021'!H124)</f>
        <v>410775187.83999997</v>
      </c>
    </row>
    <row r="125" spans="1:50" x14ac:dyDescent="0.3">
      <c r="A125">
        <v>2021</v>
      </c>
      <c r="B125">
        <v>307</v>
      </c>
      <c r="C125">
        <v>1.1020600605999999E+35</v>
      </c>
      <c r="D125" s="5">
        <v>138</v>
      </c>
      <c r="E125" s="8" t="s">
        <v>287</v>
      </c>
      <c r="F125">
        <v>1.1020600605999999E+35</v>
      </c>
      <c r="G125" t="s">
        <v>1908</v>
      </c>
      <c r="H125" s="8" t="s">
        <v>288</v>
      </c>
      <c r="I125" t="s">
        <v>47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4998651</v>
      </c>
      <c r="Y125" s="11">
        <v>0</v>
      </c>
      <c r="Z125" s="17">
        <v>4998651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4998651</v>
      </c>
      <c r="AH125" s="11">
        <v>0</v>
      </c>
      <c r="AI125" s="12">
        <v>4998651</v>
      </c>
      <c r="AJ125" s="11">
        <v>4998651</v>
      </c>
      <c r="AK125" s="11">
        <v>0</v>
      </c>
      <c r="AL125" s="11">
        <v>0</v>
      </c>
      <c r="AM125" s="11">
        <v>4998651</v>
      </c>
      <c r="AN125" s="11">
        <v>4998651</v>
      </c>
      <c r="AO125" s="11">
        <v>0</v>
      </c>
      <c r="AP125" s="11">
        <v>4998651</v>
      </c>
      <c r="AQ125" s="11">
        <v>0</v>
      </c>
      <c r="AR125" s="11">
        <v>0</v>
      </c>
      <c r="AS125" t="s">
        <v>289</v>
      </c>
      <c r="AT125" s="4" t="str">
        <f t="shared" si="14"/>
        <v>Colpensiones - Fondo de Vejez</v>
      </c>
      <c r="AU125" s="7" t="str">
        <f t="shared" si="15"/>
        <v>138Colpensiones - Fondo de Vejez4998651</v>
      </c>
      <c r="AV125" t="str">
        <f>+_xlfn.XLOOKUP(AU125,CRUCE!I:I,CRUCE!M:M)</f>
        <v>READY</v>
      </c>
      <c r="AW125" t="s">
        <v>1907</v>
      </c>
      <c r="AX125">
        <f>+SUMIFS(CRUCE!C:C,CRUCE!A:A,D125,CRUCE!B:B,'2021'!H125)</f>
        <v>4998651</v>
      </c>
    </row>
    <row r="126" spans="1:50" hidden="1" x14ac:dyDescent="0.3">
      <c r="A126">
        <v>2021</v>
      </c>
      <c r="B126">
        <v>307</v>
      </c>
      <c r="C126">
        <v>11020600902</v>
      </c>
      <c r="D126" s="5" t="s">
        <v>44</v>
      </c>
      <c r="E126" s="8" t="s">
        <v>290</v>
      </c>
      <c r="F126">
        <v>11020600902</v>
      </c>
      <c r="H126" s="8" t="s">
        <v>291</v>
      </c>
      <c r="I126" t="s">
        <v>47</v>
      </c>
      <c r="J126" s="11">
        <v>1078643232</v>
      </c>
      <c r="K126" s="11">
        <v>1078643232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1078643232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598698528.70000005</v>
      </c>
      <c r="Y126" s="11">
        <v>166899852</v>
      </c>
      <c r="Z126" s="17">
        <v>431798676.69999999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598698528.70000005</v>
      </c>
      <c r="AH126" s="11">
        <v>166899852</v>
      </c>
      <c r="AI126" s="12">
        <v>431798676.69999999</v>
      </c>
      <c r="AJ126" s="11">
        <v>431798676.69999999</v>
      </c>
      <c r="AK126" s="11">
        <v>0</v>
      </c>
      <c r="AL126" s="11">
        <v>0</v>
      </c>
      <c r="AM126" s="11">
        <v>431798676.69999999</v>
      </c>
      <c r="AN126" s="11">
        <v>598698528.70000005</v>
      </c>
      <c r="AO126" s="11">
        <v>166899852</v>
      </c>
      <c r="AP126" s="11">
        <v>598698528.70000005</v>
      </c>
      <c r="AQ126" s="11">
        <v>0</v>
      </c>
      <c r="AR126" s="11">
        <v>166899852</v>
      </c>
      <c r="AS126" t="s">
        <v>48</v>
      </c>
      <c r="AT126"/>
    </row>
    <row r="127" spans="1:50" hidden="1" x14ac:dyDescent="0.3">
      <c r="A127">
        <v>2021</v>
      </c>
      <c r="B127">
        <v>307</v>
      </c>
      <c r="C127">
        <v>1102060090202</v>
      </c>
      <c r="D127" s="5" t="s">
        <v>44</v>
      </c>
      <c r="E127" s="8" t="s">
        <v>292</v>
      </c>
      <c r="F127">
        <v>1102060090202</v>
      </c>
      <c r="H127" s="8" t="s">
        <v>293</v>
      </c>
      <c r="I127" t="s">
        <v>47</v>
      </c>
      <c r="J127" s="11">
        <v>1078643232</v>
      </c>
      <c r="K127" s="11">
        <v>1078643232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1078643232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598698528.70000005</v>
      </c>
      <c r="Y127" s="11">
        <v>166899852</v>
      </c>
      <c r="Z127" s="17">
        <v>431798676.69999999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598698528.70000005</v>
      </c>
      <c r="AH127" s="11">
        <v>166899852</v>
      </c>
      <c r="AI127" s="12">
        <v>431798676.69999999</v>
      </c>
      <c r="AJ127" s="11">
        <v>431798676.69999999</v>
      </c>
      <c r="AK127" s="11">
        <v>0</v>
      </c>
      <c r="AL127" s="11">
        <v>0</v>
      </c>
      <c r="AM127" s="11">
        <v>431798676.69999999</v>
      </c>
      <c r="AN127" s="11">
        <v>598698528.70000005</v>
      </c>
      <c r="AO127" s="11">
        <v>166899852</v>
      </c>
      <c r="AP127" s="11">
        <v>598698528.70000005</v>
      </c>
      <c r="AQ127" s="11">
        <v>0</v>
      </c>
      <c r="AR127" s="11">
        <v>166899852</v>
      </c>
      <c r="AS127" t="s">
        <v>48</v>
      </c>
      <c r="AT127"/>
    </row>
    <row r="128" spans="1:50" hidden="1" x14ac:dyDescent="0.3">
      <c r="A128">
        <v>2021</v>
      </c>
      <c r="B128">
        <v>307</v>
      </c>
      <c r="C128">
        <v>110206009020200</v>
      </c>
      <c r="D128" s="5" t="s">
        <v>44</v>
      </c>
      <c r="E128" s="8" t="s">
        <v>294</v>
      </c>
      <c r="F128">
        <v>110206009020200</v>
      </c>
      <c r="H128" s="8" t="s">
        <v>293</v>
      </c>
      <c r="I128" t="s">
        <v>47</v>
      </c>
      <c r="J128" s="11">
        <v>1078643232</v>
      </c>
      <c r="K128" s="11">
        <v>1078643232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1078643232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598698528.70000005</v>
      </c>
      <c r="Y128" s="11">
        <v>166899852</v>
      </c>
      <c r="Z128" s="17">
        <v>431798676.69999999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598698528.70000005</v>
      </c>
      <c r="AH128" s="11">
        <v>166899852</v>
      </c>
      <c r="AI128" s="12">
        <v>431798676.69999999</v>
      </c>
      <c r="AJ128" s="11">
        <v>431798676.69999999</v>
      </c>
      <c r="AK128" s="11">
        <v>0</v>
      </c>
      <c r="AL128" s="11">
        <v>0</v>
      </c>
      <c r="AM128" s="11">
        <v>431798676.69999999</v>
      </c>
      <c r="AN128" s="11">
        <v>598698528.70000005</v>
      </c>
      <c r="AO128" s="11">
        <v>166899852</v>
      </c>
      <c r="AP128" s="11">
        <v>598698528.70000005</v>
      </c>
      <c r="AQ128" s="11">
        <v>0</v>
      </c>
      <c r="AR128" s="11">
        <v>166899852</v>
      </c>
      <c r="AS128" t="s">
        <v>48</v>
      </c>
      <c r="AT128"/>
    </row>
    <row r="129" spans="1:50" hidden="1" x14ac:dyDescent="0.3">
      <c r="A129">
        <v>2021</v>
      </c>
      <c r="B129">
        <v>307</v>
      </c>
      <c r="C129">
        <v>1.102060090202E+17</v>
      </c>
      <c r="D129" s="5" t="s">
        <v>44</v>
      </c>
      <c r="E129" s="8" t="s">
        <v>295</v>
      </c>
      <c r="F129">
        <v>1.102060090202E+17</v>
      </c>
      <c r="H129" s="8" t="s">
        <v>293</v>
      </c>
      <c r="I129" t="s">
        <v>47</v>
      </c>
      <c r="J129" s="11">
        <v>1078643232</v>
      </c>
      <c r="K129" s="11">
        <v>1078643232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1078643232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598698528.70000005</v>
      </c>
      <c r="Y129" s="11">
        <v>166899852</v>
      </c>
      <c r="Z129" s="17">
        <v>431798676.69999999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598698528.70000005</v>
      </c>
      <c r="AH129" s="11">
        <v>166899852</v>
      </c>
      <c r="AI129" s="12">
        <v>431798676.69999999</v>
      </c>
      <c r="AJ129" s="11">
        <v>431798676.69999999</v>
      </c>
      <c r="AK129" s="11">
        <v>0</v>
      </c>
      <c r="AL129" s="11">
        <v>0</v>
      </c>
      <c r="AM129" s="11">
        <v>431798676.69999999</v>
      </c>
      <c r="AN129" s="11">
        <v>598698528.70000005</v>
      </c>
      <c r="AO129" s="11">
        <v>166899852</v>
      </c>
      <c r="AP129" s="11">
        <v>598698528.70000005</v>
      </c>
      <c r="AQ129" s="11">
        <v>0</v>
      </c>
      <c r="AR129" s="11">
        <v>166899852</v>
      </c>
      <c r="AS129" t="s">
        <v>48</v>
      </c>
      <c r="AT129"/>
    </row>
    <row r="130" spans="1:50" hidden="1" x14ac:dyDescent="0.3">
      <c r="A130">
        <v>2021</v>
      </c>
      <c r="B130">
        <v>307</v>
      </c>
      <c r="C130">
        <v>1.1020600902019999E+20</v>
      </c>
      <c r="D130" s="5" t="s">
        <v>44</v>
      </c>
      <c r="E130" s="8" t="s">
        <v>296</v>
      </c>
      <c r="F130">
        <v>1.1020600902019999E+20</v>
      </c>
      <c r="H130" s="8" t="s">
        <v>293</v>
      </c>
      <c r="I130" t="s">
        <v>47</v>
      </c>
      <c r="J130" s="11">
        <v>1078643232</v>
      </c>
      <c r="K130" s="11">
        <v>1078643232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1078643232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598698528.70000005</v>
      </c>
      <c r="Y130" s="11">
        <v>166899852</v>
      </c>
      <c r="Z130" s="17">
        <v>431798676.69999999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598698528.70000005</v>
      </c>
      <c r="AH130" s="11">
        <v>166899852</v>
      </c>
      <c r="AI130" s="12">
        <v>431798676.69999999</v>
      </c>
      <c r="AJ130" s="11">
        <v>431798676.69999999</v>
      </c>
      <c r="AK130" s="11">
        <v>0</v>
      </c>
      <c r="AL130" s="11">
        <v>0</v>
      </c>
      <c r="AM130" s="11">
        <v>431798676.69999999</v>
      </c>
      <c r="AN130" s="11">
        <v>598698528.70000005</v>
      </c>
      <c r="AO130" s="11">
        <v>166899852</v>
      </c>
      <c r="AP130" s="11">
        <v>598698528.70000005</v>
      </c>
      <c r="AQ130" s="11">
        <v>0</v>
      </c>
      <c r="AR130" s="11">
        <v>166899852</v>
      </c>
      <c r="AS130" t="s">
        <v>48</v>
      </c>
      <c r="AT130"/>
    </row>
    <row r="131" spans="1:50" x14ac:dyDescent="0.3">
      <c r="A131">
        <v>2021</v>
      </c>
      <c r="B131">
        <v>307</v>
      </c>
      <c r="C131">
        <v>1.102060090202E+35</v>
      </c>
      <c r="D131" s="5">
        <v>20</v>
      </c>
      <c r="E131" s="8" t="s">
        <v>297</v>
      </c>
      <c r="F131">
        <v>1.102060090202E+35</v>
      </c>
      <c r="G131" t="s">
        <v>1908</v>
      </c>
      <c r="H131" s="8" t="s">
        <v>298</v>
      </c>
      <c r="I131" t="s">
        <v>47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306219630</v>
      </c>
      <c r="Y131" s="11">
        <v>153109818</v>
      </c>
      <c r="Z131" s="17">
        <v>153109812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306219630</v>
      </c>
      <c r="AH131" s="11">
        <v>153109818</v>
      </c>
      <c r="AI131" s="12">
        <v>153109812</v>
      </c>
      <c r="AJ131" s="11">
        <v>153109812</v>
      </c>
      <c r="AK131" s="11">
        <v>0</v>
      </c>
      <c r="AL131" s="11">
        <v>0</v>
      </c>
      <c r="AM131" s="11">
        <v>153109812</v>
      </c>
      <c r="AN131" s="11">
        <v>306219630</v>
      </c>
      <c r="AO131" s="11">
        <v>153109818</v>
      </c>
      <c r="AP131" s="11">
        <v>306219630</v>
      </c>
      <c r="AQ131" s="11">
        <v>0</v>
      </c>
      <c r="AR131" s="11">
        <v>153109818</v>
      </c>
      <c r="AS131" t="s">
        <v>57</v>
      </c>
      <c r="AT131" s="4" t="str">
        <f t="shared" ref="AT131:AT156" si="16">+H131</f>
        <v>Banco de Bogotá</v>
      </c>
      <c r="AU131" s="7" t="str">
        <f t="shared" ref="AU131:AU156" si="17">+$D131&amp;$AT131&amp;Z131</f>
        <v>20Banco de Bogotá153109812</v>
      </c>
      <c r="AV131" t="str">
        <f>+_xlfn.XLOOKUP(AU131,CRUCE!I:I,CRUCE!M:M)</f>
        <v>READY</v>
      </c>
      <c r="AW131" t="s">
        <v>1907</v>
      </c>
      <c r="AX131">
        <f>+SUMIFS(CRUCE!C:C,CRUCE!A:A,D131,CRUCE!B:B,'2021'!H131)</f>
        <v>153109812</v>
      </c>
    </row>
    <row r="132" spans="1:50" x14ac:dyDescent="0.3">
      <c r="A132">
        <v>2021</v>
      </c>
      <c r="B132">
        <v>307</v>
      </c>
      <c r="C132">
        <v>1.102060090202E+35</v>
      </c>
      <c r="D132" s="5">
        <v>20</v>
      </c>
      <c r="E132" s="8" t="s">
        <v>299</v>
      </c>
      <c r="F132">
        <v>1.102060090202E+35</v>
      </c>
      <c r="G132" t="s">
        <v>1908</v>
      </c>
      <c r="H132" s="8" t="s">
        <v>160</v>
      </c>
      <c r="I132" t="s">
        <v>47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4525325</v>
      </c>
      <c r="Y132" s="11">
        <v>0</v>
      </c>
      <c r="Z132" s="17">
        <v>4525325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4525325</v>
      </c>
      <c r="AH132" s="11">
        <v>0</v>
      </c>
      <c r="AI132" s="12">
        <v>4525325</v>
      </c>
      <c r="AJ132" s="11">
        <v>4525325</v>
      </c>
      <c r="AK132" s="11">
        <v>0</v>
      </c>
      <c r="AL132" s="11">
        <v>0</v>
      </c>
      <c r="AM132" s="11">
        <v>4525325</v>
      </c>
      <c r="AN132" s="11">
        <v>4525325</v>
      </c>
      <c r="AO132" s="11">
        <v>0</v>
      </c>
      <c r="AP132" s="11">
        <v>4525325</v>
      </c>
      <c r="AQ132" s="11">
        <v>0</v>
      </c>
      <c r="AR132" s="11">
        <v>0</v>
      </c>
      <c r="AS132" t="s">
        <v>57</v>
      </c>
      <c r="AT132" s="4" t="str">
        <f t="shared" si="16"/>
        <v>Lotería del Quindío E.I.C.E.</v>
      </c>
      <c r="AU132" s="7" t="str">
        <f t="shared" si="17"/>
        <v>20Lotería del Quindío E.I.C.E.4525325</v>
      </c>
      <c r="AV132" t="str">
        <f>+_xlfn.XLOOKUP(AU132,CRUCE!I:I,CRUCE!M:M)</f>
        <v>READY</v>
      </c>
      <c r="AW132" t="s">
        <v>1907</v>
      </c>
      <c r="AX132">
        <f>+SUMIFS(CRUCE!C:C,CRUCE!A:A,D132,CRUCE!B:B,'2021'!H132)</f>
        <v>4525325</v>
      </c>
    </row>
    <row r="133" spans="1:50" x14ac:dyDescent="0.3">
      <c r="A133">
        <v>2021</v>
      </c>
      <c r="B133">
        <v>307</v>
      </c>
      <c r="C133">
        <v>1.102060090202E+35</v>
      </c>
      <c r="D133" s="5">
        <v>20</v>
      </c>
      <c r="E133" s="8" t="s">
        <v>300</v>
      </c>
      <c r="F133">
        <v>1.102060090202E+35</v>
      </c>
      <c r="G133" t="s">
        <v>1908</v>
      </c>
      <c r="H133" s="8" t="s">
        <v>301</v>
      </c>
      <c r="I133" t="s">
        <v>47</v>
      </c>
      <c r="J133" s="11">
        <v>11237546</v>
      </c>
      <c r="K133" s="11">
        <v>11237546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11237546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7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2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t="s">
        <v>57</v>
      </c>
      <c r="AT133" s="4" t="str">
        <f t="shared" si="16"/>
        <v>E.S.E. Hospital Universitario San Jorge - Pereira</v>
      </c>
      <c r="AU133" s="7" t="str">
        <f t="shared" si="17"/>
        <v>20E.S.E. Hospital Universitario San Jorge - Pereira0</v>
      </c>
      <c r="AV133" t="str">
        <f>+_xlfn.XLOOKUP(AU133,CRUCE!I:I,CRUCE!M:M)</f>
        <v>READY</v>
      </c>
      <c r="AW133" t="s">
        <v>1907</v>
      </c>
      <c r="AX133">
        <f>+SUMIFS(CRUCE!C:C,CRUCE!A:A,D133,CRUCE!B:B,'2021'!H133)</f>
        <v>0</v>
      </c>
    </row>
    <row r="134" spans="1:50" x14ac:dyDescent="0.3">
      <c r="A134">
        <v>2021</v>
      </c>
      <c r="B134">
        <v>307</v>
      </c>
      <c r="C134">
        <v>1.102060090202E+35</v>
      </c>
      <c r="D134" s="5">
        <v>20</v>
      </c>
      <c r="E134" s="8" t="s">
        <v>302</v>
      </c>
      <c r="F134">
        <v>1.102060090202E+35</v>
      </c>
      <c r="G134" t="s">
        <v>1908</v>
      </c>
      <c r="H134" s="8" t="s">
        <v>303</v>
      </c>
      <c r="I134" t="s">
        <v>47</v>
      </c>
      <c r="J134" s="11">
        <v>1435233</v>
      </c>
      <c r="K134" s="11">
        <v>1435233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1435233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2208576</v>
      </c>
      <c r="Y134" s="11">
        <v>226907</v>
      </c>
      <c r="Z134" s="17">
        <v>1981669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2208576</v>
      </c>
      <c r="AH134" s="11">
        <v>226907</v>
      </c>
      <c r="AI134" s="12">
        <v>1981669</v>
      </c>
      <c r="AJ134" s="11">
        <v>1981669</v>
      </c>
      <c r="AK134" s="11">
        <v>0</v>
      </c>
      <c r="AL134" s="11">
        <v>0</v>
      </c>
      <c r="AM134" s="11">
        <v>1981669</v>
      </c>
      <c r="AN134" s="11">
        <v>2208576</v>
      </c>
      <c r="AO134" s="11">
        <v>226907</v>
      </c>
      <c r="AP134" s="11">
        <v>2208576</v>
      </c>
      <c r="AQ134" s="11">
        <v>0</v>
      </c>
      <c r="AR134" s="11">
        <v>226907</v>
      </c>
      <c r="AS134" t="s">
        <v>57</v>
      </c>
      <c r="AT134" s="4" t="str">
        <f t="shared" si="16"/>
        <v>E.S.E. Hospital San Antonio - Roldanillo (Valle)</v>
      </c>
      <c r="AU134" s="7" t="str">
        <f t="shared" si="17"/>
        <v>20E.S.E. Hospital San Antonio - Roldanillo (Valle)1981669</v>
      </c>
      <c r="AV134" t="str">
        <f>+_xlfn.XLOOKUP(AU134,CRUCE!I:I,CRUCE!M:M)</f>
        <v>READY</v>
      </c>
      <c r="AW134" t="s">
        <v>1907</v>
      </c>
      <c r="AX134">
        <f>+SUMIFS(CRUCE!C:C,CRUCE!A:A,D134,CRUCE!B:B,'2021'!H134)</f>
        <v>1981669</v>
      </c>
    </row>
    <row r="135" spans="1:50" x14ac:dyDescent="0.3">
      <c r="A135">
        <v>2021</v>
      </c>
      <c r="B135">
        <v>307</v>
      </c>
      <c r="C135">
        <v>1.102060090202E+35</v>
      </c>
      <c r="D135" s="5">
        <v>20</v>
      </c>
      <c r="E135" s="8" t="s">
        <v>304</v>
      </c>
      <c r="F135">
        <v>1.102060090202E+35</v>
      </c>
      <c r="G135" t="s">
        <v>1908</v>
      </c>
      <c r="H135" s="8" t="s">
        <v>305</v>
      </c>
      <c r="I135" t="s">
        <v>47</v>
      </c>
      <c r="J135" s="11">
        <v>161247758</v>
      </c>
      <c r="K135" s="11">
        <v>161247758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161247758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8955643</v>
      </c>
      <c r="Y135" s="11">
        <v>0</v>
      </c>
      <c r="Z135" s="17">
        <v>8955643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8955643</v>
      </c>
      <c r="AH135" s="11">
        <v>0</v>
      </c>
      <c r="AI135" s="12">
        <v>8955643</v>
      </c>
      <c r="AJ135" s="11">
        <v>8955643</v>
      </c>
      <c r="AK135" s="11">
        <v>0</v>
      </c>
      <c r="AL135" s="11">
        <v>0</v>
      </c>
      <c r="AM135" s="11">
        <v>8955643</v>
      </c>
      <c r="AN135" s="11">
        <v>8955643</v>
      </c>
      <c r="AO135" s="11">
        <v>0</v>
      </c>
      <c r="AP135" s="11">
        <v>8955643</v>
      </c>
      <c r="AQ135" s="11">
        <v>0</v>
      </c>
      <c r="AR135" s="11">
        <v>0</v>
      </c>
      <c r="AS135" t="s">
        <v>57</v>
      </c>
      <c r="AT135" s="4" t="str">
        <f t="shared" si="16"/>
        <v>Empresas Públicas Municipales de Armenia</v>
      </c>
      <c r="AU135" s="7" t="str">
        <f t="shared" si="17"/>
        <v>20Empresas Públicas Municipales de Armenia8955643</v>
      </c>
      <c r="AV135" t="str">
        <f>+_xlfn.XLOOKUP(AU135,CRUCE!I:I,CRUCE!M:M)</f>
        <v>READY</v>
      </c>
      <c r="AW135" t="s">
        <v>1907</v>
      </c>
      <c r="AX135">
        <f>+SUMIFS(CRUCE!C:C,CRUCE!A:A,D135,CRUCE!B:B,'2021'!H135)</f>
        <v>8955643</v>
      </c>
    </row>
    <row r="136" spans="1:50" x14ac:dyDescent="0.3">
      <c r="A136">
        <v>2021</v>
      </c>
      <c r="B136">
        <v>307</v>
      </c>
      <c r="C136">
        <v>1.102060090202E+35</v>
      </c>
      <c r="D136" s="5">
        <v>20</v>
      </c>
      <c r="E136" s="8" t="s">
        <v>306</v>
      </c>
      <c r="F136">
        <v>1.102060090202E+35</v>
      </c>
      <c r="G136" t="s">
        <v>1908</v>
      </c>
      <c r="H136" s="8" t="s">
        <v>307</v>
      </c>
      <c r="I136" t="s">
        <v>47</v>
      </c>
      <c r="J136" s="11">
        <v>52430603</v>
      </c>
      <c r="K136" s="11">
        <v>52430603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52430603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32187827.699999999</v>
      </c>
      <c r="Y136" s="11">
        <v>0</v>
      </c>
      <c r="Z136" s="17">
        <v>32187827.699999999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32187827.699999999</v>
      </c>
      <c r="AH136" s="11">
        <v>0</v>
      </c>
      <c r="AI136" s="12">
        <v>32187827.699999999</v>
      </c>
      <c r="AJ136" s="11">
        <v>32187827.699999999</v>
      </c>
      <c r="AK136" s="11">
        <v>0</v>
      </c>
      <c r="AL136" s="11">
        <v>0</v>
      </c>
      <c r="AM136" s="11">
        <v>32187827.699999999</v>
      </c>
      <c r="AN136" s="11">
        <v>32187827.699999999</v>
      </c>
      <c r="AO136" s="11">
        <v>0</v>
      </c>
      <c r="AP136" s="11">
        <v>32187827.699999999</v>
      </c>
      <c r="AQ136" s="11">
        <v>0</v>
      </c>
      <c r="AR136" s="11">
        <v>0</v>
      </c>
      <c r="AS136" t="s">
        <v>57</v>
      </c>
      <c r="AT136" s="4" t="str">
        <f t="shared" si="16"/>
        <v>Ministerio de Defensa Nacional</v>
      </c>
      <c r="AU136" s="7" t="str">
        <f t="shared" si="17"/>
        <v>20Ministerio de Defensa Nacional32187827,7</v>
      </c>
      <c r="AV136" t="str">
        <f>+_xlfn.XLOOKUP(AU136,CRUCE!I:I,CRUCE!M:M)</f>
        <v>READY</v>
      </c>
      <c r="AW136" t="s">
        <v>1907</v>
      </c>
      <c r="AX136">
        <f>+SUMIFS(CRUCE!C:C,CRUCE!A:A,D136,CRUCE!B:B,'2021'!H136)</f>
        <v>32187827.699999999</v>
      </c>
    </row>
    <row r="137" spans="1:50" x14ac:dyDescent="0.3">
      <c r="A137">
        <v>2021</v>
      </c>
      <c r="B137">
        <v>307</v>
      </c>
      <c r="C137">
        <v>1.102060090202E+35</v>
      </c>
      <c r="D137" s="5">
        <v>20</v>
      </c>
      <c r="E137" s="8" t="s">
        <v>308</v>
      </c>
      <c r="F137">
        <v>1.102060090202E+35</v>
      </c>
      <c r="G137" t="s">
        <v>1908</v>
      </c>
      <c r="H137" s="8" t="s">
        <v>309</v>
      </c>
      <c r="I137" t="s">
        <v>47</v>
      </c>
      <c r="J137" s="11">
        <v>14507585</v>
      </c>
      <c r="K137" s="11">
        <v>14507585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14507585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7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2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t="s">
        <v>57</v>
      </c>
      <c r="AT137" s="4" t="str">
        <f t="shared" si="16"/>
        <v>Policía Nacional</v>
      </c>
      <c r="AU137" s="7" t="str">
        <f t="shared" si="17"/>
        <v>20Policía Nacional0</v>
      </c>
      <c r="AV137" t="str">
        <f>+_xlfn.XLOOKUP(AU137,CRUCE!I:I,CRUCE!M:M)</f>
        <v>READY</v>
      </c>
      <c r="AW137" t="s">
        <v>1907</v>
      </c>
      <c r="AX137">
        <f>+SUMIFS(CRUCE!C:C,CRUCE!A:A,D137,CRUCE!B:B,'2021'!H137)</f>
        <v>0</v>
      </c>
    </row>
    <row r="138" spans="1:50" x14ac:dyDescent="0.3">
      <c r="A138">
        <v>2021</v>
      </c>
      <c r="B138">
        <v>307</v>
      </c>
      <c r="C138">
        <v>1.102060090202E+35</v>
      </c>
      <c r="D138" s="5">
        <v>20</v>
      </c>
      <c r="E138" s="8" t="s">
        <v>310</v>
      </c>
      <c r="F138">
        <v>1.102060090202E+35</v>
      </c>
      <c r="G138" t="s">
        <v>1908</v>
      </c>
      <c r="H138" s="8" t="s">
        <v>311</v>
      </c>
      <c r="I138" t="s">
        <v>47</v>
      </c>
      <c r="J138" s="11">
        <v>1707717</v>
      </c>
      <c r="K138" s="11">
        <v>1707717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1707717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1120088</v>
      </c>
      <c r="Y138" s="11">
        <v>0</v>
      </c>
      <c r="Z138" s="17">
        <v>1120088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1120088</v>
      </c>
      <c r="AH138" s="11">
        <v>0</v>
      </c>
      <c r="AI138" s="12">
        <v>1120088</v>
      </c>
      <c r="AJ138" s="11">
        <v>1120088</v>
      </c>
      <c r="AK138" s="11">
        <v>0</v>
      </c>
      <c r="AL138" s="11">
        <v>0</v>
      </c>
      <c r="AM138" s="11">
        <v>1120088</v>
      </c>
      <c r="AN138" s="11">
        <v>1120088</v>
      </c>
      <c r="AO138" s="11">
        <v>0</v>
      </c>
      <c r="AP138" s="11">
        <v>1120088</v>
      </c>
      <c r="AQ138" s="11">
        <v>0</v>
      </c>
      <c r="AR138" s="11">
        <v>0</v>
      </c>
      <c r="AS138" t="s">
        <v>57</v>
      </c>
      <c r="AT138" s="4" t="str">
        <f t="shared" si="16"/>
        <v>Superintendencia Financiera de Colombia</v>
      </c>
      <c r="AU138" s="7" t="str">
        <f t="shared" si="17"/>
        <v>20Superintendencia Financiera de Colombia1120088</v>
      </c>
      <c r="AV138" t="str">
        <f>+_xlfn.XLOOKUP(AU138,CRUCE!I:I,CRUCE!M:M)</f>
        <v>READY</v>
      </c>
      <c r="AW138" t="s">
        <v>1907</v>
      </c>
      <c r="AX138">
        <f>+SUMIFS(CRUCE!C:C,CRUCE!A:A,D138,CRUCE!B:B,'2021'!H138)</f>
        <v>1120088</v>
      </c>
    </row>
    <row r="139" spans="1:50" x14ac:dyDescent="0.3">
      <c r="A139">
        <v>2021</v>
      </c>
      <c r="B139">
        <v>307</v>
      </c>
      <c r="C139">
        <v>1.102060090202E+35</v>
      </c>
      <c r="D139" s="5">
        <v>20</v>
      </c>
      <c r="E139" s="8" t="s">
        <v>312</v>
      </c>
      <c r="F139">
        <v>1.102060090202E+35</v>
      </c>
      <c r="G139" t="s">
        <v>1908</v>
      </c>
      <c r="H139" s="8" t="s">
        <v>313</v>
      </c>
      <c r="I139" t="s">
        <v>47</v>
      </c>
      <c r="J139" s="11">
        <v>385274670</v>
      </c>
      <c r="K139" s="11">
        <v>385274670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385274670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76219997</v>
      </c>
      <c r="Y139" s="11">
        <v>0</v>
      </c>
      <c r="Z139" s="17">
        <v>76219997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76219997</v>
      </c>
      <c r="AH139" s="11">
        <v>0</v>
      </c>
      <c r="AI139" s="12">
        <v>76219997</v>
      </c>
      <c r="AJ139" s="11">
        <v>76219997</v>
      </c>
      <c r="AK139" s="11">
        <v>0</v>
      </c>
      <c r="AL139" s="11">
        <v>0</v>
      </c>
      <c r="AM139" s="11">
        <v>76219997</v>
      </c>
      <c r="AN139" s="11">
        <v>76219997</v>
      </c>
      <c r="AO139" s="11">
        <v>0</v>
      </c>
      <c r="AP139" s="11">
        <v>76219997</v>
      </c>
      <c r="AQ139" s="11">
        <v>0</v>
      </c>
      <c r="AR139" s="11">
        <v>0</v>
      </c>
      <c r="AS139" t="s">
        <v>57</v>
      </c>
      <c r="AT139" s="4" t="str">
        <f t="shared" si="16"/>
        <v>Departamento de Caldas</v>
      </c>
      <c r="AU139" s="7" t="str">
        <f t="shared" si="17"/>
        <v>20Departamento de Caldas76219997</v>
      </c>
      <c r="AV139" t="str">
        <f>+_xlfn.XLOOKUP(AU139,CRUCE!I:I,CRUCE!M:M)</f>
        <v>READY</v>
      </c>
      <c r="AW139" t="s">
        <v>1907</v>
      </c>
      <c r="AX139">
        <f>+SUMIFS(CRUCE!C:C,CRUCE!A:A,D139,CRUCE!B:B,'2021'!H139)</f>
        <v>76219997</v>
      </c>
    </row>
    <row r="140" spans="1:50" x14ac:dyDescent="0.3">
      <c r="A140">
        <v>2021</v>
      </c>
      <c r="B140">
        <v>307</v>
      </c>
      <c r="C140">
        <v>1.102060090202E+35</v>
      </c>
      <c r="D140" s="5">
        <v>20</v>
      </c>
      <c r="E140" s="8" t="s">
        <v>314</v>
      </c>
      <c r="F140">
        <v>1.102060090202E+35</v>
      </c>
      <c r="G140" t="s">
        <v>1908</v>
      </c>
      <c r="H140" s="8" t="s">
        <v>315</v>
      </c>
      <c r="I140" t="s">
        <v>47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2840553</v>
      </c>
      <c r="Y140" s="11">
        <v>0</v>
      </c>
      <c r="Z140" s="17">
        <v>2840553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2840553</v>
      </c>
      <c r="AH140" s="11">
        <v>0</v>
      </c>
      <c r="AI140" s="12">
        <v>2840553</v>
      </c>
      <c r="AJ140" s="11">
        <v>2840553</v>
      </c>
      <c r="AK140" s="11">
        <v>0</v>
      </c>
      <c r="AL140" s="11">
        <v>0</v>
      </c>
      <c r="AM140" s="11">
        <v>2840553</v>
      </c>
      <c r="AN140" s="11">
        <v>2840553</v>
      </c>
      <c r="AO140" s="11">
        <v>0</v>
      </c>
      <c r="AP140" s="11">
        <v>2840553</v>
      </c>
      <c r="AQ140" s="11">
        <v>0</v>
      </c>
      <c r="AR140" s="11">
        <v>0</v>
      </c>
      <c r="AS140" t="s">
        <v>57</v>
      </c>
      <c r="AT140" s="4" t="str">
        <f t="shared" si="16"/>
        <v>Departamento de Risaralda</v>
      </c>
      <c r="AU140" s="7" t="str">
        <f t="shared" si="17"/>
        <v>20Departamento de Risaralda2840553</v>
      </c>
      <c r="AV140" t="str">
        <f>+_xlfn.XLOOKUP(AU140,CRUCE!I:I,CRUCE!M:M)</f>
        <v>READY</v>
      </c>
      <c r="AW140" t="s">
        <v>1907</v>
      </c>
      <c r="AX140">
        <f>+SUMIFS(CRUCE!C:C,CRUCE!A:A,D140,CRUCE!B:B,'2021'!H140)</f>
        <v>2840553</v>
      </c>
    </row>
    <row r="141" spans="1:50" x14ac:dyDescent="0.3">
      <c r="A141">
        <v>2021</v>
      </c>
      <c r="B141">
        <v>307</v>
      </c>
      <c r="C141">
        <v>1.102060090202E+35</v>
      </c>
      <c r="D141" s="5">
        <v>20</v>
      </c>
      <c r="E141" s="8" t="s">
        <v>316</v>
      </c>
      <c r="F141">
        <v>1.102060090202E+35</v>
      </c>
      <c r="G141" t="s">
        <v>1908</v>
      </c>
      <c r="H141" s="8" t="s">
        <v>170</v>
      </c>
      <c r="I141" t="s">
        <v>47</v>
      </c>
      <c r="J141" s="11">
        <v>10852642</v>
      </c>
      <c r="K141" s="11">
        <v>10852642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10852642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7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2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t="s">
        <v>57</v>
      </c>
      <c r="AT141" s="4" t="str">
        <f t="shared" si="16"/>
        <v>Instituto Departamental de Tránsito del Quindío</v>
      </c>
      <c r="AU141" s="7" t="str">
        <f t="shared" si="17"/>
        <v>20Instituto Departamental de Tránsito del Quindío0</v>
      </c>
      <c r="AV141" t="str">
        <f>+_xlfn.XLOOKUP(AU141,CRUCE!I:I,CRUCE!M:M)</f>
        <v>READY</v>
      </c>
      <c r="AW141" t="s">
        <v>1907</v>
      </c>
      <c r="AX141">
        <f>+SUMIFS(CRUCE!C:C,CRUCE!A:A,D141,CRUCE!B:B,'2021'!H141)</f>
        <v>0</v>
      </c>
    </row>
    <row r="142" spans="1:50" x14ac:dyDescent="0.3">
      <c r="A142">
        <v>2021</v>
      </c>
      <c r="B142">
        <v>307</v>
      </c>
      <c r="C142">
        <v>1.102060090202E+35</v>
      </c>
      <c r="D142" s="5">
        <v>20</v>
      </c>
      <c r="E142" s="8" t="s">
        <v>317</v>
      </c>
      <c r="F142">
        <v>1.102060090202E+35</v>
      </c>
      <c r="G142" t="s">
        <v>1908</v>
      </c>
      <c r="H142" s="8" t="s">
        <v>174</v>
      </c>
      <c r="I142" t="s">
        <v>47</v>
      </c>
      <c r="J142" s="11">
        <v>2573292</v>
      </c>
      <c r="K142" s="11">
        <v>2573292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2573292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7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2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t="s">
        <v>57</v>
      </c>
      <c r="AT142" s="4" t="str">
        <f t="shared" si="16"/>
        <v>Universidad del Quindío</v>
      </c>
      <c r="AU142" s="7" t="str">
        <f t="shared" si="17"/>
        <v>20Universidad del Quindío0</v>
      </c>
      <c r="AV142" t="str">
        <f>+_xlfn.XLOOKUP(AU142,CRUCE!I:I,CRUCE!M:M)</f>
        <v>READY</v>
      </c>
      <c r="AW142" t="s">
        <v>1907</v>
      </c>
      <c r="AX142">
        <f>+SUMIFS(CRUCE!C:C,CRUCE!A:A,D142,CRUCE!B:B,'2021'!H142)</f>
        <v>0</v>
      </c>
    </row>
    <row r="143" spans="1:50" x14ac:dyDescent="0.3">
      <c r="A143">
        <v>2021</v>
      </c>
      <c r="B143">
        <v>307</v>
      </c>
      <c r="C143">
        <v>1.102060090202E+35</v>
      </c>
      <c r="D143" s="5">
        <v>20</v>
      </c>
      <c r="E143" s="8" t="s">
        <v>318</v>
      </c>
      <c r="F143">
        <v>1.102060090202E+35</v>
      </c>
      <c r="G143" t="s">
        <v>1908</v>
      </c>
      <c r="H143" s="8" t="s">
        <v>319</v>
      </c>
      <c r="I143" t="s">
        <v>47</v>
      </c>
      <c r="J143" s="11">
        <v>66661092</v>
      </c>
      <c r="K143" s="11">
        <v>66661092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66661092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64488830</v>
      </c>
      <c r="Y143" s="11">
        <v>12794768</v>
      </c>
      <c r="Z143" s="17">
        <v>51694062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64488830</v>
      </c>
      <c r="AH143" s="11">
        <v>12794768</v>
      </c>
      <c r="AI143" s="12">
        <v>51694062</v>
      </c>
      <c r="AJ143" s="11">
        <v>51694062</v>
      </c>
      <c r="AK143" s="11">
        <v>0</v>
      </c>
      <c r="AL143" s="11">
        <v>0</v>
      </c>
      <c r="AM143" s="11">
        <v>51694062</v>
      </c>
      <c r="AN143" s="11">
        <v>64488830</v>
      </c>
      <c r="AO143" s="11">
        <v>12794768</v>
      </c>
      <c r="AP143" s="11">
        <v>64488830</v>
      </c>
      <c r="AQ143" s="11">
        <v>0</v>
      </c>
      <c r="AR143" s="11">
        <v>12794768</v>
      </c>
      <c r="AS143" t="s">
        <v>57</v>
      </c>
      <c r="AT143" s="4" t="str">
        <f t="shared" si="16"/>
        <v>Universidad del Valle</v>
      </c>
      <c r="AU143" s="7" t="str">
        <f t="shared" si="17"/>
        <v>20Universidad del Valle51694062</v>
      </c>
      <c r="AV143" t="str">
        <f>+_xlfn.XLOOKUP(AU143,CRUCE!I:I,CRUCE!M:M)</f>
        <v>READY</v>
      </c>
      <c r="AW143" t="s">
        <v>1907</v>
      </c>
      <c r="AX143">
        <f>+SUMIFS(CRUCE!C:C,CRUCE!A:A,D143,CRUCE!B:B,'2021'!H143)</f>
        <v>51694062</v>
      </c>
    </row>
    <row r="144" spans="1:50" x14ac:dyDescent="0.3">
      <c r="A144">
        <v>2021</v>
      </c>
      <c r="B144">
        <v>307</v>
      </c>
      <c r="C144">
        <v>1.102060090202E+35</v>
      </c>
      <c r="D144" s="5">
        <v>20</v>
      </c>
      <c r="E144" s="8" t="s">
        <v>320</v>
      </c>
      <c r="F144">
        <v>1.102060090202E+35</v>
      </c>
      <c r="G144" t="s">
        <v>1908</v>
      </c>
      <c r="H144" s="8" t="s">
        <v>321</v>
      </c>
      <c r="I144" t="s">
        <v>47</v>
      </c>
      <c r="J144" s="11">
        <v>1624169</v>
      </c>
      <c r="K144" s="11">
        <v>1624169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1624169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1271053</v>
      </c>
      <c r="Y144" s="11">
        <v>0</v>
      </c>
      <c r="Z144" s="17">
        <v>1271053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1271053</v>
      </c>
      <c r="AH144" s="11">
        <v>0</v>
      </c>
      <c r="AI144" s="12">
        <v>1271053</v>
      </c>
      <c r="AJ144" s="11">
        <v>1271053</v>
      </c>
      <c r="AK144" s="11">
        <v>0</v>
      </c>
      <c r="AL144" s="11">
        <v>0</v>
      </c>
      <c r="AM144" s="11">
        <v>1271053</v>
      </c>
      <c r="AN144" s="11">
        <v>1271053</v>
      </c>
      <c r="AO144" s="11">
        <v>0</v>
      </c>
      <c r="AP144" s="11">
        <v>1271053</v>
      </c>
      <c r="AQ144" s="11">
        <v>0</v>
      </c>
      <c r="AR144" s="11">
        <v>0</v>
      </c>
      <c r="AS144" t="s">
        <v>57</v>
      </c>
      <c r="AT144" s="4" t="str">
        <f t="shared" si="16"/>
        <v>Supía</v>
      </c>
      <c r="AU144" s="7" t="str">
        <f t="shared" si="17"/>
        <v>20Supía1271053</v>
      </c>
      <c r="AV144" t="str">
        <f>+_xlfn.XLOOKUP(AU144,CRUCE!I:I,CRUCE!M:M)</f>
        <v>READY</v>
      </c>
      <c r="AW144" t="s">
        <v>1907</v>
      </c>
      <c r="AX144">
        <f>+SUMIFS(CRUCE!C:C,CRUCE!A:A,D144,CRUCE!B:B,'2021'!H144)</f>
        <v>1271053</v>
      </c>
    </row>
    <row r="145" spans="1:50" x14ac:dyDescent="0.3">
      <c r="A145">
        <v>2021</v>
      </c>
      <c r="B145">
        <v>307</v>
      </c>
      <c r="C145">
        <v>1.102060090202E+35</v>
      </c>
      <c r="D145" s="5">
        <v>20</v>
      </c>
      <c r="E145" s="8" t="s">
        <v>322</v>
      </c>
      <c r="F145">
        <v>1.102060090202E+35</v>
      </c>
      <c r="G145" t="s">
        <v>1908</v>
      </c>
      <c r="H145" s="8" t="s">
        <v>323</v>
      </c>
      <c r="I145" t="s">
        <v>47</v>
      </c>
      <c r="J145" s="11">
        <v>9825603</v>
      </c>
      <c r="K145" s="11">
        <v>9825603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9825603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7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2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t="s">
        <v>57</v>
      </c>
      <c r="AT145" s="4" t="str">
        <f t="shared" si="16"/>
        <v>Puerto Salgar</v>
      </c>
      <c r="AU145" s="7" t="str">
        <f t="shared" si="17"/>
        <v>20Puerto Salgar0</v>
      </c>
      <c r="AV145" t="str">
        <f>+_xlfn.XLOOKUP(AU145,CRUCE!I:I,CRUCE!M:M)</f>
        <v>READY</v>
      </c>
      <c r="AW145" t="s">
        <v>1907</v>
      </c>
      <c r="AX145">
        <f>+SUMIFS(CRUCE!C:C,CRUCE!A:A,D145,CRUCE!B:B,'2021'!H145)</f>
        <v>0</v>
      </c>
    </row>
    <row r="146" spans="1:50" x14ac:dyDescent="0.3">
      <c r="A146">
        <v>2021</v>
      </c>
      <c r="B146">
        <v>307</v>
      </c>
      <c r="C146">
        <v>1.102060090202E+35</v>
      </c>
      <c r="D146" s="5">
        <v>20</v>
      </c>
      <c r="E146" s="8" t="s">
        <v>324</v>
      </c>
      <c r="F146">
        <v>1.102060090202E+35</v>
      </c>
      <c r="G146" t="s">
        <v>1908</v>
      </c>
      <c r="H146" s="8" t="s">
        <v>325</v>
      </c>
      <c r="I146" t="s">
        <v>47</v>
      </c>
      <c r="J146" s="11">
        <v>171803807</v>
      </c>
      <c r="K146" s="11">
        <v>171803807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171803807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64417383</v>
      </c>
      <c r="Y146" s="11">
        <v>0</v>
      </c>
      <c r="Z146" s="17">
        <v>64417383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64417383</v>
      </c>
      <c r="AH146" s="11">
        <v>0</v>
      </c>
      <c r="AI146" s="12">
        <v>64417383</v>
      </c>
      <c r="AJ146" s="11">
        <v>64417383</v>
      </c>
      <c r="AK146" s="11">
        <v>0</v>
      </c>
      <c r="AL146" s="11">
        <v>0</v>
      </c>
      <c r="AM146" s="11">
        <v>64417383</v>
      </c>
      <c r="AN146" s="11">
        <v>64417383</v>
      </c>
      <c r="AO146" s="11">
        <v>0</v>
      </c>
      <c r="AP146" s="11">
        <v>64417383</v>
      </c>
      <c r="AQ146" s="11">
        <v>0</v>
      </c>
      <c r="AR146" s="11">
        <v>0</v>
      </c>
      <c r="AS146" t="s">
        <v>57</v>
      </c>
      <c r="AT146" s="4" t="str">
        <f t="shared" si="16"/>
        <v>Armenia</v>
      </c>
      <c r="AU146" s="7" t="str">
        <f t="shared" si="17"/>
        <v>20Armenia64417383</v>
      </c>
      <c r="AV146" t="str">
        <f>+_xlfn.XLOOKUP(AU146,CRUCE!I:I,CRUCE!M:M)</f>
        <v>READY</v>
      </c>
      <c r="AW146" t="s">
        <v>1907</v>
      </c>
      <c r="AX146">
        <f>+SUMIFS(CRUCE!C:C,CRUCE!A:A,D146,CRUCE!B:B,'2021'!H146)</f>
        <v>64417383</v>
      </c>
    </row>
    <row r="147" spans="1:50" x14ac:dyDescent="0.3">
      <c r="A147">
        <v>2021</v>
      </c>
      <c r="B147">
        <v>307</v>
      </c>
      <c r="C147">
        <v>1.102060090202E+35</v>
      </c>
      <c r="D147" s="5">
        <v>20</v>
      </c>
      <c r="E147" s="8" t="s">
        <v>326</v>
      </c>
      <c r="F147">
        <v>1.102060090202E+35</v>
      </c>
      <c r="G147" t="s">
        <v>1908</v>
      </c>
      <c r="H147" s="8" t="s">
        <v>327</v>
      </c>
      <c r="I147" t="s">
        <v>47</v>
      </c>
      <c r="J147" s="11">
        <v>7740190</v>
      </c>
      <c r="K147" s="11">
        <v>7740190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7740190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5148637</v>
      </c>
      <c r="Y147" s="11">
        <v>0</v>
      </c>
      <c r="Z147" s="17">
        <v>5148637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5148637</v>
      </c>
      <c r="AH147" s="11">
        <v>0</v>
      </c>
      <c r="AI147" s="12">
        <v>5148637</v>
      </c>
      <c r="AJ147" s="11">
        <v>5148637</v>
      </c>
      <c r="AK147" s="11">
        <v>0</v>
      </c>
      <c r="AL147" s="11">
        <v>0</v>
      </c>
      <c r="AM147" s="11">
        <v>5148637</v>
      </c>
      <c r="AN147" s="11">
        <v>5148637</v>
      </c>
      <c r="AO147" s="11">
        <v>0</v>
      </c>
      <c r="AP147" s="11">
        <v>5148637</v>
      </c>
      <c r="AQ147" s="11">
        <v>0</v>
      </c>
      <c r="AR147" s="11">
        <v>0</v>
      </c>
      <c r="AS147" t="s">
        <v>57</v>
      </c>
      <c r="AT147" s="4" t="str">
        <f t="shared" si="16"/>
        <v>Buenavista - Quindío</v>
      </c>
      <c r="AU147" s="7" t="str">
        <f t="shared" si="17"/>
        <v>20Buenavista - Quindío5148637</v>
      </c>
      <c r="AV147" t="str">
        <f>+_xlfn.XLOOKUP(AU147,CRUCE!I:I,CRUCE!M:M)</f>
        <v>READY</v>
      </c>
      <c r="AW147" t="s">
        <v>1907</v>
      </c>
      <c r="AX147">
        <f>+SUMIFS(CRUCE!C:C,CRUCE!A:A,D147,CRUCE!B:B,'2021'!H147)</f>
        <v>5148637</v>
      </c>
    </row>
    <row r="148" spans="1:50" x14ac:dyDescent="0.3">
      <c r="A148">
        <v>2021</v>
      </c>
      <c r="B148">
        <v>307</v>
      </c>
      <c r="C148">
        <v>1.102060090202E+35</v>
      </c>
      <c r="D148" s="5">
        <v>20</v>
      </c>
      <c r="E148" s="8" t="s">
        <v>328</v>
      </c>
      <c r="F148">
        <v>1.102060090202E+35</v>
      </c>
      <c r="G148" t="s">
        <v>1908</v>
      </c>
      <c r="H148" s="8" t="s">
        <v>329</v>
      </c>
      <c r="I148" t="s">
        <v>47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7463837</v>
      </c>
      <c r="Y148" s="11">
        <v>0</v>
      </c>
      <c r="Z148" s="17">
        <v>7463837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7463837</v>
      </c>
      <c r="AH148" s="11">
        <v>0</v>
      </c>
      <c r="AI148" s="12">
        <v>7463837</v>
      </c>
      <c r="AJ148" s="11">
        <v>7463837</v>
      </c>
      <c r="AK148" s="11">
        <v>0</v>
      </c>
      <c r="AL148" s="11">
        <v>0</v>
      </c>
      <c r="AM148" s="11">
        <v>7463837</v>
      </c>
      <c r="AN148" s="11">
        <v>7463837</v>
      </c>
      <c r="AO148" s="11">
        <v>0</v>
      </c>
      <c r="AP148" s="11">
        <v>7463837</v>
      </c>
      <c r="AQ148" s="11">
        <v>0</v>
      </c>
      <c r="AR148" s="11">
        <v>0</v>
      </c>
      <c r="AS148" t="s">
        <v>57</v>
      </c>
      <c r="AT148" s="4" t="str">
        <f t="shared" si="16"/>
        <v>Circasia</v>
      </c>
      <c r="AU148" s="7" t="str">
        <f t="shared" si="17"/>
        <v>20Circasia7463837</v>
      </c>
      <c r="AV148" t="str">
        <f>+_xlfn.XLOOKUP(AU148,CRUCE!I:I,CRUCE!M:M)</f>
        <v>READY</v>
      </c>
      <c r="AW148" t="s">
        <v>1907</v>
      </c>
      <c r="AX148">
        <f>+SUMIFS(CRUCE!C:C,CRUCE!A:A,D148,CRUCE!B:B,'2021'!H148)</f>
        <v>7463837</v>
      </c>
    </row>
    <row r="149" spans="1:50" x14ac:dyDescent="0.3">
      <c r="A149">
        <v>2021</v>
      </c>
      <c r="B149">
        <v>307</v>
      </c>
      <c r="C149">
        <v>1.102060090202E+35</v>
      </c>
      <c r="D149" s="5">
        <v>20</v>
      </c>
      <c r="E149" s="8" t="s">
        <v>330</v>
      </c>
      <c r="F149">
        <v>1.102060090202E+35</v>
      </c>
      <c r="G149" t="s">
        <v>1908</v>
      </c>
      <c r="H149" s="8" t="s">
        <v>331</v>
      </c>
      <c r="I149" t="s">
        <v>47</v>
      </c>
      <c r="J149" s="11">
        <v>14644034</v>
      </c>
      <c r="K149" s="11">
        <v>14644034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14644034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7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2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0</v>
      </c>
      <c r="AP149" s="11">
        <v>0</v>
      </c>
      <c r="AQ149" s="11">
        <v>0</v>
      </c>
      <c r="AR149" s="11">
        <v>0</v>
      </c>
      <c r="AS149" t="s">
        <v>57</v>
      </c>
      <c r="AT149" s="4" t="str">
        <f t="shared" si="16"/>
        <v>Filandia</v>
      </c>
      <c r="AU149" s="7" t="str">
        <f t="shared" si="17"/>
        <v>20Filandia0</v>
      </c>
      <c r="AV149" t="str">
        <f>+_xlfn.XLOOKUP(AU149,CRUCE!I:I,CRUCE!M:M)</f>
        <v>READY</v>
      </c>
      <c r="AW149" t="s">
        <v>1907</v>
      </c>
      <c r="AX149">
        <f>+SUMIFS(CRUCE!C:C,CRUCE!A:A,D149,CRUCE!B:B,'2021'!H149)</f>
        <v>0</v>
      </c>
    </row>
    <row r="150" spans="1:50" x14ac:dyDescent="0.3">
      <c r="A150">
        <v>2021</v>
      </c>
      <c r="B150">
        <v>307</v>
      </c>
      <c r="C150">
        <v>1.102060090202E+35</v>
      </c>
      <c r="D150" s="5">
        <v>20</v>
      </c>
      <c r="E150" s="8" t="s">
        <v>332</v>
      </c>
      <c r="F150">
        <v>1.102060090202E+35</v>
      </c>
      <c r="G150" t="s">
        <v>1908</v>
      </c>
      <c r="H150" s="8" t="s">
        <v>333</v>
      </c>
      <c r="I150" t="s">
        <v>47</v>
      </c>
      <c r="J150" s="11">
        <v>17070959</v>
      </c>
      <c r="K150" s="11">
        <v>17070959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17070959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3369137</v>
      </c>
      <c r="Y150" s="11">
        <v>0</v>
      </c>
      <c r="Z150" s="17">
        <v>3369137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3369137</v>
      </c>
      <c r="AH150" s="11">
        <v>0</v>
      </c>
      <c r="AI150" s="12">
        <v>3369137</v>
      </c>
      <c r="AJ150" s="11">
        <v>3369137</v>
      </c>
      <c r="AK150" s="11">
        <v>0</v>
      </c>
      <c r="AL150" s="11">
        <v>0</v>
      </c>
      <c r="AM150" s="11">
        <v>3369137</v>
      </c>
      <c r="AN150" s="11">
        <v>3369137</v>
      </c>
      <c r="AO150" s="11">
        <v>0</v>
      </c>
      <c r="AP150" s="11">
        <v>3369137</v>
      </c>
      <c r="AQ150" s="11">
        <v>0</v>
      </c>
      <c r="AR150" s="11">
        <v>0</v>
      </c>
      <c r="AS150" t="s">
        <v>57</v>
      </c>
      <c r="AT150" s="4" t="str">
        <f t="shared" si="16"/>
        <v>Génova</v>
      </c>
      <c r="AU150" s="7" t="str">
        <f t="shared" si="17"/>
        <v>20Génova3369137</v>
      </c>
      <c r="AV150" t="str">
        <f>+_xlfn.XLOOKUP(AU150,CRUCE!I:I,CRUCE!M:M)</f>
        <v>READY</v>
      </c>
      <c r="AW150" t="s">
        <v>1907</v>
      </c>
      <c r="AX150">
        <f>+SUMIFS(CRUCE!C:C,CRUCE!A:A,D150,CRUCE!B:B,'2021'!H150)</f>
        <v>3369137</v>
      </c>
    </row>
    <row r="151" spans="1:50" x14ac:dyDescent="0.3">
      <c r="A151">
        <v>2021</v>
      </c>
      <c r="B151">
        <v>307</v>
      </c>
      <c r="C151">
        <v>1.102060090202E+35</v>
      </c>
      <c r="D151" s="5">
        <v>20</v>
      </c>
      <c r="E151" s="8" t="s">
        <v>334</v>
      </c>
      <c r="F151">
        <v>1.102060090202E+35</v>
      </c>
      <c r="G151" t="s">
        <v>1908</v>
      </c>
      <c r="H151" s="8" t="s">
        <v>335</v>
      </c>
      <c r="I151" t="s">
        <v>47</v>
      </c>
      <c r="J151" s="11">
        <v>10957545</v>
      </c>
      <c r="K151" s="11">
        <v>10957545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10957545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5229968</v>
      </c>
      <c r="Y151" s="11">
        <v>0</v>
      </c>
      <c r="Z151" s="17">
        <v>5229968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5229968</v>
      </c>
      <c r="AH151" s="11">
        <v>0</v>
      </c>
      <c r="AI151" s="12">
        <v>5229968</v>
      </c>
      <c r="AJ151" s="11">
        <v>5229968</v>
      </c>
      <c r="AK151" s="11">
        <v>0</v>
      </c>
      <c r="AL151" s="11">
        <v>0</v>
      </c>
      <c r="AM151" s="11">
        <v>5229968</v>
      </c>
      <c r="AN151" s="11">
        <v>5229968</v>
      </c>
      <c r="AO151" s="11">
        <v>0</v>
      </c>
      <c r="AP151" s="11">
        <v>5229968</v>
      </c>
      <c r="AQ151" s="11">
        <v>0</v>
      </c>
      <c r="AR151" s="11">
        <v>0</v>
      </c>
      <c r="AS151" t="s">
        <v>57</v>
      </c>
      <c r="AT151" s="4" t="str">
        <f t="shared" si="16"/>
        <v>Montenegro</v>
      </c>
      <c r="AU151" s="7" t="str">
        <f t="shared" si="17"/>
        <v>20Montenegro5229968</v>
      </c>
      <c r="AV151" t="str">
        <f>+_xlfn.XLOOKUP(AU151,CRUCE!I:I,CRUCE!M:M)</f>
        <v>READY</v>
      </c>
      <c r="AW151" t="s">
        <v>1907</v>
      </c>
      <c r="AX151">
        <f>+SUMIFS(CRUCE!C:C,CRUCE!A:A,D151,CRUCE!B:B,'2021'!H151)</f>
        <v>5229968</v>
      </c>
    </row>
    <row r="152" spans="1:50" x14ac:dyDescent="0.3">
      <c r="A152">
        <v>2021</v>
      </c>
      <c r="B152">
        <v>307</v>
      </c>
      <c r="C152">
        <v>1.102060090202E+35</v>
      </c>
      <c r="D152" s="5">
        <v>20</v>
      </c>
      <c r="E152" s="8" t="s">
        <v>336</v>
      </c>
      <c r="F152">
        <v>1.102060090202E+35</v>
      </c>
      <c r="G152" t="s">
        <v>1908</v>
      </c>
      <c r="H152" s="8" t="s">
        <v>337</v>
      </c>
      <c r="I152" t="s">
        <v>47</v>
      </c>
      <c r="J152" s="11">
        <v>106488022</v>
      </c>
      <c r="K152" s="11">
        <v>106488022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106488022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7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2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t="s">
        <v>57</v>
      </c>
      <c r="AT152" s="4" t="str">
        <f t="shared" si="16"/>
        <v>Quimbaya</v>
      </c>
      <c r="AU152" s="7" t="str">
        <f t="shared" si="17"/>
        <v>20Quimbaya0</v>
      </c>
      <c r="AV152" t="str">
        <f>+_xlfn.XLOOKUP(AU152,CRUCE!I:I,CRUCE!M:M)</f>
        <v>READY</v>
      </c>
      <c r="AW152" t="s">
        <v>1907</v>
      </c>
      <c r="AX152">
        <f>+SUMIFS(CRUCE!C:C,CRUCE!A:A,D152,CRUCE!B:B,'2021'!H152)</f>
        <v>0</v>
      </c>
    </row>
    <row r="153" spans="1:50" x14ac:dyDescent="0.3">
      <c r="A153">
        <v>2021</v>
      </c>
      <c r="B153">
        <v>307</v>
      </c>
      <c r="C153">
        <v>1.102060090202E+35</v>
      </c>
      <c r="D153" s="5">
        <v>20</v>
      </c>
      <c r="E153" s="8" t="s">
        <v>338</v>
      </c>
      <c r="F153">
        <v>1.102060090202E+35</v>
      </c>
      <c r="G153" t="s">
        <v>1908</v>
      </c>
      <c r="H153" s="8" t="s">
        <v>339</v>
      </c>
      <c r="I153" t="s">
        <v>47</v>
      </c>
      <c r="J153" s="11">
        <v>14755257</v>
      </c>
      <c r="K153" s="11">
        <v>14755257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14755257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7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2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t="s">
        <v>57</v>
      </c>
      <c r="AT153" s="4" t="str">
        <f t="shared" si="16"/>
        <v>Pereira</v>
      </c>
      <c r="AU153" s="7" t="str">
        <f t="shared" si="17"/>
        <v>20Pereira0</v>
      </c>
      <c r="AV153" t="str">
        <f>+_xlfn.XLOOKUP(AU153,CRUCE!I:I,CRUCE!M:M)</f>
        <v>READY</v>
      </c>
      <c r="AW153" t="s">
        <v>1907</v>
      </c>
      <c r="AX153">
        <f>+SUMIFS(CRUCE!C:C,CRUCE!A:A,D153,CRUCE!B:B,'2021'!H153)</f>
        <v>0</v>
      </c>
    </row>
    <row r="154" spans="1:50" x14ac:dyDescent="0.3">
      <c r="A154">
        <v>2021</v>
      </c>
      <c r="B154">
        <v>307</v>
      </c>
      <c r="C154">
        <v>1.102060090202E+35</v>
      </c>
      <c r="D154" s="5">
        <v>20</v>
      </c>
      <c r="E154" s="8" t="s">
        <v>340</v>
      </c>
      <c r="F154">
        <v>1.102060090202E+35</v>
      </c>
      <c r="G154" t="s">
        <v>1908</v>
      </c>
      <c r="H154" s="8" t="s">
        <v>341</v>
      </c>
      <c r="I154" t="s">
        <v>47</v>
      </c>
      <c r="J154" s="11">
        <v>298343</v>
      </c>
      <c r="K154" s="11">
        <v>298343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298343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7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2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t="s">
        <v>57</v>
      </c>
      <c r="AT154" s="4" t="str">
        <f t="shared" si="16"/>
        <v>Alcalá</v>
      </c>
      <c r="AU154" s="7" t="str">
        <f t="shared" si="17"/>
        <v>20Alcalá0</v>
      </c>
      <c r="AV154" t="str">
        <f>+_xlfn.XLOOKUP(AU154,CRUCE!I:I,CRUCE!M:M)</f>
        <v>READY</v>
      </c>
      <c r="AW154" t="s">
        <v>1907</v>
      </c>
      <c r="AX154">
        <f>+SUMIFS(CRUCE!C:C,CRUCE!A:A,D154,CRUCE!B:B,'2021'!H154)</f>
        <v>0</v>
      </c>
    </row>
    <row r="155" spans="1:50" x14ac:dyDescent="0.3">
      <c r="A155">
        <v>2021</v>
      </c>
      <c r="B155">
        <v>307</v>
      </c>
      <c r="C155">
        <v>1.102060090202E+35</v>
      </c>
      <c r="D155" s="5">
        <v>20</v>
      </c>
      <c r="E155" s="8" t="s">
        <v>342</v>
      </c>
      <c r="F155">
        <v>1.102060090202E+35</v>
      </c>
      <c r="G155" t="s">
        <v>1908</v>
      </c>
      <c r="H155" s="8" t="s">
        <v>343</v>
      </c>
      <c r="I155" t="s">
        <v>47</v>
      </c>
      <c r="J155" s="11">
        <v>15507165</v>
      </c>
      <c r="K155" s="11">
        <v>15507165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15507165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13032044</v>
      </c>
      <c r="Y155" s="11">
        <v>768359</v>
      </c>
      <c r="Z155" s="17">
        <v>12263685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13032044</v>
      </c>
      <c r="AH155" s="11">
        <v>768359</v>
      </c>
      <c r="AI155" s="12">
        <v>12263685</v>
      </c>
      <c r="AJ155" s="11">
        <v>12263685</v>
      </c>
      <c r="AK155" s="11">
        <v>0</v>
      </c>
      <c r="AL155" s="11">
        <v>0</v>
      </c>
      <c r="AM155" s="11">
        <v>12263685</v>
      </c>
      <c r="AN155" s="11">
        <v>13032044</v>
      </c>
      <c r="AO155" s="11">
        <v>768359</v>
      </c>
      <c r="AP155" s="11">
        <v>13032044</v>
      </c>
      <c r="AQ155" s="11">
        <v>0</v>
      </c>
      <c r="AR155" s="11">
        <v>768359</v>
      </c>
      <c r="AS155" t="s">
        <v>57</v>
      </c>
      <c r="AT155" s="4" t="str">
        <f t="shared" si="16"/>
        <v>Sevilla</v>
      </c>
      <c r="AU155" s="7" t="str">
        <f t="shared" si="17"/>
        <v>20Sevilla12263685</v>
      </c>
      <c r="AV155" t="str">
        <f>+_xlfn.XLOOKUP(AU155,CRUCE!I:I,CRUCE!M:M)</f>
        <v>READY</v>
      </c>
      <c r="AW155" t="s">
        <v>1907</v>
      </c>
      <c r="AX155">
        <f>+SUMIFS(CRUCE!C:C,CRUCE!A:A,D155,CRUCE!B:B,'2021'!H155)</f>
        <v>12263685</v>
      </c>
    </row>
    <row r="156" spans="1:50" x14ac:dyDescent="0.3">
      <c r="A156">
        <v>2021</v>
      </c>
      <c r="B156">
        <v>307</v>
      </c>
      <c r="C156">
        <v>110206011</v>
      </c>
      <c r="D156" s="5">
        <v>20</v>
      </c>
      <c r="E156" s="8" t="s">
        <v>344</v>
      </c>
      <c r="F156">
        <v>110206011</v>
      </c>
      <c r="G156" t="s">
        <v>1908</v>
      </c>
      <c r="H156" s="8" t="s">
        <v>345</v>
      </c>
      <c r="I156" t="s">
        <v>47</v>
      </c>
      <c r="J156" s="11">
        <v>26000000</v>
      </c>
      <c r="K156" s="11">
        <v>26000000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26000000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7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2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t="s">
        <v>57</v>
      </c>
      <c r="AT156" s="4" t="str">
        <f t="shared" si="16"/>
        <v>Indemnizaciones relacionadas con seguros no de vida</v>
      </c>
      <c r="AU156" s="7" t="str">
        <f t="shared" si="17"/>
        <v>20Indemnizaciones relacionadas con seguros no de vida0</v>
      </c>
      <c r="AV156" t="str">
        <f>+_xlfn.XLOOKUP(AU156,CRUCE!I:I,CRUCE!M:M)</f>
        <v>READY</v>
      </c>
      <c r="AW156" t="s">
        <v>1907</v>
      </c>
      <c r="AX156">
        <f>+SUMIFS(CRUCE!C:C,CRUCE!A:A,D156,CRUCE!B:B,'2021'!H156)</f>
        <v>0</v>
      </c>
    </row>
    <row r="157" spans="1:50" hidden="1" x14ac:dyDescent="0.3">
      <c r="A157">
        <v>2021</v>
      </c>
      <c r="B157">
        <v>307</v>
      </c>
      <c r="C157">
        <v>110207</v>
      </c>
      <c r="D157" s="5" t="s">
        <v>44</v>
      </c>
      <c r="E157" s="8" t="s">
        <v>346</v>
      </c>
      <c r="F157">
        <v>110207</v>
      </c>
      <c r="H157" s="8" t="s">
        <v>347</v>
      </c>
      <c r="I157" t="s">
        <v>47</v>
      </c>
      <c r="J157" s="11">
        <v>11893719077</v>
      </c>
      <c r="K157" s="11">
        <v>11893719077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11893719077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14159413289.059999</v>
      </c>
      <c r="Y157" s="11">
        <v>326534634</v>
      </c>
      <c r="Z157" s="17">
        <v>13832878655.059999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14159413289.059999</v>
      </c>
      <c r="AH157" s="11">
        <v>326534634</v>
      </c>
      <c r="AI157" s="12">
        <v>13832878655.059999</v>
      </c>
      <c r="AJ157" s="11">
        <v>13832878655.059999</v>
      </c>
      <c r="AK157" s="11">
        <v>0</v>
      </c>
      <c r="AL157" s="11">
        <v>0</v>
      </c>
      <c r="AM157" s="11">
        <v>13832878655.059999</v>
      </c>
      <c r="AN157" s="11">
        <v>14159413289.059999</v>
      </c>
      <c r="AO157" s="11">
        <v>326534634</v>
      </c>
      <c r="AP157" s="11">
        <v>14159413289.059999</v>
      </c>
      <c r="AQ157" s="11">
        <v>0</v>
      </c>
      <c r="AR157" s="11">
        <v>326534634</v>
      </c>
      <c r="AS157" t="s">
        <v>48</v>
      </c>
      <c r="AT157"/>
    </row>
    <row r="158" spans="1:50" hidden="1" x14ac:dyDescent="0.3">
      <c r="A158">
        <v>2021</v>
      </c>
      <c r="B158">
        <v>307</v>
      </c>
      <c r="C158">
        <v>110207002</v>
      </c>
      <c r="D158" s="5" t="s">
        <v>44</v>
      </c>
      <c r="E158" s="8" t="s">
        <v>348</v>
      </c>
      <c r="F158">
        <v>110207002</v>
      </c>
      <c r="H158" s="8" t="s">
        <v>349</v>
      </c>
      <c r="I158" t="s">
        <v>47</v>
      </c>
      <c r="J158" s="11">
        <v>11893719077</v>
      </c>
      <c r="K158" s="11">
        <v>11893719077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11893719077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14159413289.059999</v>
      </c>
      <c r="Y158" s="11">
        <v>326534634</v>
      </c>
      <c r="Z158" s="17">
        <v>13832878655.059999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14159413289.059999</v>
      </c>
      <c r="AH158" s="11">
        <v>326534634</v>
      </c>
      <c r="AI158" s="12">
        <v>13832878655.059999</v>
      </c>
      <c r="AJ158" s="11">
        <v>13832878655.059999</v>
      </c>
      <c r="AK158" s="11">
        <v>0</v>
      </c>
      <c r="AL158" s="11">
        <v>0</v>
      </c>
      <c r="AM158" s="11">
        <v>13832878655.059999</v>
      </c>
      <c r="AN158" s="11">
        <v>14159413289.059999</v>
      </c>
      <c r="AO158" s="11">
        <v>326534634</v>
      </c>
      <c r="AP158" s="11">
        <v>14159413289.059999</v>
      </c>
      <c r="AQ158" s="11">
        <v>0</v>
      </c>
      <c r="AR158" s="11">
        <v>326534634</v>
      </c>
      <c r="AS158" t="s">
        <v>48</v>
      </c>
      <c r="AT158"/>
    </row>
    <row r="159" spans="1:50" hidden="1" x14ac:dyDescent="0.3">
      <c r="A159">
        <v>2021</v>
      </c>
      <c r="B159">
        <v>307</v>
      </c>
      <c r="C159">
        <v>11020700201</v>
      </c>
      <c r="D159" s="5" t="s">
        <v>44</v>
      </c>
      <c r="E159" s="8" t="s">
        <v>350</v>
      </c>
      <c r="F159">
        <v>11020700201</v>
      </c>
      <c r="H159" s="8" t="s">
        <v>351</v>
      </c>
      <c r="I159" t="s">
        <v>47</v>
      </c>
      <c r="J159" s="11">
        <v>11893719077</v>
      </c>
      <c r="K159" s="11">
        <v>11893719077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11893719077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14159413289.059999</v>
      </c>
      <c r="Y159" s="11">
        <v>326534634</v>
      </c>
      <c r="Z159" s="17">
        <v>13832878655.059999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14159413289.059999</v>
      </c>
      <c r="AH159" s="11">
        <v>326534634</v>
      </c>
      <c r="AI159" s="12">
        <v>13832878655.059999</v>
      </c>
      <c r="AJ159" s="11">
        <v>13832878655.059999</v>
      </c>
      <c r="AK159" s="11">
        <v>0</v>
      </c>
      <c r="AL159" s="11">
        <v>0</v>
      </c>
      <c r="AM159" s="11">
        <v>13832878655.059999</v>
      </c>
      <c r="AN159" s="11">
        <v>14159413289.059999</v>
      </c>
      <c r="AO159" s="11">
        <v>326534634</v>
      </c>
      <c r="AP159" s="11">
        <v>14159413289.059999</v>
      </c>
      <c r="AQ159" s="11">
        <v>0</v>
      </c>
      <c r="AR159" s="11">
        <v>326534634</v>
      </c>
      <c r="AS159" t="s">
        <v>48</v>
      </c>
      <c r="AT159"/>
    </row>
    <row r="160" spans="1:50" hidden="1" x14ac:dyDescent="0.3">
      <c r="A160">
        <v>2021</v>
      </c>
      <c r="B160">
        <v>307</v>
      </c>
      <c r="C160">
        <v>1102070020102</v>
      </c>
      <c r="D160" s="5" t="s">
        <v>44</v>
      </c>
      <c r="E160" s="8" t="s">
        <v>352</v>
      </c>
      <c r="F160">
        <v>1102070020102</v>
      </c>
      <c r="H160" s="8" t="s">
        <v>353</v>
      </c>
      <c r="I160" t="s">
        <v>47</v>
      </c>
      <c r="J160" s="11">
        <v>611631082</v>
      </c>
      <c r="K160" s="11">
        <v>611631082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611631082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683552103.05999994</v>
      </c>
      <c r="Y160" s="11">
        <v>14462610</v>
      </c>
      <c r="Z160" s="17">
        <v>669089493.05999994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683552103.05999994</v>
      </c>
      <c r="AH160" s="11">
        <v>14462610</v>
      </c>
      <c r="AI160" s="12">
        <v>669089493.05999994</v>
      </c>
      <c r="AJ160" s="11">
        <v>669089493.05999994</v>
      </c>
      <c r="AK160" s="11">
        <v>0</v>
      </c>
      <c r="AL160" s="11">
        <v>0</v>
      </c>
      <c r="AM160" s="11">
        <v>669089493.05999994</v>
      </c>
      <c r="AN160" s="11">
        <v>683552103.05999994</v>
      </c>
      <c r="AO160" s="11">
        <v>14462610</v>
      </c>
      <c r="AP160" s="11">
        <v>683552103.05999994</v>
      </c>
      <c r="AQ160" s="11">
        <v>0</v>
      </c>
      <c r="AR160" s="11">
        <v>14462610</v>
      </c>
      <c r="AS160" t="s">
        <v>48</v>
      </c>
      <c r="AT160"/>
    </row>
    <row r="161" spans="1:50" hidden="1" x14ac:dyDescent="0.3">
      <c r="A161">
        <v>2021</v>
      </c>
      <c r="B161">
        <v>307</v>
      </c>
      <c r="C161">
        <v>110207002010201</v>
      </c>
      <c r="D161" s="5" t="s">
        <v>44</v>
      </c>
      <c r="E161" s="8" t="s">
        <v>354</v>
      </c>
      <c r="F161">
        <v>110207002010201</v>
      </c>
      <c r="H161" s="8" t="s">
        <v>355</v>
      </c>
      <c r="I161" t="s">
        <v>47</v>
      </c>
      <c r="J161" s="11">
        <v>611631082</v>
      </c>
      <c r="K161" s="11">
        <v>611631082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611631082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683552103.05999994</v>
      </c>
      <c r="Y161" s="11">
        <v>14462610</v>
      </c>
      <c r="Z161" s="17">
        <v>669089493.05999994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683552103.05999994</v>
      </c>
      <c r="AH161" s="11">
        <v>14462610</v>
      </c>
      <c r="AI161" s="12">
        <v>669089493.05999994</v>
      </c>
      <c r="AJ161" s="11">
        <v>669089493.05999994</v>
      </c>
      <c r="AK161" s="11">
        <v>0</v>
      </c>
      <c r="AL161" s="11">
        <v>0</v>
      </c>
      <c r="AM161" s="11">
        <v>669089493.05999994</v>
      </c>
      <c r="AN161" s="11">
        <v>683552103.05999994</v>
      </c>
      <c r="AO161" s="11">
        <v>14462610</v>
      </c>
      <c r="AP161" s="11">
        <v>683552103.05999994</v>
      </c>
      <c r="AQ161" s="11">
        <v>0</v>
      </c>
      <c r="AR161" s="11">
        <v>14462610</v>
      </c>
      <c r="AS161" t="s">
        <v>48</v>
      </c>
      <c r="AT161"/>
    </row>
    <row r="162" spans="1:50" x14ac:dyDescent="0.3">
      <c r="A162">
        <v>2021</v>
      </c>
      <c r="B162">
        <v>307</v>
      </c>
      <c r="C162">
        <v>1.1020700201020099E+17</v>
      </c>
      <c r="D162" s="5">
        <v>179</v>
      </c>
      <c r="E162" s="8" t="s">
        <v>356</v>
      </c>
      <c r="F162">
        <v>1.1020700201020099E+17</v>
      </c>
      <c r="G162" t="s">
        <v>1908</v>
      </c>
      <c r="H162" s="8" t="s">
        <v>355</v>
      </c>
      <c r="I162" t="s">
        <v>47</v>
      </c>
      <c r="J162" s="11">
        <v>611631082</v>
      </c>
      <c r="K162" s="11">
        <v>611631082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611631082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683552103.05999994</v>
      </c>
      <c r="Y162" s="11">
        <v>14462610</v>
      </c>
      <c r="Z162" s="17">
        <v>669089493.05999994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683552103.05999994</v>
      </c>
      <c r="AH162" s="11">
        <v>14462610</v>
      </c>
      <c r="AI162" s="12">
        <v>669089493.05999994</v>
      </c>
      <c r="AJ162" s="11">
        <v>669089493.05999994</v>
      </c>
      <c r="AK162" s="11">
        <v>0</v>
      </c>
      <c r="AL162" s="11">
        <v>0</v>
      </c>
      <c r="AM162" s="11">
        <v>669089493.05999994</v>
      </c>
      <c r="AN162" s="11">
        <v>683552103.05999994</v>
      </c>
      <c r="AO162" s="11">
        <v>14462610</v>
      </c>
      <c r="AP162" s="11">
        <v>683552103.05999994</v>
      </c>
      <c r="AQ162" s="11">
        <v>0</v>
      </c>
      <c r="AR162" s="11">
        <v>14462610</v>
      </c>
      <c r="AS162" t="s">
        <v>357</v>
      </c>
      <c r="AT162" s="4" t="str">
        <f>+H162</f>
        <v>Derechos de monopolio por la introducción de licores destilados de producción nacional</v>
      </c>
      <c r="AU162" s="7" t="str">
        <f>+$D162&amp;$AT162&amp;Z162</f>
        <v>179Derechos de monopolio por la introducción de licores destilados de producción nacional669089493,06</v>
      </c>
      <c r="AV162" t="str">
        <f>+_xlfn.XLOOKUP(AU162,CRUCE!I:I,CRUCE!M:M)</f>
        <v>READY</v>
      </c>
      <c r="AW162" t="s">
        <v>1907</v>
      </c>
      <c r="AX162">
        <f>+SUMIFS(CRUCE!C:C,CRUCE!A:A,D162,CRUCE!B:B,'2021'!H162)</f>
        <v>669089493.05999994</v>
      </c>
    </row>
    <row r="163" spans="1:50" hidden="1" x14ac:dyDescent="0.3">
      <c r="A163">
        <v>2021</v>
      </c>
      <c r="B163">
        <v>307</v>
      </c>
      <c r="C163">
        <v>1102070020103</v>
      </c>
      <c r="D163" s="5" t="s">
        <v>44</v>
      </c>
      <c r="E163" s="8" t="s">
        <v>358</v>
      </c>
      <c r="F163">
        <v>1102070020103</v>
      </c>
      <c r="H163" s="8" t="s">
        <v>359</v>
      </c>
      <c r="I163" t="s">
        <v>47</v>
      </c>
      <c r="J163" s="11">
        <v>11282087995</v>
      </c>
      <c r="K163" s="11">
        <v>11282087995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11282087995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13475861186</v>
      </c>
      <c r="Y163" s="11">
        <v>312072024</v>
      </c>
      <c r="Z163" s="17">
        <v>13163789162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13475861186</v>
      </c>
      <c r="AH163" s="11">
        <v>312072024</v>
      </c>
      <c r="AI163" s="12">
        <v>13163789162</v>
      </c>
      <c r="AJ163" s="11">
        <v>13163789162</v>
      </c>
      <c r="AK163" s="11">
        <v>0</v>
      </c>
      <c r="AL163" s="11">
        <v>0</v>
      </c>
      <c r="AM163" s="11">
        <v>13163789162</v>
      </c>
      <c r="AN163" s="11">
        <v>13475861186</v>
      </c>
      <c r="AO163" s="11">
        <v>312072024</v>
      </c>
      <c r="AP163" s="11">
        <v>13475861186</v>
      </c>
      <c r="AQ163" s="11">
        <v>0</v>
      </c>
      <c r="AR163" s="11">
        <v>312072024</v>
      </c>
      <c r="AS163" t="s">
        <v>48</v>
      </c>
      <c r="AT163"/>
    </row>
    <row r="164" spans="1:50" hidden="1" x14ac:dyDescent="0.3">
      <c r="A164">
        <v>2021</v>
      </c>
      <c r="B164">
        <v>307</v>
      </c>
      <c r="C164">
        <v>110207002010302</v>
      </c>
      <c r="D164" s="5" t="s">
        <v>44</v>
      </c>
      <c r="E164" s="8" t="s">
        <v>360</v>
      </c>
      <c r="F164">
        <v>110207002010302</v>
      </c>
      <c r="H164" s="8" t="s">
        <v>361</v>
      </c>
      <c r="I164" t="s">
        <v>47</v>
      </c>
      <c r="J164" s="11">
        <v>11282087995</v>
      </c>
      <c r="K164" s="11">
        <v>11282087995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11282087995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13475861186</v>
      </c>
      <c r="Y164" s="11">
        <v>312072024</v>
      </c>
      <c r="Z164" s="17">
        <v>13163789162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13475861186</v>
      </c>
      <c r="AH164" s="11">
        <v>312072024</v>
      </c>
      <c r="AI164" s="12">
        <v>13163789162</v>
      </c>
      <c r="AJ164" s="11">
        <v>13163789162</v>
      </c>
      <c r="AK164" s="11">
        <v>0</v>
      </c>
      <c r="AL164" s="11">
        <v>0</v>
      </c>
      <c r="AM164" s="11">
        <v>13163789162</v>
      </c>
      <c r="AN164" s="11">
        <v>13475861186</v>
      </c>
      <c r="AO164" s="11">
        <v>312072024</v>
      </c>
      <c r="AP164" s="11">
        <v>13475861186</v>
      </c>
      <c r="AQ164" s="11">
        <v>0</v>
      </c>
      <c r="AR164" s="11">
        <v>312072024</v>
      </c>
      <c r="AS164" t="s">
        <v>48</v>
      </c>
      <c r="AT164"/>
    </row>
    <row r="165" spans="1:50" x14ac:dyDescent="0.3">
      <c r="A165">
        <v>2021</v>
      </c>
      <c r="B165">
        <v>307</v>
      </c>
      <c r="C165">
        <v>1.10207002010302E+17</v>
      </c>
      <c r="D165" s="5">
        <v>20</v>
      </c>
      <c r="E165" s="8" t="s">
        <v>362</v>
      </c>
      <c r="F165">
        <v>1.10207002010302E+17</v>
      </c>
      <c r="G165" t="s">
        <v>1908</v>
      </c>
      <c r="H165" s="8" t="s">
        <v>363</v>
      </c>
      <c r="I165" t="s">
        <v>47</v>
      </c>
      <c r="J165" s="11">
        <v>9577110505</v>
      </c>
      <c r="K165" s="11">
        <v>9577110505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9577110505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11439571930.91</v>
      </c>
      <c r="Y165" s="11">
        <v>265127668.03999999</v>
      </c>
      <c r="Z165" s="17">
        <v>11174444262.870001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11439571930.91</v>
      </c>
      <c r="AH165" s="11">
        <v>265127668.03999999</v>
      </c>
      <c r="AI165" s="12">
        <v>11174444262.870001</v>
      </c>
      <c r="AJ165" s="11">
        <v>11174444262.870001</v>
      </c>
      <c r="AK165" s="11">
        <v>0</v>
      </c>
      <c r="AL165" s="11">
        <v>0</v>
      </c>
      <c r="AM165" s="11">
        <v>11174444262.870001</v>
      </c>
      <c r="AN165" s="11">
        <v>11439571930.91</v>
      </c>
      <c r="AO165" s="11">
        <v>265127668.03999999</v>
      </c>
      <c r="AP165" s="11">
        <v>11439571930.91</v>
      </c>
      <c r="AQ165" s="11">
        <v>0</v>
      </c>
      <c r="AR165" s="11">
        <v>265127668.03999999</v>
      </c>
      <c r="AS165" t="s">
        <v>57</v>
      </c>
      <c r="AT165" s="4" t="str">
        <f>+H165</f>
        <v>Participación por el consumo de licores destilados introducidos de producción nacional</v>
      </c>
      <c r="AU165" s="7" t="str">
        <f t="shared" ref="AU165:AU166" si="18">+$D165&amp;$AT165&amp;Z165</f>
        <v>20Participación por el consumo de licores destilados introducidos de producción nacional11174444262,87</v>
      </c>
      <c r="AV165" t="e">
        <f>+_xlfn.XLOOKUP(AU165,CRUCE!I:I,CRUCE!M:M)</f>
        <v>#N/A</v>
      </c>
      <c r="AW165" t="s">
        <v>1907</v>
      </c>
      <c r="AX165">
        <f>+SUMIFS(CRUCE!C:C,CRUCE!A:A,D165,CRUCE!B:B,'2021'!H165)</f>
        <v>11175268390.690001</v>
      </c>
    </row>
    <row r="166" spans="1:50" x14ac:dyDescent="0.3">
      <c r="A166">
        <v>2021</v>
      </c>
      <c r="B166">
        <v>307</v>
      </c>
      <c r="C166">
        <v>1.10207002010302E+17</v>
      </c>
      <c r="D166" s="5">
        <v>35</v>
      </c>
      <c r="E166" s="8" t="s">
        <v>364</v>
      </c>
      <c r="F166">
        <v>1.10207002010302E+17</v>
      </c>
      <c r="G166" t="s">
        <v>1908</v>
      </c>
      <c r="H166" s="8" t="s">
        <v>363</v>
      </c>
      <c r="I166" t="s">
        <v>47</v>
      </c>
      <c r="J166" s="11">
        <v>1704977490</v>
      </c>
      <c r="K166" s="11">
        <v>1704977490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1704977490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2036289255.0899999</v>
      </c>
      <c r="Y166" s="11">
        <v>46944355.960000001</v>
      </c>
      <c r="Z166" s="17">
        <v>1989344899.1300001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2036289255.0899999</v>
      </c>
      <c r="AH166" s="11">
        <v>46944355.960000001</v>
      </c>
      <c r="AI166" s="12">
        <v>1989344899.1300001</v>
      </c>
      <c r="AJ166" s="11">
        <v>1989344899.1300001</v>
      </c>
      <c r="AK166" s="11">
        <v>0</v>
      </c>
      <c r="AL166" s="11">
        <v>0</v>
      </c>
      <c r="AM166" s="11">
        <v>1989344899.1300001</v>
      </c>
      <c r="AN166" s="11">
        <v>2036289255.0899999</v>
      </c>
      <c r="AO166" s="11">
        <v>46944355.960000001</v>
      </c>
      <c r="AP166" s="11">
        <v>2036289255.0899999</v>
      </c>
      <c r="AQ166" s="11">
        <v>0</v>
      </c>
      <c r="AR166" s="11">
        <v>46944355.960000001</v>
      </c>
      <c r="AS166" t="s">
        <v>365</v>
      </c>
      <c r="AT166" s="4" t="str">
        <f>+H166</f>
        <v>Participación por el consumo de licores destilados introducidos de producción nacional</v>
      </c>
      <c r="AU166" s="7" t="str">
        <f t="shared" si="18"/>
        <v>35Participación por el consumo de licores destilados introducidos de producción nacional1989344899,13</v>
      </c>
      <c r="AV166" t="e">
        <f>+_xlfn.XLOOKUP(AU166,CRUCE!I:I,CRUCE!M:M)</f>
        <v>#N/A</v>
      </c>
      <c r="AW166" t="s">
        <v>1907</v>
      </c>
      <c r="AX166">
        <f>+SUMIFS(CRUCE!C:C,CRUCE!A:A,D166,CRUCE!B:B,'2021'!H166)</f>
        <v>1989494714.3000002</v>
      </c>
    </row>
    <row r="167" spans="1:50" hidden="1" x14ac:dyDescent="0.3">
      <c r="A167">
        <v>2021</v>
      </c>
      <c r="B167">
        <v>307</v>
      </c>
      <c r="C167">
        <v>12</v>
      </c>
      <c r="D167" s="5" t="s">
        <v>44</v>
      </c>
      <c r="E167" s="8" t="s">
        <v>366</v>
      </c>
      <c r="F167">
        <v>12</v>
      </c>
      <c r="H167" s="8" t="s">
        <v>367</v>
      </c>
      <c r="I167" t="s">
        <v>47</v>
      </c>
      <c r="J167" s="11">
        <v>8512129364</v>
      </c>
      <c r="K167" s="11">
        <v>8512129364</v>
      </c>
      <c r="L167" s="11">
        <v>38654967229.860001</v>
      </c>
      <c r="M167" s="11">
        <v>0</v>
      </c>
      <c r="N167" s="11">
        <v>38654967229.860001</v>
      </c>
      <c r="O167" s="11">
        <v>38654967229.860001</v>
      </c>
      <c r="P167" s="11">
        <v>0</v>
      </c>
      <c r="Q167" s="11">
        <v>47167096593.860001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47970466472.769997</v>
      </c>
      <c r="Y167" s="11">
        <v>712724607.95000005</v>
      </c>
      <c r="Z167" s="17">
        <v>47257741864.82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47970466472.769997</v>
      </c>
      <c r="AH167" s="11">
        <v>712724607.95000005</v>
      </c>
      <c r="AI167" s="12">
        <v>47257741864.82</v>
      </c>
      <c r="AJ167" s="11">
        <v>47257741864.82</v>
      </c>
      <c r="AK167" s="11">
        <v>38099344723.860001</v>
      </c>
      <c r="AL167" s="11">
        <v>38099344723.860001</v>
      </c>
      <c r="AM167" s="11">
        <v>9778097265.4200001</v>
      </c>
      <c r="AN167" s="11">
        <v>9871121748.9099998</v>
      </c>
      <c r="AO167" s="11">
        <v>93024483.489999995</v>
      </c>
      <c r="AP167" s="11">
        <v>9871121748.9099998</v>
      </c>
      <c r="AQ167" s="11">
        <v>0</v>
      </c>
      <c r="AR167" s="11">
        <v>93024483.489999995</v>
      </c>
      <c r="AS167" t="s">
        <v>48</v>
      </c>
      <c r="AT167"/>
    </row>
    <row r="168" spans="1:50" hidden="1" x14ac:dyDescent="0.3">
      <c r="A168">
        <v>2021</v>
      </c>
      <c r="B168">
        <v>307</v>
      </c>
      <c r="C168">
        <v>1202</v>
      </c>
      <c r="D168" s="5" t="s">
        <v>44</v>
      </c>
      <c r="E168" s="8" t="s">
        <v>368</v>
      </c>
      <c r="F168">
        <v>1202</v>
      </c>
      <c r="H168" s="8" t="s">
        <v>369</v>
      </c>
      <c r="I168" t="s">
        <v>47</v>
      </c>
      <c r="J168" s="11">
        <v>237442518</v>
      </c>
      <c r="K168" s="11">
        <v>237442518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237442518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99567346</v>
      </c>
      <c r="Y168" s="11">
        <v>63362437</v>
      </c>
      <c r="Z168" s="17">
        <v>36204909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99567346</v>
      </c>
      <c r="AH168" s="11">
        <v>63362437</v>
      </c>
      <c r="AI168" s="12">
        <v>36204909</v>
      </c>
      <c r="AJ168" s="11">
        <v>36204909</v>
      </c>
      <c r="AK168" s="11">
        <v>0</v>
      </c>
      <c r="AL168" s="11">
        <v>0</v>
      </c>
      <c r="AM168" s="11">
        <v>99567346</v>
      </c>
      <c r="AN168" s="11">
        <v>99567346</v>
      </c>
      <c r="AO168" s="11">
        <v>0</v>
      </c>
      <c r="AP168" s="11">
        <v>99567346</v>
      </c>
      <c r="AQ168" s="11">
        <v>0</v>
      </c>
      <c r="AR168" s="11">
        <v>0</v>
      </c>
      <c r="AS168" t="s">
        <v>48</v>
      </c>
      <c r="AT168"/>
    </row>
    <row r="169" spans="1:50" x14ac:dyDescent="0.3">
      <c r="A169">
        <v>2021</v>
      </c>
      <c r="B169">
        <v>307</v>
      </c>
      <c r="C169">
        <v>120201</v>
      </c>
      <c r="D169" s="5">
        <v>20</v>
      </c>
      <c r="E169" s="8" t="s">
        <v>370</v>
      </c>
      <c r="F169">
        <v>120201</v>
      </c>
      <c r="G169" t="s">
        <v>1908</v>
      </c>
      <c r="H169" s="8" t="s">
        <v>371</v>
      </c>
      <c r="I169" t="s">
        <v>47</v>
      </c>
      <c r="J169" s="11">
        <v>237442518</v>
      </c>
      <c r="K169" s="11">
        <v>237442518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237442518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99567346</v>
      </c>
      <c r="Y169" s="11">
        <v>63362437</v>
      </c>
      <c r="Z169" s="17">
        <v>36204909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99567346</v>
      </c>
      <c r="AH169" s="11">
        <v>63362437</v>
      </c>
      <c r="AI169" s="12">
        <v>36204909</v>
      </c>
      <c r="AJ169" s="11">
        <v>36204909</v>
      </c>
      <c r="AK169" s="11">
        <v>0</v>
      </c>
      <c r="AL169" s="11">
        <v>0</v>
      </c>
      <c r="AM169" s="11">
        <v>99567346</v>
      </c>
      <c r="AN169" s="11">
        <v>99567346</v>
      </c>
      <c r="AO169" s="11">
        <v>0</v>
      </c>
      <c r="AP169" s="11">
        <v>99567346</v>
      </c>
      <c r="AQ169" s="11">
        <v>0</v>
      </c>
      <c r="AR169" s="11">
        <v>0</v>
      </c>
      <c r="AS169" t="s">
        <v>57</v>
      </c>
      <c r="AT169" s="4" t="str">
        <f>+H169</f>
        <v>Establecimientos públicos</v>
      </c>
      <c r="AU169" s="7" t="str">
        <f>+$D169&amp;$AT169&amp;Z169</f>
        <v>20Establecimientos públicos36204909</v>
      </c>
      <c r="AV169" t="str">
        <f>+_xlfn.XLOOKUP(AU169,CRUCE!I:I,CRUCE!M:M)</f>
        <v>READY</v>
      </c>
      <c r="AW169" t="s">
        <v>1907</v>
      </c>
      <c r="AX169">
        <f>+SUMIFS(CRUCE!C:C,CRUCE!A:A,D169,CRUCE!B:B,'2021'!H169)</f>
        <v>36204909</v>
      </c>
    </row>
    <row r="170" spans="1:50" hidden="1" x14ac:dyDescent="0.3">
      <c r="A170">
        <v>2021</v>
      </c>
      <c r="B170">
        <v>307</v>
      </c>
      <c r="C170">
        <v>1203</v>
      </c>
      <c r="D170" s="5" t="s">
        <v>44</v>
      </c>
      <c r="E170" s="8" t="s">
        <v>372</v>
      </c>
      <c r="F170">
        <v>1203</v>
      </c>
      <c r="H170" s="8" t="s">
        <v>373</v>
      </c>
      <c r="I170" t="s">
        <v>47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63362437</v>
      </c>
      <c r="Y170" s="11">
        <v>0</v>
      </c>
      <c r="Z170" s="17">
        <v>63362437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63362437</v>
      </c>
      <c r="AH170" s="11">
        <v>0</v>
      </c>
      <c r="AI170" s="12">
        <v>63362437</v>
      </c>
      <c r="AJ170" s="11">
        <v>63362437</v>
      </c>
      <c r="AK170" s="11">
        <v>0</v>
      </c>
      <c r="AL170" s="11">
        <v>0</v>
      </c>
      <c r="AM170" s="11">
        <v>63362437</v>
      </c>
      <c r="AN170" s="11">
        <v>63362437</v>
      </c>
      <c r="AO170" s="11">
        <v>0</v>
      </c>
      <c r="AP170" s="11">
        <v>63362437</v>
      </c>
      <c r="AQ170" s="11">
        <v>0</v>
      </c>
      <c r="AR170" s="11">
        <v>0</v>
      </c>
      <c r="AS170" t="s">
        <v>48</v>
      </c>
      <c r="AT170"/>
    </row>
    <row r="171" spans="1:50" hidden="1" x14ac:dyDescent="0.3">
      <c r="A171">
        <v>2021</v>
      </c>
      <c r="B171">
        <v>307</v>
      </c>
      <c r="C171">
        <v>120303</v>
      </c>
      <c r="D171" s="5" t="s">
        <v>44</v>
      </c>
      <c r="E171" s="8" t="s">
        <v>374</v>
      </c>
      <c r="F171">
        <v>120303</v>
      </c>
      <c r="H171" s="8" t="s">
        <v>375</v>
      </c>
      <c r="I171" t="s">
        <v>47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63362437</v>
      </c>
      <c r="Y171" s="11">
        <v>0</v>
      </c>
      <c r="Z171" s="17">
        <v>63362437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63362437</v>
      </c>
      <c r="AH171" s="11">
        <v>0</v>
      </c>
      <c r="AI171" s="12">
        <v>63362437</v>
      </c>
      <c r="AJ171" s="11">
        <v>63362437</v>
      </c>
      <c r="AK171" s="11">
        <v>0</v>
      </c>
      <c r="AL171" s="11">
        <v>0</v>
      </c>
      <c r="AM171" s="11">
        <v>63362437</v>
      </c>
      <c r="AN171" s="11">
        <v>63362437</v>
      </c>
      <c r="AO171" s="11">
        <v>0</v>
      </c>
      <c r="AP171" s="11">
        <v>63362437</v>
      </c>
      <c r="AQ171" s="11">
        <v>0</v>
      </c>
      <c r="AR171" s="11">
        <v>0</v>
      </c>
      <c r="AS171" t="s">
        <v>48</v>
      </c>
      <c r="AT171"/>
    </row>
    <row r="172" spans="1:50" x14ac:dyDescent="0.3">
      <c r="A172">
        <v>2021</v>
      </c>
      <c r="B172">
        <v>307</v>
      </c>
      <c r="C172">
        <v>120303001</v>
      </c>
      <c r="D172" s="5">
        <v>20</v>
      </c>
      <c r="E172" s="8" t="s">
        <v>376</v>
      </c>
      <c r="F172">
        <v>120303001</v>
      </c>
      <c r="G172" t="s">
        <v>1908</v>
      </c>
      <c r="H172" s="8" t="s">
        <v>377</v>
      </c>
      <c r="I172" t="s">
        <v>47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63362437</v>
      </c>
      <c r="Y172" s="11">
        <v>0</v>
      </c>
      <c r="Z172" s="17">
        <v>63362437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63362437</v>
      </c>
      <c r="AH172" s="11">
        <v>0</v>
      </c>
      <c r="AI172" s="12">
        <v>63362437</v>
      </c>
      <c r="AJ172" s="11">
        <v>63362437</v>
      </c>
      <c r="AK172" s="11">
        <v>0</v>
      </c>
      <c r="AL172" s="11">
        <v>0</v>
      </c>
      <c r="AM172" s="11">
        <v>63362437</v>
      </c>
      <c r="AN172" s="11">
        <v>63362437</v>
      </c>
      <c r="AO172" s="11">
        <v>0</v>
      </c>
      <c r="AP172" s="11">
        <v>63362437</v>
      </c>
      <c r="AQ172" s="11">
        <v>0</v>
      </c>
      <c r="AR172" s="11">
        <v>0</v>
      </c>
      <c r="AS172" t="s">
        <v>57</v>
      </c>
      <c r="AT172" s="4" t="str">
        <f>+H172</f>
        <v>Terminal de Transportes de Armenia</v>
      </c>
      <c r="AU172" s="7" t="str">
        <f>+$D172&amp;$AT172&amp;Z172</f>
        <v>20Terminal de Transportes de Armenia63362437</v>
      </c>
      <c r="AV172" t="e">
        <f>+_xlfn.XLOOKUP(AU172,CRUCE!I:I,CRUCE!M:M)</f>
        <v>#N/A</v>
      </c>
      <c r="AW172" t="s">
        <v>1907</v>
      </c>
      <c r="AX172">
        <f>+SUMIFS(CRUCE!C:C,CRUCE!A:A,D172,CRUCE!B:B,'2021'!H172)</f>
        <v>63371376.450000003</v>
      </c>
    </row>
    <row r="173" spans="1:50" hidden="1" x14ac:dyDescent="0.3">
      <c r="A173">
        <v>2021</v>
      </c>
      <c r="B173">
        <v>307</v>
      </c>
      <c r="C173">
        <v>1205</v>
      </c>
      <c r="D173" s="5" t="s">
        <v>44</v>
      </c>
      <c r="E173" s="8" t="s">
        <v>378</v>
      </c>
      <c r="F173">
        <v>1205</v>
      </c>
      <c r="H173" s="8" t="s">
        <v>379</v>
      </c>
      <c r="I173" t="s">
        <v>47</v>
      </c>
      <c r="J173" s="11">
        <v>778657488</v>
      </c>
      <c r="K173" s="11">
        <v>778657488</v>
      </c>
      <c r="L173" s="11">
        <v>551405237</v>
      </c>
      <c r="M173" s="11">
        <v>0</v>
      </c>
      <c r="N173" s="11">
        <v>551405237</v>
      </c>
      <c r="O173" s="11">
        <v>551405237</v>
      </c>
      <c r="P173" s="11">
        <v>0</v>
      </c>
      <c r="Q173" s="11">
        <v>1330062725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984395145.57000005</v>
      </c>
      <c r="Y173" s="11">
        <v>2629335.9500000002</v>
      </c>
      <c r="Z173" s="17">
        <v>981765809.62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984395145.57000005</v>
      </c>
      <c r="AH173" s="11">
        <v>2629335.9500000002</v>
      </c>
      <c r="AI173" s="12">
        <v>981765809.62</v>
      </c>
      <c r="AJ173" s="11">
        <v>981765809.62</v>
      </c>
      <c r="AK173" s="11">
        <v>0</v>
      </c>
      <c r="AL173" s="11">
        <v>0</v>
      </c>
      <c r="AM173" s="11">
        <v>984227804.08000004</v>
      </c>
      <c r="AN173" s="11">
        <v>984395145.57000005</v>
      </c>
      <c r="AO173" s="11">
        <v>167341.49</v>
      </c>
      <c r="AP173" s="11">
        <v>984395145.57000005</v>
      </c>
      <c r="AQ173" s="11">
        <v>0</v>
      </c>
      <c r="AR173" s="11">
        <v>167341.49</v>
      </c>
      <c r="AS173" t="s">
        <v>48</v>
      </c>
      <c r="AT173"/>
    </row>
    <row r="174" spans="1:50" hidden="1" x14ac:dyDescent="0.3">
      <c r="A174">
        <v>2021</v>
      </c>
      <c r="B174">
        <v>307</v>
      </c>
      <c r="C174">
        <v>120502</v>
      </c>
      <c r="D174" s="5" t="s">
        <v>44</v>
      </c>
      <c r="E174" s="8" t="s">
        <v>380</v>
      </c>
      <c r="F174">
        <v>120502</v>
      </c>
      <c r="H174" s="8" t="s">
        <v>381</v>
      </c>
      <c r="I174" t="s">
        <v>47</v>
      </c>
      <c r="J174" s="11">
        <v>778657488</v>
      </c>
      <c r="K174" s="11">
        <v>778657488</v>
      </c>
      <c r="L174" s="11">
        <v>551405237</v>
      </c>
      <c r="M174" s="11">
        <v>0</v>
      </c>
      <c r="N174" s="11">
        <v>551405237</v>
      </c>
      <c r="O174" s="11">
        <v>551405237</v>
      </c>
      <c r="P174" s="11">
        <v>0</v>
      </c>
      <c r="Q174" s="11">
        <v>1330062725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984395145.57000005</v>
      </c>
      <c r="Y174" s="11">
        <v>2629335.9500000002</v>
      </c>
      <c r="Z174" s="17">
        <v>981765809.62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984395145.57000005</v>
      </c>
      <c r="AH174" s="11">
        <v>2629335.9500000002</v>
      </c>
      <c r="AI174" s="12">
        <v>981765809.62</v>
      </c>
      <c r="AJ174" s="11">
        <v>981765809.62</v>
      </c>
      <c r="AK174" s="11">
        <v>0</v>
      </c>
      <c r="AL174" s="11">
        <v>0</v>
      </c>
      <c r="AM174" s="11">
        <v>984227804.08000004</v>
      </c>
      <c r="AN174" s="11">
        <v>984395145.57000005</v>
      </c>
      <c r="AO174" s="11">
        <v>167341.49</v>
      </c>
      <c r="AP174" s="11">
        <v>984395145.57000005</v>
      </c>
      <c r="AQ174" s="11">
        <v>0</v>
      </c>
      <c r="AR174" s="11">
        <v>167341.49</v>
      </c>
      <c r="AS174" t="s">
        <v>48</v>
      </c>
      <c r="AT174"/>
    </row>
    <row r="175" spans="1:50" hidden="1" x14ac:dyDescent="0.3">
      <c r="A175">
        <v>2021</v>
      </c>
      <c r="B175">
        <v>307</v>
      </c>
      <c r="C175">
        <v>120502001</v>
      </c>
      <c r="D175" s="5" t="s">
        <v>44</v>
      </c>
      <c r="E175" s="8" t="s">
        <v>382</v>
      </c>
      <c r="F175">
        <v>120502001</v>
      </c>
      <c r="H175" s="8" t="s">
        <v>46</v>
      </c>
      <c r="I175" t="s">
        <v>47</v>
      </c>
      <c r="J175" s="11">
        <v>778657488</v>
      </c>
      <c r="K175" s="11">
        <v>778657488</v>
      </c>
      <c r="L175" s="11">
        <v>551405237</v>
      </c>
      <c r="M175" s="11">
        <v>0</v>
      </c>
      <c r="N175" s="11">
        <v>551405237</v>
      </c>
      <c r="O175" s="11">
        <v>551405237</v>
      </c>
      <c r="P175" s="11">
        <v>0</v>
      </c>
      <c r="Q175" s="11">
        <v>1330062725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984395145.57000005</v>
      </c>
      <c r="Y175" s="11">
        <v>2629335.9500000002</v>
      </c>
      <c r="Z175" s="17">
        <v>981765809.62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984395145.57000005</v>
      </c>
      <c r="AH175" s="11">
        <v>2629335.9500000002</v>
      </c>
      <c r="AI175" s="12">
        <v>981765809.62</v>
      </c>
      <c r="AJ175" s="11">
        <v>981765809.62</v>
      </c>
      <c r="AK175" s="11">
        <v>0</v>
      </c>
      <c r="AL175" s="11">
        <v>0</v>
      </c>
      <c r="AM175" s="11">
        <v>984227804.08000004</v>
      </c>
      <c r="AN175" s="11">
        <v>984395145.57000005</v>
      </c>
      <c r="AO175" s="11">
        <v>167341.49</v>
      </c>
      <c r="AP175" s="11">
        <v>984395145.57000005</v>
      </c>
      <c r="AQ175" s="11">
        <v>0</v>
      </c>
      <c r="AR175" s="11">
        <v>167341.49</v>
      </c>
      <c r="AS175" t="s">
        <v>48</v>
      </c>
      <c r="AT175"/>
    </row>
    <row r="176" spans="1:50" hidden="1" x14ac:dyDescent="0.3">
      <c r="A176">
        <v>2021</v>
      </c>
      <c r="B176">
        <v>307</v>
      </c>
      <c r="C176">
        <v>12050200101</v>
      </c>
      <c r="D176" s="5" t="s">
        <v>44</v>
      </c>
      <c r="E176" s="8" t="s">
        <v>383</v>
      </c>
      <c r="F176">
        <v>12050200101</v>
      </c>
      <c r="H176" s="8" t="s">
        <v>50</v>
      </c>
      <c r="I176" t="s">
        <v>47</v>
      </c>
      <c r="J176" s="11">
        <v>778657488</v>
      </c>
      <c r="K176" s="11">
        <v>778657488</v>
      </c>
      <c r="L176" s="11">
        <v>551405237</v>
      </c>
      <c r="M176" s="11">
        <v>0</v>
      </c>
      <c r="N176" s="11">
        <v>551405237</v>
      </c>
      <c r="O176" s="11">
        <v>551405237</v>
      </c>
      <c r="P176" s="11">
        <v>0</v>
      </c>
      <c r="Q176" s="11">
        <v>1330062725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984395145.57000005</v>
      </c>
      <c r="Y176" s="11">
        <v>2629335.9500000002</v>
      </c>
      <c r="Z176" s="17">
        <v>981765809.62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984395145.57000005</v>
      </c>
      <c r="AH176" s="11">
        <v>2629335.9500000002</v>
      </c>
      <c r="AI176" s="12">
        <v>981765809.62</v>
      </c>
      <c r="AJ176" s="11">
        <v>981765809.62</v>
      </c>
      <c r="AK176" s="11">
        <v>0</v>
      </c>
      <c r="AL176" s="11">
        <v>0</v>
      </c>
      <c r="AM176" s="11">
        <v>984227804.08000004</v>
      </c>
      <c r="AN176" s="11">
        <v>984395145.57000005</v>
      </c>
      <c r="AO176" s="11">
        <v>167341.49</v>
      </c>
      <c r="AP176" s="11">
        <v>984395145.57000005</v>
      </c>
      <c r="AQ176" s="11">
        <v>0</v>
      </c>
      <c r="AR176" s="11">
        <v>167341.49</v>
      </c>
      <c r="AS176" t="s">
        <v>48</v>
      </c>
      <c r="AT176"/>
    </row>
    <row r="177" spans="1:50" hidden="1" x14ac:dyDescent="0.3">
      <c r="A177">
        <v>2021</v>
      </c>
      <c r="B177">
        <v>307</v>
      </c>
      <c r="C177">
        <v>1205020010101</v>
      </c>
      <c r="D177" s="5" t="s">
        <v>44</v>
      </c>
      <c r="E177" s="8" t="s">
        <v>384</v>
      </c>
      <c r="F177">
        <v>1205020010101</v>
      </c>
      <c r="H177" s="8" t="s">
        <v>52</v>
      </c>
      <c r="I177" t="s">
        <v>47</v>
      </c>
      <c r="J177" s="11">
        <v>725167525</v>
      </c>
      <c r="K177" s="11">
        <v>725167525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725167525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381460557.50999999</v>
      </c>
      <c r="Y177" s="11">
        <v>2629335.9500000002</v>
      </c>
      <c r="Z177" s="17">
        <v>378831221.56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381460557.50999999</v>
      </c>
      <c r="AH177" s="11">
        <v>2629335.9500000002</v>
      </c>
      <c r="AI177" s="12">
        <v>378831221.56</v>
      </c>
      <c r="AJ177" s="11">
        <v>378831221.56</v>
      </c>
      <c r="AK177" s="11">
        <v>0</v>
      </c>
      <c r="AL177" s="11">
        <v>0</v>
      </c>
      <c r="AM177" s="11">
        <v>381293216.01999998</v>
      </c>
      <c r="AN177" s="11">
        <v>381460557.50999999</v>
      </c>
      <c r="AO177" s="11">
        <v>167341.49</v>
      </c>
      <c r="AP177" s="11">
        <v>381460557.50999999</v>
      </c>
      <c r="AQ177" s="11">
        <v>0</v>
      </c>
      <c r="AR177" s="11">
        <v>167341.49</v>
      </c>
      <c r="AS177" t="s">
        <v>48</v>
      </c>
      <c r="AT177"/>
    </row>
    <row r="178" spans="1:50" hidden="1" x14ac:dyDescent="0.3">
      <c r="A178">
        <v>2021</v>
      </c>
      <c r="B178">
        <v>307</v>
      </c>
      <c r="C178">
        <v>120502001010101</v>
      </c>
      <c r="D178" s="5" t="s">
        <v>44</v>
      </c>
      <c r="E178" s="8" t="s">
        <v>385</v>
      </c>
      <c r="F178">
        <v>120502001010101</v>
      </c>
      <c r="H178" s="8" t="s">
        <v>54</v>
      </c>
      <c r="I178" t="s">
        <v>47</v>
      </c>
      <c r="J178" s="11">
        <v>50000000</v>
      </c>
      <c r="K178" s="11">
        <v>50000000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50000000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13715188</v>
      </c>
      <c r="Y178" s="11">
        <v>0</v>
      </c>
      <c r="Z178" s="17">
        <v>13715188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13715188</v>
      </c>
      <c r="AH178" s="11">
        <v>0</v>
      </c>
      <c r="AI178" s="12">
        <v>13715188</v>
      </c>
      <c r="AJ178" s="11">
        <v>13715188</v>
      </c>
      <c r="AK178" s="11">
        <v>0</v>
      </c>
      <c r="AL178" s="11">
        <v>0</v>
      </c>
      <c r="AM178" s="11">
        <v>13715188</v>
      </c>
      <c r="AN178" s="11">
        <v>13715188</v>
      </c>
      <c r="AO178" s="11">
        <v>0</v>
      </c>
      <c r="AP178" s="11">
        <v>13715188</v>
      </c>
      <c r="AQ178" s="11">
        <v>0</v>
      </c>
      <c r="AR178" s="11">
        <v>0</v>
      </c>
      <c r="AS178" t="s">
        <v>48</v>
      </c>
      <c r="AT178"/>
    </row>
    <row r="179" spans="1:50" x14ac:dyDescent="0.3">
      <c r="A179">
        <v>2021</v>
      </c>
      <c r="B179">
        <v>307</v>
      </c>
      <c r="C179">
        <v>1.2050200101010099E+17</v>
      </c>
      <c r="D179" s="5">
        <v>20</v>
      </c>
      <c r="E179" s="8" t="s">
        <v>386</v>
      </c>
      <c r="F179">
        <v>1.2050200101010099E+17</v>
      </c>
      <c r="G179" t="s">
        <v>1909</v>
      </c>
      <c r="H179" s="8" t="s">
        <v>387</v>
      </c>
      <c r="I179" t="s">
        <v>47</v>
      </c>
      <c r="J179" s="11">
        <v>50000000</v>
      </c>
      <c r="K179" s="11">
        <v>50000000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50000000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13715188</v>
      </c>
      <c r="Y179" s="11">
        <v>0</v>
      </c>
      <c r="Z179" s="17">
        <v>13715188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13715188</v>
      </c>
      <c r="AH179" s="11">
        <v>0</v>
      </c>
      <c r="AI179" s="12">
        <v>13715188</v>
      </c>
      <c r="AJ179" s="11">
        <v>13715188</v>
      </c>
      <c r="AK179" s="11">
        <v>0</v>
      </c>
      <c r="AL179" s="11">
        <v>0</v>
      </c>
      <c r="AM179" s="11">
        <v>13715188</v>
      </c>
      <c r="AN179" s="11">
        <v>13715188</v>
      </c>
      <c r="AO179" s="11">
        <v>0</v>
      </c>
      <c r="AP179" s="11">
        <v>13715188</v>
      </c>
      <c r="AQ179" s="11">
        <v>0</v>
      </c>
      <c r="AR179" s="11">
        <v>0</v>
      </c>
      <c r="AS179" t="s">
        <v>57</v>
      </c>
      <c r="AT179" s="4" t="str">
        <f>+H179</f>
        <v>Impuesto sobre vehículos automotores (Rendimientos )</v>
      </c>
      <c r="AU179" s="7" t="str">
        <f>+$D179&amp;$AT179&amp;Z179</f>
        <v>20Impuesto sobre vehículos automotores (Rendimientos )13715188</v>
      </c>
      <c r="AV179" t="str">
        <f>+_xlfn.XLOOKUP(AU179,CRUCE!I:I,CRUCE!M:M)</f>
        <v>READY</v>
      </c>
      <c r="AW179" t="s">
        <v>1907</v>
      </c>
      <c r="AX179">
        <f>+SUMIFS(CRUCE!C:C,CRUCE!A:A,D179,CRUCE!B:B,'2021'!H179)</f>
        <v>13715188</v>
      </c>
    </row>
    <row r="180" spans="1:50" hidden="1" x14ac:dyDescent="0.3">
      <c r="A180">
        <v>2021</v>
      </c>
      <c r="B180">
        <v>307</v>
      </c>
      <c r="C180">
        <v>120502001010102</v>
      </c>
      <c r="D180" s="5" t="s">
        <v>44</v>
      </c>
      <c r="E180" s="8" t="s">
        <v>388</v>
      </c>
      <c r="F180">
        <v>120502001010102</v>
      </c>
      <c r="H180" s="8" t="s">
        <v>59</v>
      </c>
      <c r="I180" t="s">
        <v>47</v>
      </c>
      <c r="J180" s="11">
        <v>675167525</v>
      </c>
      <c r="K180" s="11">
        <v>675167525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675167525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367745369.50999999</v>
      </c>
      <c r="Y180" s="11">
        <v>2629335.9500000002</v>
      </c>
      <c r="Z180" s="17">
        <v>365116033.56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367745369.50999999</v>
      </c>
      <c r="AH180" s="11">
        <v>2629335.9500000002</v>
      </c>
      <c r="AI180" s="12">
        <v>365116033.56</v>
      </c>
      <c r="AJ180" s="11">
        <v>365116033.56</v>
      </c>
      <c r="AK180" s="11">
        <v>0</v>
      </c>
      <c r="AL180" s="11">
        <v>0</v>
      </c>
      <c r="AM180" s="11">
        <v>367578028.01999998</v>
      </c>
      <c r="AN180" s="11">
        <v>367745369.50999999</v>
      </c>
      <c r="AO180" s="11">
        <v>167341.49</v>
      </c>
      <c r="AP180" s="11">
        <v>367745369.50999999</v>
      </c>
      <c r="AQ180" s="11">
        <v>0</v>
      </c>
      <c r="AR180" s="11">
        <v>167341.49</v>
      </c>
      <c r="AS180" t="s">
        <v>48</v>
      </c>
      <c r="AT180"/>
    </row>
    <row r="181" spans="1:50" hidden="1" x14ac:dyDescent="0.3">
      <c r="A181">
        <v>2021</v>
      </c>
      <c r="B181">
        <v>307</v>
      </c>
      <c r="C181">
        <v>1.20502001010102E+17</v>
      </c>
      <c r="D181" s="5" t="s">
        <v>44</v>
      </c>
      <c r="E181" s="8" t="s">
        <v>389</v>
      </c>
      <c r="F181">
        <v>1.20502001010102E+17</v>
      </c>
      <c r="H181" s="8" t="s">
        <v>347</v>
      </c>
      <c r="I181" t="s">
        <v>47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7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2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t="s">
        <v>48</v>
      </c>
      <c r="AT181"/>
    </row>
    <row r="182" spans="1:50" x14ac:dyDescent="0.3">
      <c r="A182">
        <v>2021</v>
      </c>
      <c r="B182">
        <v>307</v>
      </c>
      <c r="C182">
        <v>1.2050200101010199E+20</v>
      </c>
      <c r="D182" s="5">
        <v>35</v>
      </c>
      <c r="E182" s="8" t="s">
        <v>390</v>
      </c>
      <c r="F182">
        <v>1.2050200101010199E+20</v>
      </c>
      <c r="G182" t="s">
        <v>1909</v>
      </c>
      <c r="H182" s="8" t="s">
        <v>355</v>
      </c>
      <c r="I182" t="s">
        <v>47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7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2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t="s">
        <v>365</v>
      </c>
      <c r="AT182" s="4" t="s">
        <v>1091</v>
      </c>
      <c r="AU182" s="7" t="str">
        <f>+$D182&amp;$AT182&amp;Z182</f>
        <v>35Derechos de monopolio por la introducción de licores destilados de producción nacional (Monopolio pa0</v>
      </c>
      <c r="AV182" t="str">
        <f>+_xlfn.XLOOKUP(AU182,CRUCE!I:I,CRUCE!M:M)</f>
        <v>READY</v>
      </c>
      <c r="AW182" t="s">
        <v>1907</v>
      </c>
      <c r="AX182">
        <f>+SUMIFS(CRUCE!C:C,CRUCE!A:A,D182,CRUCE!B:B,'2021'!H182)</f>
        <v>0</v>
      </c>
    </row>
    <row r="183" spans="1:50" hidden="1" x14ac:dyDescent="0.3">
      <c r="A183">
        <v>2021</v>
      </c>
      <c r="B183">
        <v>307</v>
      </c>
      <c r="C183">
        <v>1.20502001010102E+17</v>
      </c>
      <c r="D183" s="5" t="s">
        <v>44</v>
      </c>
      <c r="E183" s="8" t="s">
        <v>391</v>
      </c>
      <c r="F183">
        <v>1.20502001010102E+17</v>
      </c>
      <c r="H183" s="8" t="s">
        <v>61</v>
      </c>
      <c r="I183" t="s">
        <v>47</v>
      </c>
      <c r="J183" s="11">
        <v>200000000</v>
      </c>
      <c r="K183" s="11">
        <v>200000000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200000000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44607905.719999999</v>
      </c>
      <c r="Y183" s="11">
        <v>0</v>
      </c>
      <c r="Z183" s="17">
        <v>44607905.719999999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44607905.719999999</v>
      </c>
      <c r="AH183" s="11">
        <v>0</v>
      </c>
      <c r="AI183" s="12">
        <v>44607905.719999999</v>
      </c>
      <c r="AJ183" s="11">
        <v>44607905.719999999</v>
      </c>
      <c r="AK183" s="11">
        <v>0</v>
      </c>
      <c r="AL183" s="11">
        <v>0</v>
      </c>
      <c r="AM183" s="11">
        <v>44607905.719999999</v>
      </c>
      <c r="AN183" s="11">
        <v>44607905.719999999</v>
      </c>
      <c r="AO183" s="11">
        <v>0</v>
      </c>
      <c r="AP183" s="11">
        <v>44607905.719999999</v>
      </c>
      <c r="AQ183" s="11">
        <v>0</v>
      </c>
      <c r="AR183" s="11">
        <v>0</v>
      </c>
      <c r="AS183" t="s">
        <v>48</v>
      </c>
      <c r="AT183"/>
    </row>
    <row r="184" spans="1:50" x14ac:dyDescent="0.3">
      <c r="A184">
        <v>2021</v>
      </c>
      <c r="B184">
        <v>307</v>
      </c>
      <c r="C184">
        <v>1.2050200101010199E+20</v>
      </c>
      <c r="D184" s="5">
        <v>20</v>
      </c>
      <c r="E184" s="8" t="s">
        <v>392</v>
      </c>
      <c r="F184">
        <v>1.2050200101010199E+20</v>
      </c>
      <c r="G184" t="s">
        <v>1909</v>
      </c>
      <c r="H184" s="8" t="s">
        <v>63</v>
      </c>
      <c r="I184" t="s">
        <v>47</v>
      </c>
      <c r="J184" s="11">
        <v>60000000</v>
      </c>
      <c r="K184" s="11">
        <v>60000000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60000000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707863.9</v>
      </c>
      <c r="Y184" s="11">
        <v>0</v>
      </c>
      <c r="Z184" s="17">
        <v>707863.9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707863.9</v>
      </c>
      <c r="AH184" s="11">
        <v>0</v>
      </c>
      <c r="AI184" s="12">
        <v>707863.9</v>
      </c>
      <c r="AJ184" s="11">
        <v>707863.9</v>
      </c>
      <c r="AK184" s="11">
        <v>0</v>
      </c>
      <c r="AL184" s="11">
        <v>0</v>
      </c>
      <c r="AM184" s="11">
        <v>707863.9</v>
      </c>
      <c r="AN184" s="11">
        <v>707863.9</v>
      </c>
      <c r="AO184" s="11">
        <v>0</v>
      </c>
      <c r="AP184" s="11">
        <v>707863.9</v>
      </c>
      <c r="AQ184" s="11">
        <v>0</v>
      </c>
      <c r="AR184" s="11">
        <v>0</v>
      </c>
      <c r="AS184" t="s">
        <v>57</v>
      </c>
      <c r="AT184" s="4" t="str">
        <f t="shared" ref="AT184:AT185" si="19">+H184</f>
        <v>Impuesto de Registro - Cámaras de Comercio</v>
      </c>
      <c r="AU184" s="7" t="str">
        <f t="shared" ref="AU184:AU185" si="20">+$D184&amp;$AT184&amp;Z184</f>
        <v>20Impuesto de Registro - Cámaras de Comercio707863,9</v>
      </c>
      <c r="AV184" t="str">
        <f>+_xlfn.XLOOKUP(AU184,CRUCE!I:I,CRUCE!M:M)</f>
        <v>READY</v>
      </c>
      <c r="AW184" t="s">
        <v>1907</v>
      </c>
      <c r="AX184">
        <f>+SUMIFS(CRUCE!C:C,CRUCE!A:A,D184,CRUCE!B:B,'2021'!H184)</f>
        <v>707863.9</v>
      </c>
    </row>
    <row r="185" spans="1:50" x14ac:dyDescent="0.3">
      <c r="A185">
        <v>2021</v>
      </c>
      <c r="B185">
        <v>307</v>
      </c>
      <c r="C185">
        <v>1.2050200101010199E+20</v>
      </c>
      <c r="D185" s="5">
        <v>20</v>
      </c>
      <c r="E185" s="8" t="s">
        <v>393</v>
      </c>
      <c r="F185">
        <v>1.2050200101010199E+20</v>
      </c>
      <c r="G185" t="s">
        <v>1909</v>
      </c>
      <c r="H185" s="8" t="s">
        <v>73</v>
      </c>
      <c r="I185" t="s">
        <v>47</v>
      </c>
      <c r="J185" s="11">
        <v>140000000</v>
      </c>
      <c r="K185" s="11">
        <v>140000000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140000000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43900041.82</v>
      </c>
      <c r="Y185" s="11">
        <v>0</v>
      </c>
      <c r="Z185" s="17">
        <v>43900041.82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43900041.82</v>
      </c>
      <c r="AH185" s="11">
        <v>0</v>
      </c>
      <c r="AI185" s="12">
        <v>43900041.82</v>
      </c>
      <c r="AJ185" s="11">
        <v>43900041.82</v>
      </c>
      <c r="AK185" s="11">
        <v>0</v>
      </c>
      <c r="AL185" s="11">
        <v>0</v>
      </c>
      <c r="AM185" s="11">
        <v>43900041.82</v>
      </c>
      <c r="AN185" s="11">
        <v>43900041.82</v>
      </c>
      <c r="AO185" s="11">
        <v>0</v>
      </c>
      <c r="AP185" s="11">
        <v>43900041.82</v>
      </c>
      <c r="AQ185" s="11">
        <v>0</v>
      </c>
      <c r="AR185" s="11">
        <v>0</v>
      </c>
      <c r="AS185" t="s">
        <v>57</v>
      </c>
      <c r="AT185" s="4" t="str">
        <f t="shared" si="19"/>
        <v>Impuesto de Registro - Oficinas de Instrumentos Públicos</v>
      </c>
      <c r="AU185" s="7" t="str">
        <f t="shared" si="20"/>
        <v>20Impuesto de Registro - Oficinas de Instrumentos Públicos43900041,82</v>
      </c>
      <c r="AV185" t="str">
        <f>+_xlfn.XLOOKUP(AU185,CRUCE!I:I,CRUCE!M:M)</f>
        <v>READY</v>
      </c>
      <c r="AW185" t="s">
        <v>1907</v>
      </c>
      <c r="AX185">
        <f>+SUMIFS(CRUCE!C:C,CRUCE!A:A,D185,CRUCE!B:B,'2021'!AT185)</f>
        <v>43900041.82</v>
      </c>
    </row>
    <row r="186" spans="1:50" hidden="1" x14ac:dyDescent="0.3">
      <c r="A186">
        <v>2021</v>
      </c>
      <c r="B186">
        <v>307</v>
      </c>
      <c r="C186">
        <v>1.20502001010102E+17</v>
      </c>
      <c r="D186" s="5" t="s">
        <v>44</v>
      </c>
      <c r="E186" s="8" t="s">
        <v>394</v>
      </c>
      <c r="F186">
        <v>1.20502001010102E+17</v>
      </c>
      <c r="H186" s="8" t="s">
        <v>86</v>
      </c>
      <c r="I186" t="s">
        <v>47</v>
      </c>
      <c r="J186" s="11">
        <v>31000000</v>
      </c>
      <c r="K186" s="11">
        <v>31000000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31000000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22670883.32</v>
      </c>
      <c r="Y186" s="11">
        <v>0</v>
      </c>
      <c r="Z186" s="17">
        <v>22670883.32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22670883.32</v>
      </c>
      <c r="AH186" s="11">
        <v>0</v>
      </c>
      <c r="AI186" s="12">
        <v>22670883.32</v>
      </c>
      <c r="AJ186" s="11">
        <v>22670883.32</v>
      </c>
      <c r="AK186" s="11">
        <v>0</v>
      </c>
      <c r="AL186" s="11">
        <v>0</v>
      </c>
      <c r="AM186" s="11">
        <v>22670883.32</v>
      </c>
      <c r="AN186" s="11">
        <v>22670883.32</v>
      </c>
      <c r="AO186" s="11">
        <v>0</v>
      </c>
      <c r="AP186" s="11">
        <v>22670883.32</v>
      </c>
      <c r="AQ186" s="11">
        <v>0</v>
      </c>
      <c r="AR186" s="11">
        <v>0</v>
      </c>
      <c r="AS186" t="s">
        <v>48</v>
      </c>
      <c r="AT186"/>
    </row>
    <row r="187" spans="1:50" hidden="1" x14ac:dyDescent="0.3">
      <c r="A187">
        <v>2021</v>
      </c>
      <c r="B187">
        <v>307</v>
      </c>
      <c r="C187">
        <v>1.2050200101010199E+20</v>
      </c>
      <c r="D187" s="5" t="s">
        <v>44</v>
      </c>
      <c r="E187" s="8" t="s">
        <v>395</v>
      </c>
      <c r="F187">
        <v>1.2050200101010199E+20</v>
      </c>
      <c r="H187" s="8" t="s">
        <v>88</v>
      </c>
      <c r="I187" t="s">
        <v>47</v>
      </c>
      <c r="J187" s="11">
        <v>30000000</v>
      </c>
      <c r="K187" s="11">
        <v>30000000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30000000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1929753.47</v>
      </c>
      <c r="Y187" s="11">
        <v>0</v>
      </c>
      <c r="Z187" s="17">
        <v>1929753.47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1929753.47</v>
      </c>
      <c r="AH187" s="11">
        <v>0</v>
      </c>
      <c r="AI187" s="12">
        <v>1929753.47</v>
      </c>
      <c r="AJ187" s="11">
        <v>1929753.47</v>
      </c>
      <c r="AK187" s="11">
        <v>0</v>
      </c>
      <c r="AL187" s="11">
        <v>0</v>
      </c>
      <c r="AM187" s="11">
        <v>1929753.47</v>
      </c>
      <c r="AN187" s="11">
        <v>1929753.47</v>
      </c>
      <c r="AO187" s="11">
        <v>0</v>
      </c>
      <c r="AP187" s="11">
        <v>1929753.47</v>
      </c>
      <c r="AQ187" s="11">
        <v>0</v>
      </c>
      <c r="AR187" s="11">
        <v>0</v>
      </c>
      <c r="AS187" t="s">
        <v>48</v>
      </c>
      <c r="AT187"/>
    </row>
    <row r="188" spans="1:50" x14ac:dyDescent="0.3">
      <c r="A188">
        <v>2021</v>
      </c>
      <c r="B188">
        <v>307</v>
      </c>
      <c r="C188">
        <v>1.20502001010102E+35</v>
      </c>
      <c r="D188" s="5">
        <v>20</v>
      </c>
      <c r="E188" s="8" t="s">
        <v>396</v>
      </c>
      <c r="F188">
        <v>1.20502001010102E+35</v>
      </c>
      <c r="G188" t="s">
        <v>1909</v>
      </c>
      <c r="H188" s="8" t="s">
        <v>90</v>
      </c>
      <c r="I188" t="s">
        <v>47</v>
      </c>
      <c r="J188" s="11">
        <v>5100000</v>
      </c>
      <c r="K188" s="11">
        <v>5100000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5100000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360.84</v>
      </c>
      <c r="Y188" s="11">
        <v>0</v>
      </c>
      <c r="Z188" s="17">
        <v>360.84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360.84</v>
      </c>
      <c r="AH188" s="11">
        <v>0</v>
      </c>
      <c r="AI188" s="12">
        <v>360.84</v>
      </c>
      <c r="AJ188" s="11">
        <v>360.84</v>
      </c>
      <c r="AK188" s="11">
        <v>0</v>
      </c>
      <c r="AL188" s="11">
        <v>0</v>
      </c>
      <c r="AM188" s="11">
        <v>360.84</v>
      </c>
      <c r="AN188" s="11">
        <v>360.84</v>
      </c>
      <c r="AO188" s="11">
        <v>0</v>
      </c>
      <c r="AP188" s="11">
        <v>360.84</v>
      </c>
      <c r="AQ188" s="11">
        <v>0</v>
      </c>
      <c r="AR188" s="11">
        <v>0</v>
      </c>
      <c r="AS188" t="s">
        <v>57</v>
      </c>
      <c r="AT188" s="4" t="str">
        <f t="shared" ref="AT188:AT189" si="21">+H188</f>
        <v>Impuesto al consumo de licores - Nacionales</v>
      </c>
      <c r="AU188" s="7" t="str">
        <f t="shared" ref="AU188:AU190" si="22">+$D188&amp;$AT188&amp;Z188</f>
        <v>20Impuesto al consumo de licores - Nacionales360,84</v>
      </c>
      <c r="AV188" t="str">
        <f>+_xlfn.XLOOKUP(AU188,CRUCE!I:I,CRUCE!M:M)</f>
        <v>READY</v>
      </c>
      <c r="AW188" t="s">
        <v>1907</v>
      </c>
      <c r="AX188">
        <f>+SUMIFS(CRUCE!C:C,CRUCE!A:A,D188,CRUCE!B:B,'2021'!H188)</f>
        <v>360.84</v>
      </c>
    </row>
    <row r="189" spans="1:50" x14ac:dyDescent="0.3">
      <c r="A189">
        <v>2021</v>
      </c>
      <c r="B189">
        <v>307</v>
      </c>
      <c r="C189">
        <v>1.20502001010102E+35</v>
      </c>
      <c r="D189" s="5">
        <v>20</v>
      </c>
      <c r="E189" s="8" t="s">
        <v>397</v>
      </c>
      <c r="F189">
        <v>1.20502001010102E+35</v>
      </c>
      <c r="G189" t="s">
        <v>1909</v>
      </c>
      <c r="H189" s="8" t="s">
        <v>92</v>
      </c>
      <c r="I189" t="s">
        <v>47</v>
      </c>
      <c r="J189" s="11">
        <v>24900000</v>
      </c>
      <c r="K189" s="11">
        <v>24900000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24900000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268191.28999999998</v>
      </c>
      <c r="Y189" s="11">
        <v>0</v>
      </c>
      <c r="Z189" s="17">
        <v>268191.28999999998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268191.28999999998</v>
      </c>
      <c r="AH189" s="11">
        <v>0</v>
      </c>
      <c r="AI189" s="12">
        <v>268191.28999999998</v>
      </c>
      <c r="AJ189" s="11">
        <v>268191.28999999998</v>
      </c>
      <c r="AK189" s="11">
        <v>0</v>
      </c>
      <c r="AL189" s="11">
        <v>0</v>
      </c>
      <c r="AM189" s="11">
        <v>268191.28999999998</v>
      </c>
      <c r="AN189" s="11">
        <v>268191.28999999998</v>
      </c>
      <c r="AO189" s="11">
        <v>0</v>
      </c>
      <c r="AP189" s="11">
        <v>268191.28999999998</v>
      </c>
      <c r="AQ189" s="11">
        <v>0</v>
      </c>
      <c r="AR189" s="11">
        <v>0</v>
      </c>
      <c r="AS189" t="s">
        <v>57</v>
      </c>
      <c r="AT189" s="4" t="str">
        <f t="shared" si="21"/>
        <v>Impuesto al consumo de licores - Extranjeros</v>
      </c>
      <c r="AU189" s="7" t="str">
        <f t="shared" si="22"/>
        <v>20Impuesto al consumo de licores - Extranjeros268191,29</v>
      </c>
      <c r="AV189" t="e">
        <f>+_xlfn.XLOOKUP(AU189,CRUCE!I:I,CRUCE!M:M)</f>
        <v>#N/A</v>
      </c>
      <c r="AW189" t="s">
        <v>1907</v>
      </c>
      <c r="AX189">
        <f>+SUMIFS(CRUCE!C:C,CRUCE!A:A,D189,CRUCE!B:B,'2021'!H189)</f>
        <v>2986190640.6100001</v>
      </c>
    </row>
    <row r="190" spans="1:50" x14ac:dyDescent="0.3">
      <c r="A190">
        <v>2021</v>
      </c>
      <c r="B190">
        <v>307</v>
      </c>
      <c r="C190">
        <v>1.20502001010102E+35</v>
      </c>
      <c r="D190" s="5">
        <v>145</v>
      </c>
      <c r="E190" s="8" t="s">
        <v>398</v>
      </c>
      <c r="F190">
        <v>1.20502001010102E+35</v>
      </c>
      <c r="G190" t="s">
        <v>1909</v>
      </c>
      <c r="H190" s="8" t="s">
        <v>399</v>
      </c>
      <c r="I190" t="s">
        <v>47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1661201.34</v>
      </c>
      <c r="Y190" s="11">
        <v>0</v>
      </c>
      <c r="Z190" s="17">
        <v>1661201.34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1661201.34</v>
      </c>
      <c r="AH190" s="11">
        <v>0</v>
      </c>
      <c r="AI190" s="12">
        <v>1661201.34</v>
      </c>
      <c r="AJ190" s="11">
        <v>1661201.34</v>
      </c>
      <c r="AK190" s="11">
        <v>0</v>
      </c>
      <c r="AL190" s="11">
        <v>0</v>
      </c>
      <c r="AM190" s="11">
        <v>1661201.34</v>
      </c>
      <c r="AN190" s="11">
        <v>1661201.34</v>
      </c>
      <c r="AO190" s="11">
        <v>0</v>
      </c>
      <c r="AP190" s="11">
        <v>1661201.34</v>
      </c>
      <c r="AQ190" s="11">
        <v>0</v>
      </c>
      <c r="AR190" s="11">
        <v>0</v>
      </c>
      <c r="AS190" t="s">
        <v>84</v>
      </c>
      <c r="AT190" s="4" t="s">
        <v>1156</v>
      </c>
      <c r="AU190" s="7" t="str">
        <f t="shared" si="22"/>
        <v>145Depósitos Impuesto al Consumo 3% Deporte1661201,34</v>
      </c>
      <c r="AV190" t="str">
        <f>+_xlfn.XLOOKUP(AU190,CRUCE!I:I,CRUCE!M:M)</f>
        <v>READY</v>
      </c>
      <c r="AW190" t="s">
        <v>1907</v>
      </c>
      <c r="AX190">
        <f>+SUMIFS(CRUCE!C:C,CRUCE!A:A,D190,CRUCE!B:B,'2021'!H190)</f>
        <v>0</v>
      </c>
    </row>
    <row r="191" spans="1:50" hidden="1" x14ac:dyDescent="0.3">
      <c r="A191">
        <v>2021</v>
      </c>
      <c r="B191">
        <v>307</v>
      </c>
      <c r="C191">
        <v>1.2050200101010199E+20</v>
      </c>
      <c r="D191" s="5" t="s">
        <v>44</v>
      </c>
      <c r="E191" s="8" t="s">
        <v>400</v>
      </c>
      <c r="F191">
        <v>1.2050200101010199E+20</v>
      </c>
      <c r="H191" s="8" t="s">
        <v>94</v>
      </c>
      <c r="I191" t="s">
        <v>47</v>
      </c>
      <c r="J191" s="11">
        <v>1000000</v>
      </c>
      <c r="K191" s="11">
        <v>1000000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1000000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20741129.850000001</v>
      </c>
      <c r="Y191" s="11">
        <v>0</v>
      </c>
      <c r="Z191" s="17">
        <v>20741129.850000001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20741129.850000001</v>
      </c>
      <c r="AH191" s="11">
        <v>0</v>
      </c>
      <c r="AI191" s="12">
        <v>20741129.850000001</v>
      </c>
      <c r="AJ191" s="11">
        <v>20741129.850000001</v>
      </c>
      <c r="AK191" s="11">
        <v>0</v>
      </c>
      <c r="AL191" s="11">
        <v>0</v>
      </c>
      <c r="AM191" s="11">
        <v>20741129.850000001</v>
      </c>
      <c r="AN191" s="11">
        <v>20741129.850000001</v>
      </c>
      <c r="AO191" s="11">
        <v>0</v>
      </c>
      <c r="AP191" s="11">
        <v>20741129.850000001</v>
      </c>
      <c r="AQ191" s="11">
        <v>0</v>
      </c>
      <c r="AR191" s="11">
        <v>0</v>
      </c>
      <c r="AS191" t="s">
        <v>48</v>
      </c>
      <c r="AT191"/>
    </row>
    <row r="192" spans="1:50" x14ac:dyDescent="0.3">
      <c r="A192">
        <v>2021</v>
      </c>
      <c r="B192">
        <v>307</v>
      </c>
      <c r="C192">
        <v>1.20502001010102E+35</v>
      </c>
      <c r="D192" s="5">
        <v>20</v>
      </c>
      <c r="E192" s="8" t="s">
        <v>401</v>
      </c>
      <c r="F192">
        <v>1.20502001010102E+35</v>
      </c>
      <c r="G192" t="s">
        <v>1909</v>
      </c>
      <c r="H192" s="8" t="s">
        <v>96</v>
      </c>
      <c r="I192" t="s">
        <v>47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2199067.6800000002</v>
      </c>
      <c r="Y192" s="11">
        <v>0</v>
      </c>
      <c r="Z192" s="17">
        <v>2199067.6800000002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2199067.6800000002</v>
      </c>
      <c r="AH192" s="11">
        <v>0</v>
      </c>
      <c r="AI192" s="12">
        <v>2199067.6800000002</v>
      </c>
      <c r="AJ192" s="11">
        <v>2199067.6800000002</v>
      </c>
      <c r="AK192" s="11">
        <v>0</v>
      </c>
      <c r="AL192" s="11">
        <v>0</v>
      </c>
      <c r="AM192" s="11">
        <v>2199067.6800000002</v>
      </c>
      <c r="AN192" s="11">
        <v>2199067.6800000002</v>
      </c>
      <c r="AO192" s="11">
        <v>0</v>
      </c>
      <c r="AP192" s="11">
        <v>2199067.6800000002</v>
      </c>
      <c r="AQ192" s="11">
        <v>0</v>
      </c>
      <c r="AR192" s="11">
        <v>0</v>
      </c>
      <c r="AS192" t="s">
        <v>57</v>
      </c>
      <c r="AT192" s="4" t="str">
        <f t="shared" ref="AT192:AT193" si="23">+H192</f>
        <v>Impuesto al consumo de vinos, aperitivos y similares - Nacionales</v>
      </c>
      <c r="AU192" s="7" t="str">
        <f t="shared" ref="AU192:AU194" si="24">+$D192&amp;$AT192&amp;Z192</f>
        <v>20Impuesto al consumo de vinos, aperitivos y similares - Nacionales2199067,68</v>
      </c>
      <c r="AV192" t="e">
        <f>+_xlfn.XLOOKUP(AU192,CRUCE!I:I,CRUCE!M:M)</f>
        <v>#N/A</v>
      </c>
      <c r="AW192" t="s">
        <v>1907</v>
      </c>
      <c r="AX192">
        <f>+SUMIFS(CRUCE!C:C,CRUCE!A:A,D192,CRUCE!B:B,'2021'!H192)</f>
        <v>1059472045.6799999</v>
      </c>
    </row>
    <row r="193" spans="1:50" x14ac:dyDescent="0.3">
      <c r="A193">
        <v>2021</v>
      </c>
      <c r="B193">
        <v>307</v>
      </c>
      <c r="C193">
        <v>1.20502001010102E+35</v>
      </c>
      <c r="D193" s="5">
        <v>20</v>
      </c>
      <c r="E193" s="8" t="s">
        <v>402</v>
      </c>
      <c r="F193">
        <v>1.20502001010102E+35</v>
      </c>
      <c r="G193" t="s">
        <v>1909</v>
      </c>
      <c r="H193" s="8" t="s">
        <v>98</v>
      </c>
      <c r="I193" t="s">
        <v>47</v>
      </c>
      <c r="J193" s="11">
        <v>1000000</v>
      </c>
      <c r="K193" s="11">
        <v>1000000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1000000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17872304.379999999</v>
      </c>
      <c r="Y193" s="11">
        <v>0</v>
      </c>
      <c r="Z193" s="17">
        <v>17872304.379999999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17872304.379999999</v>
      </c>
      <c r="AH193" s="11">
        <v>0</v>
      </c>
      <c r="AI193" s="12">
        <v>17872304.379999999</v>
      </c>
      <c r="AJ193" s="11">
        <v>17872304.379999999</v>
      </c>
      <c r="AK193" s="11">
        <v>0</v>
      </c>
      <c r="AL193" s="11">
        <v>0</v>
      </c>
      <c r="AM193" s="11">
        <v>17872304.379999999</v>
      </c>
      <c r="AN193" s="11">
        <v>17872304.379999999</v>
      </c>
      <c r="AO193" s="11">
        <v>0</v>
      </c>
      <c r="AP193" s="11">
        <v>17872304.379999999</v>
      </c>
      <c r="AQ193" s="11">
        <v>0</v>
      </c>
      <c r="AR193" s="11">
        <v>0</v>
      </c>
      <c r="AS193" t="s">
        <v>57</v>
      </c>
      <c r="AT193" s="4" t="str">
        <f t="shared" si="23"/>
        <v>Impuesto al consumo de vinos, aperitivos y similares - Extranjeros</v>
      </c>
      <c r="AU193" s="7" t="str">
        <f t="shared" si="24"/>
        <v>20Impuesto al consumo de vinos, aperitivos y similares - Extranjeros17872304,38</v>
      </c>
      <c r="AV193" t="e">
        <f>+_xlfn.XLOOKUP(AU193,CRUCE!I:I,CRUCE!M:M)</f>
        <v>#N/A</v>
      </c>
      <c r="AW193" t="s">
        <v>1907</v>
      </c>
      <c r="AX193">
        <f>+SUMIFS(CRUCE!C:C,CRUCE!A:A,D193,CRUCE!B:B,'2021'!H193)</f>
        <v>2400475144.3800001</v>
      </c>
    </row>
    <row r="194" spans="1:50" x14ac:dyDescent="0.3">
      <c r="A194">
        <v>2021</v>
      </c>
      <c r="B194">
        <v>307</v>
      </c>
      <c r="C194">
        <v>1.20502001010102E+35</v>
      </c>
      <c r="D194" s="5">
        <v>179</v>
      </c>
      <c r="E194" s="8" t="s">
        <v>403</v>
      </c>
      <c r="F194">
        <v>1.20502001010102E+35</v>
      </c>
      <c r="G194" t="s">
        <v>1909</v>
      </c>
      <c r="H194" s="8" t="s">
        <v>404</v>
      </c>
      <c r="I194" t="s">
        <v>47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669757.79</v>
      </c>
      <c r="Y194" s="11">
        <v>0</v>
      </c>
      <c r="Z194" s="17">
        <v>669757.79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669757.79</v>
      </c>
      <c r="AH194" s="11">
        <v>0</v>
      </c>
      <c r="AI194" s="12">
        <v>669757.79</v>
      </c>
      <c r="AJ194" s="11">
        <v>669757.79</v>
      </c>
      <c r="AK194" s="11">
        <v>0</v>
      </c>
      <c r="AL194" s="11">
        <v>0</v>
      </c>
      <c r="AM194" s="11">
        <v>669757.79</v>
      </c>
      <c r="AN194" s="11">
        <v>669757.79</v>
      </c>
      <c r="AO194" s="11">
        <v>0</v>
      </c>
      <c r="AP194" s="11">
        <v>669757.79</v>
      </c>
      <c r="AQ194" s="11">
        <v>0</v>
      </c>
      <c r="AR194" s="11">
        <v>0</v>
      </c>
      <c r="AS194" t="s">
        <v>357</v>
      </c>
      <c r="AT194" s="4" t="s">
        <v>1154</v>
      </c>
      <c r="AU194" s="7" t="str">
        <f t="shared" si="24"/>
        <v>179Depósitos Derechos del Monopolio e Impuesto al Consumo Deporte669757,79</v>
      </c>
      <c r="AV194" t="str">
        <f>+_xlfn.XLOOKUP(AU194,CRUCE!I:I,CRUCE!M:M)</f>
        <v>READY</v>
      </c>
      <c r="AW194" t="s">
        <v>1907</v>
      </c>
      <c r="AX194">
        <f>+SUMIFS(CRUCE!C:C,CRUCE!A:A,D194,CRUCE!B:B,'2021'!H194)</f>
        <v>0</v>
      </c>
    </row>
    <row r="195" spans="1:50" hidden="1" x14ac:dyDescent="0.3">
      <c r="A195">
        <v>2021</v>
      </c>
      <c r="B195">
        <v>307</v>
      </c>
      <c r="C195">
        <v>1.20502001010102E+17</v>
      </c>
      <c r="D195" s="5" t="s">
        <v>44</v>
      </c>
      <c r="E195" s="8" t="s">
        <v>405</v>
      </c>
      <c r="F195">
        <v>1.20502001010102E+17</v>
      </c>
      <c r="H195" s="8" t="s">
        <v>100</v>
      </c>
      <c r="I195" t="s">
        <v>47</v>
      </c>
      <c r="J195" s="11">
        <v>200000000</v>
      </c>
      <c r="K195" s="11">
        <v>200000000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200000000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39914223.43</v>
      </c>
      <c r="Y195" s="11">
        <v>92129.58</v>
      </c>
      <c r="Z195" s="17">
        <v>39822093.850000001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39914223.43</v>
      </c>
      <c r="AH195" s="11">
        <v>92129.58</v>
      </c>
      <c r="AI195" s="12">
        <v>39822093.850000001</v>
      </c>
      <c r="AJ195" s="11">
        <v>39822093.850000001</v>
      </c>
      <c r="AK195" s="11">
        <v>0</v>
      </c>
      <c r="AL195" s="11">
        <v>0</v>
      </c>
      <c r="AM195" s="11">
        <v>39822093.850000001</v>
      </c>
      <c r="AN195" s="11">
        <v>39914223.43</v>
      </c>
      <c r="AO195" s="11">
        <v>92129.58</v>
      </c>
      <c r="AP195" s="11">
        <v>39914223.43</v>
      </c>
      <c r="AQ195" s="11">
        <v>0</v>
      </c>
      <c r="AR195" s="11">
        <v>92129.58</v>
      </c>
      <c r="AS195" t="s">
        <v>48</v>
      </c>
      <c r="AT195"/>
    </row>
    <row r="196" spans="1:50" x14ac:dyDescent="0.3">
      <c r="A196">
        <v>2021</v>
      </c>
      <c r="B196">
        <v>307</v>
      </c>
      <c r="C196">
        <v>1.2050200101010199E+20</v>
      </c>
      <c r="D196" s="5">
        <v>20</v>
      </c>
      <c r="E196" s="8" t="s">
        <v>406</v>
      </c>
      <c r="F196">
        <v>1.2050200101010199E+20</v>
      </c>
      <c r="G196" t="s">
        <v>1909</v>
      </c>
      <c r="H196" s="8" t="s">
        <v>102</v>
      </c>
      <c r="I196" t="s">
        <v>47</v>
      </c>
      <c r="J196" s="11">
        <v>190000000</v>
      </c>
      <c r="K196" s="11">
        <v>190000000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190000000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39166415.18</v>
      </c>
      <c r="Y196" s="11">
        <v>92129.58</v>
      </c>
      <c r="Z196" s="17">
        <v>39074285.600000001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39166415.18</v>
      </c>
      <c r="AH196" s="11">
        <v>92129.58</v>
      </c>
      <c r="AI196" s="12">
        <v>39074285.600000001</v>
      </c>
      <c r="AJ196" s="11">
        <v>39074285.600000001</v>
      </c>
      <c r="AK196" s="11">
        <v>0</v>
      </c>
      <c r="AL196" s="11">
        <v>0</v>
      </c>
      <c r="AM196" s="11">
        <v>39074285.600000001</v>
      </c>
      <c r="AN196" s="11">
        <v>39166415.18</v>
      </c>
      <c r="AO196" s="11">
        <v>92129.58</v>
      </c>
      <c r="AP196" s="11">
        <v>39166415.18</v>
      </c>
      <c r="AQ196" s="11">
        <v>0</v>
      </c>
      <c r="AR196" s="11">
        <v>92129.58</v>
      </c>
      <c r="AS196" t="s">
        <v>57</v>
      </c>
      <c r="AT196" s="4" t="str">
        <f t="shared" ref="AT196:AT197" si="25">+H196</f>
        <v>Impuesto al consumo de cervezas, sifones, refajos y mezclas - Nacionales</v>
      </c>
      <c r="AU196" s="7" t="str">
        <f t="shared" ref="AU196:AU197" si="26">+$D196&amp;$AT196&amp;Z196</f>
        <v>20Impuesto al consumo de cervezas, sifones, refajos y mezclas - Nacionales39074285,6</v>
      </c>
      <c r="AV196" t="e">
        <f>+_xlfn.XLOOKUP(AU196,CRUCE!I:I,CRUCE!M:M)</f>
        <v>#N/A</v>
      </c>
      <c r="AW196" t="s">
        <v>1907</v>
      </c>
      <c r="AX196">
        <f>+SUMIFS(CRUCE!C:C,CRUCE!A:A,D196,CRUCE!B:B,'2021'!H196)</f>
        <v>17040804285.6</v>
      </c>
    </row>
    <row r="197" spans="1:50" x14ac:dyDescent="0.3">
      <c r="A197">
        <v>2021</v>
      </c>
      <c r="B197">
        <v>307</v>
      </c>
      <c r="C197">
        <v>1.2050200101010199E+20</v>
      </c>
      <c r="D197" s="5">
        <v>20</v>
      </c>
      <c r="E197" s="8" t="s">
        <v>407</v>
      </c>
      <c r="F197">
        <v>1.2050200101010199E+20</v>
      </c>
      <c r="G197" t="s">
        <v>1909</v>
      </c>
      <c r="H197" s="8" t="s">
        <v>104</v>
      </c>
      <c r="I197" t="s">
        <v>47</v>
      </c>
      <c r="J197" s="11">
        <v>10000000</v>
      </c>
      <c r="K197" s="11">
        <v>10000000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10000000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747808.25</v>
      </c>
      <c r="Y197" s="11">
        <v>0</v>
      </c>
      <c r="Z197" s="17">
        <v>747808.25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747808.25</v>
      </c>
      <c r="AH197" s="11">
        <v>0</v>
      </c>
      <c r="AI197" s="12">
        <v>747808.25</v>
      </c>
      <c r="AJ197" s="11">
        <v>747808.25</v>
      </c>
      <c r="AK197" s="11">
        <v>0</v>
      </c>
      <c r="AL197" s="11">
        <v>0</v>
      </c>
      <c r="AM197" s="11">
        <v>747808.25</v>
      </c>
      <c r="AN197" s="11">
        <v>747808.25</v>
      </c>
      <c r="AO197" s="11">
        <v>0</v>
      </c>
      <c r="AP197" s="11">
        <v>747808.25</v>
      </c>
      <c r="AQ197" s="11">
        <v>0</v>
      </c>
      <c r="AR197" s="11">
        <v>0</v>
      </c>
      <c r="AS197" t="s">
        <v>57</v>
      </c>
      <c r="AT197" s="4" t="str">
        <f t="shared" si="25"/>
        <v>Impuesto al consumo de cervezas, sifones, refajos y mezclas - Extranjeras</v>
      </c>
      <c r="AU197" s="7" t="str">
        <f t="shared" si="26"/>
        <v>20Impuesto al consumo de cervezas, sifones, refajos y mezclas - Extranjeras747808,25</v>
      </c>
      <c r="AV197" t="e">
        <f>+_xlfn.XLOOKUP(AU197,CRUCE!I:I,CRUCE!M:M)</f>
        <v>#N/A</v>
      </c>
      <c r="AW197" t="s">
        <v>1907</v>
      </c>
      <c r="AX197">
        <f>+SUMIFS(CRUCE!C:C,CRUCE!A:A,D197,CRUCE!B:B,'2021'!H197)</f>
        <v>256712808.25</v>
      </c>
    </row>
    <row r="198" spans="1:50" hidden="1" x14ac:dyDescent="0.3">
      <c r="A198">
        <v>2021</v>
      </c>
      <c r="B198">
        <v>307</v>
      </c>
      <c r="C198">
        <v>1.20502001010102E+17</v>
      </c>
      <c r="D198" s="5" t="s">
        <v>44</v>
      </c>
      <c r="E198" s="8" t="s">
        <v>408</v>
      </c>
      <c r="F198">
        <v>1.20502001010102E+17</v>
      </c>
      <c r="H198" s="8" t="s">
        <v>106</v>
      </c>
      <c r="I198" t="s">
        <v>47</v>
      </c>
      <c r="J198" s="11">
        <v>100000000</v>
      </c>
      <c r="K198" s="11">
        <v>100000000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100000000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115722311.48999999</v>
      </c>
      <c r="Y198" s="11">
        <v>0</v>
      </c>
      <c r="Z198" s="17">
        <v>115722311.48999999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115722311.48999999</v>
      </c>
      <c r="AH198" s="11">
        <v>0</v>
      </c>
      <c r="AI198" s="12">
        <v>115722311.48999999</v>
      </c>
      <c r="AJ198" s="11">
        <v>115722311.48999999</v>
      </c>
      <c r="AK198" s="11">
        <v>0</v>
      </c>
      <c r="AL198" s="11">
        <v>0</v>
      </c>
      <c r="AM198" s="11">
        <v>115722311.48999999</v>
      </c>
      <c r="AN198" s="11">
        <v>115722311.48999999</v>
      </c>
      <c r="AO198" s="11">
        <v>0</v>
      </c>
      <c r="AP198" s="11">
        <v>115722311.48999999</v>
      </c>
      <c r="AQ198" s="11">
        <v>0</v>
      </c>
      <c r="AR198" s="11">
        <v>0</v>
      </c>
      <c r="AS198" t="s">
        <v>48</v>
      </c>
      <c r="AT198"/>
    </row>
    <row r="199" spans="1:50" hidden="1" x14ac:dyDescent="0.3">
      <c r="A199">
        <v>2021</v>
      </c>
      <c r="B199">
        <v>307</v>
      </c>
      <c r="C199">
        <v>1.2050200101010199E+20</v>
      </c>
      <c r="D199" s="5" t="s">
        <v>44</v>
      </c>
      <c r="E199" s="8" t="s">
        <v>409</v>
      </c>
      <c r="F199">
        <v>1.2050200101010199E+20</v>
      </c>
      <c r="H199" s="8" t="s">
        <v>108</v>
      </c>
      <c r="I199" t="s">
        <v>47</v>
      </c>
      <c r="J199" s="11">
        <v>100000000</v>
      </c>
      <c r="K199" s="11">
        <v>100000000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100000000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115722311.48999999</v>
      </c>
      <c r="Y199" s="11">
        <v>0</v>
      </c>
      <c r="Z199" s="17">
        <v>115722311.48999999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115722311.48999999</v>
      </c>
      <c r="AH199" s="11">
        <v>0</v>
      </c>
      <c r="AI199" s="12">
        <v>115722311.48999999</v>
      </c>
      <c r="AJ199" s="11">
        <v>115722311.48999999</v>
      </c>
      <c r="AK199" s="11">
        <v>0</v>
      </c>
      <c r="AL199" s="11">
        <v>0</v>
      </c>
      <c r="AM199" s="11">
        <v>115722311.48999999</v>
      </c>
      <c r="AN199" s="11">
        <v>115722311.48999999</v>
      </c>
      <c r="AO199" s="11">
        <v>0</v>
      </c>
      <c r="AP199" s="11">
        <v>115722311.48999999</v>
      </c>
      <c r="AQ199" s="11">
        <v>0</v>
      </c>
      <c r="AR199" s="11">
        <v>0</v>
      </c>
      <c r="AS199" t="s">
        <v>48</v>
      </c>
      <c r="AT199"/>
    </row>
    <row r="200" spans="1:50" x14ac:dyDescent="0.3">
      <c r="A200">
        <v>2021</v>
      </c>
      <c r="B200">
        <v>307</v>
      </c>
      <c r="C200">
        <v>1.20502001010102E+35</v>
      </c>
      <c r="D200" s="5">
        <v>20</v>
      </c>
      <c r="E200" s="8" t="s">
        <v>410</v>
      </c>
      <c r="F200">
        <v>1.20502001010102E+35</v>
      </c>
      <c r="G200" t="s">
        <v>1909</v>
      </c>
      <c r="H200" s="8" t="s">
        <v>110</v>
      </c>
      <c r="I200" t="s">
        <v>47</v>
      </c>
      <c r="J200" s="11">
        <v>100000000</v>
      </c>
      <c r="K200" s="11">
        <v>100000000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100000000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115722311.48999999</v>
      </c>
      <c r="Y200" s="11">
        <v>0</v>
      </c>
      <c r="Z200" s="17">
        <v>115722311.48999999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115722311.48999999</v>
      </c>
      <c r="AH200" s="11">
        <v>0</v>
      </c>
      <c r="AI200" s="12">
        <v>115722311.48999999</v>
      </c>
      <c r="AJ200" s="11">
        <v>115722311.48999999</v>
      </c>
      <c r="AK200" s="11">
        <v>0</v>
      </c>
      <c r="AL200" s="11">
        <v>0</v>
      </c>
      <c r="AM200" s="11">
        <v>115722311.48999999</v>
      </c>
      <c r="AN200" s="11">
        <v>115722311.48999999</v>
      </c>
      <c r="AO200" s="11">
        <v>0</v>
      </c>
      <c r="AP200" s="11">
        <v>115722311.48999999</v>
      </c>
      <c r="AQ200" s="11">
        <v>0</v>
      </c>
      <c r="AR200" s="11">
        <v>0</v>
      </c>
      <c r="AS200" t="s">
        <v>57</v>
      </c>
      <c r="AT200" s="4" t="s">
        <v>110</v>
      </c>
      <c r="AU200" s="7" t="str">
        <f t="shared" ref="AU200:AU203" si="27">+$D200&amp;$AT200&amp;Z200</f>
        <v>20Componente específico del impuesto al consumo de cigarrillos y tabaco - Extranjeros115722311,49</v>
      </c>
      <c r="AV200" t="e">
        <f>+_xlfn.XLOOKUP(AU200,CRUCE!I:I,CRUCE!M:M)</f>
        <v>#N/A</v>
      </c>
      <c r="AW200" t="s">
        <v>1907</v>
      </c>
      <c r="AX200">
        <f>+SUMIFS(CRUCE!C:C,CRUCE!A:A,D200,CRUCE!B:B,'2021'!H200)</f>
        <v>10636499437.49</v>
      </c>
    </row>
    <row r="201" spans="1:50" x14ac:dyDescent="0.3">
      <c r="A201">
        <v>2021</v>
      </c>
      <c r="B201">
        <v>307</v>
      </c>
      <c r="C201">
        <v>1.20502001010102E+17</v>
      </c>
      <c r="D201" s="5">
        <v>20</v>
      </c>
      <c r="E201" s="8" t="s">
        <v>411</v>
      </c>
      <c r="F201">
        <v>1.20502001010102E+17</v>
      </c>
      <c r="G201" t="s">
        <v>1909</v>
      </c>
      <c r="H201" s="8" t="s">
        <v>112</v>
      </c>
      <c r="I201" t="s">
        <v>47</v>
      </c>
      <c r="J201" s="11">
        <v>18000000</v>
      </c>
      <c r="K201" s="11">
        <v>18000000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18000000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54589204.329999998</v>
      </c>
      <c r="Y201" s="11">
        <v>0</v>
      </c>
      <c r="Z201" s="17">
        <v>54589204.329999998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54589204.329999998</v>
      </c>
      <c r="AH201" s="11">
        <v>0</v>
      </c>
      <c r="AI201" s="12">
        <v>54589204.329999998</v>
      </c>
      <c r="AJ201" s="11">
        <v>54589204.329999998</v>
      </c>
      <c r="AK201" s="11">
        <v>0</v>
      </c>
      <c r="AL201" s="11">
        <v>0</v>
      </c>
      <c r="AM201" s="11">
        <v>54589204.329999998</v>
      </c>
      <c r="AN201" s="11">
        <v>54589204.329999998</v>
      </c>
      <c r="AO201" s="11">
        <v>0</v>
      </c>
      <c r="AP201" s="11">
        <v>54589204.329999998</v>
      </c>
      <c r="AQ201" s="11">
        <v>0</v>
      </c>
      <c r="AR201" s="11">
        <v>0</v>
      </c>
      <c r="AS201" t="s">
        <v>57</v>
      </c>
      <c r="AT201" s="4" t="str">
        <f t="shared" ref="AT201:AT202" si="28">+H201</f>
        <v xml:space="preserve">Sobretasa a la gasolina </v>
      </c>
      <c r="AU201" s="7" t="str">
        <f t="shared" si="27"/>
        <v>20Sobretasa a la gasolina 54589204,33</v>
      </c>
      <c r="AV201" t="e">
        <f>+_xlfn.XLOOKUP(AU201,CRUCE!I:I,CRUCE!M:M)</f>
        <v>#N/A</v>
      </c>
      <c r="AW201" t="s">
        <v>1907</v>
      </c>
      <c r="AX201">
        <f>+SUMIFS(CRUCE!C:C,CRUCE!A:A,D201,CRUCE!B:B,'2021'!H201)</f>
        <v>8034714604.3299999</v>
      </c>
    </row>
    <row r="202" spans="1:50" x14ac:dyDescent="0.3">
      <c r="A202">
        <v>2021</v>
      </c>
      <c r="B202">
        <v>307</v>
      </c>
      <c r="C202">
        <v>1.20502001010102E+17</v>
      </c>
      <c r="D202" s="5">
        <v>20</v>
      </c>
      <c r="E202" s="8" t="s">
        <v>412</v>
      </c>
      <c r="F202">
        <v>1.20502001010102E+17</v>
      </c>
      <c r="G202" t="s">
        <v>1909</v>
      </c>
      <c r="H202" s="8" t="s">
        <v>79</v>
      </c>
      <c r="I202" t="s">
        <v>47</v>
      </c>
      <c r="J202" s="11">
        <v>1000000</v>
      </c>
      <c r="K202" s="11">
        <v>1000000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1000000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7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2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t="s">
        <v>57</v>
      </c>
      <c r="AT202" s="4" t="str">
        <f t="shared" si="28"/>
        <v>Impuesto al degüello de ganado mayor</v>
      </c>
      <c r="AU202" s="7" t="str">
        <f t="shared" si="27"/>
        <v>20Impuesto al degüello de ganado mayor0</v>
      </c>
      <c r="AV202" t="e">
        <f>+_xlfn.XLOOKUP(AU202,CRUCE!I:I,CRUCE!M:M)</f>
        <v>#N/A</v>
      </c>
      <c r="AW202" t="s">
        <v>1907</v>
      </c>
      <c r="AX202">
        <f>+SUMIFS(CRUCE!C:C,CRUCE!A:A,D202,CRUCE!B:B,'2021'!H202)</f>
        <v>660196800</v>
      </c>
    </row>
    <row r="203" spans="1:50" x14ac:dyDescent="0.3">
      <c r="A203">
        <v>2021</v>
      </c>
      <c r="B203">
        <v>307</v>
      </c>
      <c r="C203">
        <v>1.20502001010102E+17</v>
      </c>
      <c r="D203" s="5">
        <v>42</v>
      </c>
      <c r="E203" s="8" t="s">
        <v>413</v>
      </c>
      <c r="F203">
        <v>1.20502001010102E+17</v>
      </c>
      <c r="G203" t="s">
        <v>1909</v>
      </c>
      <c r="H203" s="8" t="s">
        <v>114</v>
      </c>
      <c r="I203" t="s">
        <v>47</v>
      </c>
      <c r="J203" s="11">
        <v>76182726</v>
      </c>
      <c r="K203" s="11">
        <v>76182726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76182726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29657891.350000001</v>
      </c>
      <c r="Y203" s="11">
        <v>0</v>
      </c>
      <c r="Z203" s="17">
        <v>29657891.350000001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29657891.350000001</v>
      </c>
      <c r="AH203" s="11">
        <v>0</v>
      </c>
      <c r="AI203" s="12">
        <v>29657891.350000001</v>
      </c>
      <c r="AJ203" s="11">
        <v>29657891.350000001</v>
      </c>
      <c r="AK203" s="11">
        <v>0</v>
      </c>
      <c r="AL203" s="11">
        <v>0</v>
      </c>
      <c r="AM203" s="11">
        <v>29657891.350000001</v>
      </c>
      <c r="AN203" s="11">
        <v>29657891.350000001</v>
      </c>
      <c r="AO203" s="11">
        <v>0</v>
      </c>
      <c r="AP203" s="11">
        <v>29657891.350000001</v>
      </c>
      <c r="AQ203" s="11">
        <v>0</v>
      </c>
      <c r="AR203" s="11">
        <v>0</v>
      </c>
      <c r="AS203" t="s">
        <v>115</v>
      </c>
      <c r="AT203" s="4" t="s">
        <v>1142</v>
      </c>
      <c r="AU203" s="7" t="str">
        <f t="shared" si="27"/>
        <v>42Depósitos Fondo de Seguridad Ciudadana29657891,35</v>
      </c>
      <c r="AV203" t="str">
        <f>+_xlfn.XLOOKUP(AU203,CRUCE!I:I,CRUCE!M:M)</f>
        <v>READY</v>
      </c>
      <c r="AW203" t="s">
        <v>1907</v>
      </c>
      <c r="AX203">
        <f>+SUMIFS(CRUCE!C:C,CRUCE!A:A,D203,CRUCE!B:B,'2021'!H203)</f>
        <v>0</v>
      </c>
    </row>
    <row r="204" spans="1:50" hidden="1" x14ac:dyDescent="0.3">
      <c r="A204">
        <v>2021</v>
      </c>
      <c r="B204">
        <v>307</v>
      </c>
      <c r="C204">
        <v>1.20502001010102E+17</v>
      </c>
      <c r="D204" s="5" t="s">
        <v>44</v>
      </c>
      <c r="E204" s="8" t="s">
        <v>414</v>
      </c>
      <c r="F204">
        <v>1.20502001010102E+17</v>
      </c>
      <c r="H204" s="8" t="s">
        <v>117</v>
      </c>
      <c r="I204" t="s">
        <v>47</v>
      </c>
      <c r="J204" s="11">
        <v>48984799</v>
      </c>
      <c r="K204" s="11">
        <v>48984799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48984799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60582949.869999997</v>
      </c>
      <c r="Y204" s="11">
        <v>2537206.37</v>
      </c>
      <c r="Z204" s="17">
        <v>58045743.5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60582949.869999997</v>
      </c>
      <c r="AH204" s="11">
        <v>2537206.37</v>
      </c>
      <c r="AI204" s="12">
        <v>58045743.5</v>
      </c>
      <c r="AJ204" s="11">
        <v>58045743.5</v>
      </c>
      <c r="AK204" s="11">
        <v>0</v>
      </c>
      <c r="AL204" s="11">
        <v>0</v>
      </c>
      <c r="AM204" s="11">
        <v>60507737.960000001</v>
      </c>
      <c r="AN204" s="11">
        <v>60582949.869999997</v>
      </c>
      <c r="AO204" s="11">
        <v>75211.91</v>
      </c>
      <c r="AP204" s="11">
        <v>60582949.869999997</v>
      </c>
      <c r="AQ204" s="11">
        <v>0</v>
      </c>
      <c r="AR204" s="11">
        <v>75211.91</v>
      </c>
      <c r="AS204" t="s">
        <v>48</v>
      </c>
      <c r="AT204"/>
    </row>
    <row r="205" spans="1:50" x14ac:dyDescent="0.3">
      <c r="A205">
        <v>2021</v>
      </c>
      <c r="B205">
        <v>307</v>
      </c>
      <c r="C205">
        <v>1.2050200101010199E+20</v>
      </c>
      <c r="D205" s="5">
        <v>6</v>
      </c>
      <c r="E205" s="8" t="s">
        <v>415</v>
      </c>
      <c r="F205">
        <v>1.2050200101010199E+20</v>
      </c>
      <c r="G205" t="s">
        <v>1909</v>
      </c>
      <c r="H205" s="8" t="s">
        <v>119</v>
      </c>
      <c r="I205" t="s">
        <v>47</v>
      </c>
      <c r="J205" s="11">
        <v>2530534</v>
      </c>
      <c r="K205" s="11">
        <v>2530534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2530534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14259553.98</v>
      </c>
      <c r="Y205" s="11">
        <v>0</v>
      </c>
      <c r="Z205" s="17">
        <v>14259553.98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14259553.98</v>
      </c>
      <c r="AH205" s="11">
        <v>0</v>
      </c>
      <c r="AI205" s="12">
        <v>14259553.98</v>
      </c>
      <c r="AJ205" s="11">
        <v>14259553.98</v>
      </c>
      <c r="AK205" s="11">
        <v>0</v>
      </c>
      <c r="AL205" s="11">
        <v>0</v>
      </c>
      <c r="AM205" s="11">
        <v>14259553.98</v>
      </c>
      <c r="AN205" s="11">
        <v>14259553.98</v>
      </c>
      <c r="AO205" s="11">
        <v>0</v>
      </c>
      <c r="AP205" s="11">
        <v>14259553.98</v>
      </c>
      <c r="AQ205" s="11">
        <v>0</v>
      </c>
      <c r="AR205" s="11">
        <v>0</v>
      </c>
      <c r="AS205" t="s">
        <v>120</v>
      </c>
      <c r="AT205" s="4" t="str">
        <f>+H205</f>
        <v>Estampilla para el bienestar del adulto mayor</v>
      </c>
      <c r="AU205" s="7" t="str">
        <f t="shared" ref="AU205:AU214" si="29">+$D205&amp;$AT205&amp;Z205</f>
        <v>6Estampilla para el bienestar del adulto mayor14259553,98</v>
      </c>
      <c r="AV205" t="str">
        <f>+_xlfn.XLOOKUP(AU205,CRUCE!I:I,CRUCE!M:M)</f>
        <v>READY</v>
      </c>
      <c r="AW205" t="s">
        <v>1907</v>
      </c>
      <c r="AX205">
        <f>+SUMIFS(CRUCE!C:C,CRUCE!A:A,D205,CRUCE!B:B,'2021'!H205)</f>
        <v>14259553.98</v>
      </c>
    </row>
    <row r="206" spans="1:50" x14ac:dyDescent="0.3">
      <c r="A206">
        <v>2021</v>
      </c>
      <c r="B206">
        <v>307</v>
      </c>
      <c r="C206">
        <v>1.2050200101010199E+20</v>
      </c>
      <c r="D206" s="5">
        <v>178</v>
      </c>
      <c r="E206" s="8" t="s">
        <v>416</v>
      </c>
      <c r="F206">
        <v>1.2050200101010199E+20</v>
      </c>
      <c r="G206" t="s">
        <v>1909</v>
      </c>
      <c r="H206" s="8" t="s">
        <v>119</v>
      </c>
      <c r="I206" t="s">
        <v>47</v>
      </c>
      <c r="J206" s="11">
        <v>632633</v>
      </c>
      <c r="K206" s="11">
        <v>632633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632633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3564888.44</v>
      </c>
      <c r="Y206" s="11">
        <v>0</v>
      </c>
      <c r="Z206" s="17">
        <v>3564888.44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3564888.44</v>
      </c>
      <c r="AH206" s="11">
        <v>0</v>
      </c>
      <c r="AI206" s="12">
        <v>3564888.44</v>
      </c>
      <c r="AJ206" s="11">
        <v>3564888.44</v>
      </c>
      <c r="AK206" s="11">
        <v>0</v>
      </c>
      <c r="AL206" s="11">
        <v>0</v>
      </c>
      <c r="AM206" s="11">
        <v>3564888.44</v>
      </c>
      <c r="AN206" s="11">
        <v>3564888.44</v>
      </c>
      <c r="AO206" s="11">
        <v>0</v>
      </c>
      <c r="AP206" s="11">
        <v>3564888.44</v>
      </c>
      <c r="AQ206" s="11">
        <v>0</v>
      </c>
      <c r="AR206" s="11">
        <v>0</v>
      </c>
      <c r="AS206" t="s">
        <v>122</v>
      </c>
      <c r="AT206" s="4" t="s">
        <v>1137</v>
      </c>
      <c r="AU206" s="7" t="str">
        <f t="shared" si="29"/>
        <v>178Depósitos Estampilla Proadulto Pensiones 20%3564888,44</v>
      </c>
      <c r="AV206" t="str">
        <f>+_xlfn.XLOOKUP(AU206,CRUCE!I:I,CRUCE!M:M)</f>
        <v>READY</v>
      </c>
      <c r="AW206" t="s">
        <v>1907</v>
      </c>
      <c r="AX206">
        <f>+SUMIFS(CRUCE!C:C,CRUCE!A:A,D206,CRUCE!B:B,'2021'!H206)</f>
        <v>0</v>
      </c>
    </row>
    <row r="207" spans="1:50" x14ac:dyDescent="0.3">
      <c r="A207">
        <v>2021</v>
      </c>
      <c r="B207">
        <v>307</v>
      </c>
      <c r="C207">
        <v>1.2050200101010199E+20</v>
      </c>
      <c r="D207" s="5">
        <v>4</v>
      </c>
      <c r="E207" s="8" t="s">
        <v>417</v>
      </c>
      <c r="F207">
        <v>1.2050200101010199E+20</v>
      </c>
      <c r="G207" t="s">
        <v>1909</v>
      </c>
      <c r="H207" s="8" t="s">
        <v>124</v>
      </c>
      <c r="I207" t="s">
        <v>47</v>
      </c>
      <c r="J207" s="11">
        <v>16073375</v>
      </c>
      <c r="K207" s="11">
        <v>16073375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16073375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20238978.620000001</v>
      </c>
      <c r="Y207" s="11">
        <v>1277068.27</v>
      </c>
      <c r="Z207" s="17">
        <v>18961910.350000001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20238978.620000001</v>
      </c>
      <c r="AH207" s="11">
        <v>1277068.27</v>
      </c>
      <c r="AI207" s="12">
        <v>18961910.350000001</v>
      </c>
      <c r="AJ207" s="11">
        <v>18961910.350000001</v>
      </c>
      <c r="AK207" s="11">
        <v>0</v>
      </c>
      <c r="AL207" s="11">
        <v>0</v>
      </c>
      <c r="AM207" s="11">
        <v>20238978.620000001</v>
      </c>
      <c r="AN207" s="11">
        <v>20238978.620000001</v>
      </c>
      <c r="AO207" s="11">
        <v>0</v>
      </c>
      <c r="AP207" s="11">
        <v>20238978.620000001</v>
      </c>
      <c r="AQ207" s="11">
        <v>0</v>
      </c>
      <c r="AR207" s="11">
        <v>0</v>
      </c>
      <c r="AS207" t="s">
        <v>125</v>
      </c>
      <c r="AT207" s="4" t="str">
        <f>+H207</f>
        <v>Estampilla pro desarrollo departamental</v>
      </c>
      <c r="AU207" s="7" t="str">
        <f t="shared" si="29"/>
        <v>4Estampilla pro desarrollo departamental18961910,35</v>
      </c>
      <c r="AV207" t="str">
        <f>+_xlfn.XLOOKUP(AU207,CRUCE!I:I,CRUCE!M:M)</f>
        <v>READY</v>
      </c>
      <c r="AW207" t="s">
        <v>1907</v>
      </c>
      <c r="AX207">
        <f>+SUMIFS(CRUCE!C:C,CRUCE!A:A,D207,CRUCE!B:B,'2021'!H207)</f>
        <v>18961910.350000001</v>
      </c>
    </row>
    <row r="208" spans="1:50" x14ac:dyDescent="0.3">
      <c r="A208">
        <v>2021</v>
      </c>
      <c r="B208">
        <v>307</v>
      </c>
      <c r="C208">
        <v>1.2050200101010199E+20</v>
      </c>
      <c r="D208" s="5">
        <v>176</v>
      </c>
      <c r="E208" s="8" t="s">
        <v>418</v>
      </c>
      <c r="F208">
        <v>1.2050200101010199E+20</v>
      </c>
      <c r="G208" t="s">
        <v>1909</v>
      </c>
      <c r="H208" s="8" t="s">
        <v>124</v>
      </c>
      <c r="I208" t="s">
        <v>47</v>
      </c>
      <c r="J208" s="11">
        <v>4945654</v>
      </c>
      <c r="K208" s="11">
        <v>4945654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4945654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6320426.5999999996</v>
      </c>
      <c r="Y208" s="11">
        <v>0</v>
      </c>
      <c r="Z208" s="17">
        <v>6320426.5999999996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6320426.5999999996</v>
      </c>
      <c r="AH208" s="11">
        <v>0</v>
      </c>
      <c r="AI208" s="12">
        <v>6320426.5999999996</v>
      </c>
      <c r="AJ208" s="11">
        <v>6320426.5999999996</v>
      </c>
      <c r="AK208" s="11">
        <v>0</v>
      </c>
      <c r="AL208" s="11">
        <v>0</v>
      </c>
      <c r="AM208" s="11">
        <v>6320426.5999999996</v>
      </c>
      <c r="AN208" s="11">
        <v>6320426.5999999996</v>
      </c>
      <c r="AO208" s="11">
        <v>0</v>
      </c>
      <c r="AP208" s="11">
        <v>6320426.5999999996</v>
      </c>
      <c r="AQ208" s="11">
        <v>0</v>
      </c>
      <c r="AR208" s="11">
        <v>0</v>
      </c>
      <c r="AS208" t="s">
        <v>127</v>
      </c>
      <c r="AT208" s="4" t="s">
        <v>1123</v>
      </c>
      <c r="AU208" s="7" t="str">
        <f t="shared" si="29"/>
        <v>176Depósitos Estampilla Prodesarrollo Pensiones 20%6320426,6</v>
      </c>
      <c r="AV208" t="str">
        <f>+_xlfn.XLOOKUP(AU208,CRUCE!I:I,CRUCE!M:M)</f>
        <v>READY</v>
      </c>
      <c r="AW208" t="s">
        <v>1907</v>
      </c>
      <c r="AX208">
        <f>+SUMIFS(CRUCE!C:C,CRUCE!A:A,D208,CRUCE!B:B,'2021'!H208)</f>
        <v>0</v>
      </c>
    </row>
    <row r="209" spans="1:50" x14ac:dyDescent="0.3">
      <c r="A209">
        <v>2021</v>
      </c>
      <c r="B209">
        <v>307</v>
      </c>
      <c r="C209">
        <v>1.2050200101010199E+20</v>
      </c>
      <c r="D209" s="5">
        <v>177</v>
      </c>
      <c r="E209" s="8" t="s">
        <v>419</v>
      </c>
      <c r="F209">
        <v>1.2050200101010199E+20</v>
      </c>
      <c r="G209" t="s">
        <v>1909</v>
      </c>
      <c r="H209" s="8" t="s">
        <v>124</v>
      </c>
      <c r="I209" t="s">
        <v>47</v>
      </c>
      <c r="J209" s="11">
        <v>3709240</v>
      </c>
      <c r="K209" s="11">
        <v>3709240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3709240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7504722.2300000004</v>
      </c>
      <c r="Y209" s="11">
        <v>1184926.19</v>
      </c>
      <c r="Z209" s="17">
        <v>6319796.04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7504722.2300000004</v>
      </c>
      <c r="AH209" s="11">
        <v>1184926.19</v>
      </c>
      <c r="AI209" s="12">
        <v>6319796.04</v>
      </c>
      <c r="AJ209" s="11">
        <v>6319796.04</v>
      </c>
      <c r="AK209" s="11">
        <v>0</v>
      </c>
      <c r="AL209" s="11">
        <v>0</v>
      </c>
      <c r="AM209" s="11">
        <v>7504722.2300000004</v>
      </c>
      <c r="AN209" s="11">
        <v>7504722.2300000004</v>
      </c>
      <c r="AO209" s="11">
        <v>0</v>
      </c>
      <c r="AP209" s="11">
        <v>7504722.2300000004</v>
      </c>
      <c r="AQ209" s="11">
        <v>0</v>
      </c>
      <c r="AR209" s="11">
        <v>0</v>
      </c>
      <c r="AS209" t="s">
        <v>129</v>
      </c>
      <c r="AT209" s="4" t="s">
        <v>1148</v>
      </c>
      <c r="AU209" s="7" t="str">
        <f t="shared" si="29"/>
        <v>177Depósitos Estampillas Pro-Desarrollo 30%6319796,04</v>
      </c>
      <c r="AV209" t="str">
        <f>+_xlfn.XLOOKUP(AU209,CRUCE!I:I,CRUCE!M:M)</f>
        <v>READY</v>
      </c>
      <c r="AX209">
        <f>+SUMIFS(CRUCE!C:C,CRUCE!A:A,D209,CRUCE!B:B,'2021'!H209)</f>
        <v>0</v>
      </c>
    </row>
    <row r="210" spans="1:50" x14ac:dyDescent="0.3">
      <c r="A210">
        <v>2021</v>
      </c>
      <c r="B210">
        <v>307</v>
      </c>
      <c r="C210">
        <v>1.2050200101010199E+20</v>
      </c>
      <c r="D210" s="5">
        <v>5</v>
      </c>
      <c r="E210" s="8" t="s">
        <v>420</v>
      </c>
      <c r="F210">
        <v>1.2050200101010199E+20</v>
      </c>
      <c r="G210" t="s">
        <v>1909</v>
      </c>
      <c r="H210" s="8" t="s">
        <v>134</v>
      </c>
      <c r="I210" t="s">
        <v>47</v>
      </c>
      <c r="J210" s="11">
        <v>4218673</v>
      </c>
      <c r="K210" s="11">
        <v>4218673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4218673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1738876.01</v>
      </c>
      <c r="Y210" s="11">
        <v>15042.39</v>
      </c>
      <c r="Z210" s="17">
        <v>1723833.62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1738876.01</v>
      </c>
      <c r="AH210" s="11">
        <v>15042.39</v>
      </c>
      <c r="AI210" s="12">
        <v>1723833.62</v>
      </c>
      <c r="AJ210" s="11">
        <v>1723833.62</v>
      </c>
      <c r="AK210" s="11">
        <v>0</v>
      </c>
      <c r="AL210" s="11">
        <v>0</v>
      </c>
      <c r="AM210" s="11">
        <v>1723833.62</v>
      </c>
      <c r="AN210" s="11">
        <v>1738876.01</v>
      </c>
      <c r="AO210" s="11">
        <v>15042.39</v>
      </c>
      <c r="AP210" s="11">
        <v>1738876.01</v>
      </c>
      <c r="AQ210" s="11">
        <v>0</v>
      </c>
      <c r="AR210" s="11">
        <v>15042.39</v>
      </c>
      <c r="AS210" t="s">
        <v>135</v>
      </c>
      <c r="AT210" s="4" t="str">
        <f>+H210</f>
        <v>Estampilla pro cultura</v>
      </c>
      <c r="AU210" s="7" t="str">
        <f t="shared" si="29"/>
        <v>5Estampilla pro cultura1723833,62</v>
      </c>
      <c r="AV210" t="str">
        <f>+_xlfn.XLOOKUP(AU210,CRUCE!I:I,CRUCE!M:M)</f>
        <v>READY</v>
      </c>
      <c r="AW210" t="s">
        <v>1907</v>
      </c>
      <c r="AX210">
        <f>+SUMIFS(CRUCE!C:C,CRUCE!A:A,D210,CRUCE!B:B,'2021'!H210)</f>
        <v>1723833.62</v>
      </c>
    </row>
    <row r="211" spans="1:50" x14ac:dyDescent="0.3">
      <c r="A211">
        <v>2021</v>
      </c>
      <c r="B211">
        <v>307</v>
      </c>
      <c r="C211">
        <v>1.2050200101010199E+20</v>
      </c>
      <c r="D211" s="5">
        <v>33</v>
      </c>
      <c r="E211" s="8" t="s">
        <v>421</v>
      </c>
      <c r="F211">
        <v>1.2050200101010199E+20</v>
      </c>
      <c r="G211" t="s">
        <v>1909</v>
      </c>
      <c r="H211" s="8" t="s">
        <v>134</v>
      </c>
      <c r="I211" t="s">
        <v>47</v>
      </c>
      <c r="J211" s="11">
        <v>2109336</v>
      </c>
      <c r="K211" s="11">
        <v>2109336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2109336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869438.01</v>
      </c>
      <c r="Y211" s="11">
        <v>7521.19</v>
      </c>
      <c r="Z211" s="17">
        <v>861916.82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869438.01</v>
      </c>
      <c r="AH211" s="11">
        <v>7521.19</v>
      </c>
      <c r="AI211" s="12">
        <v>861916.82</v>
      </c>
      <c r="AJ211" s="11">
        <v>861916.82</v>
      </c>
      <c r="AK211" s="11">
        <v>0</v>
      </c>
      <c r="AL211" s="11">
        <v>0</v>
      </c>
      <c r="AM211" s="11">
        <v>861916.82</v>
      </c>
      <c r="AN211" s="11">
        <v>869438.01</v>
      </c>
      <c r="AO211" s="11">
        <v>7521.19</v>
      </c>
      <c r="AP211" s="11">
        <v>869438.01</v>
      </c>
      <c r="AQ211" s="11">
        <v>0</v>
      </c>
      <c r="AR211" s="11">
        <v>7521.19</v>
      </c>
      <c r="AS211" t="s">
        <v>137</v>
      </c>
      <c r="AT211" s="4" t="s">
        <v>1127</v>
      </c>
      <c r="AU211" s="7" t="str">
        <f t="shared" si="29"/>
        <v>33Depósitos Estampilla Procultura Seguridad Social 10%861916,82</v>
      </c>
      <c r="AV211" t="str">
        <f>+_xlfn.XLOOKUP(AU211,CRUCE!I:I,CRUCE!M:M)</f>
        <v>READY</v>
      </c>
      <c r="AW211" t="s">
        <v>1907</v>
      </c>
      <c r="AX211">
        <f>+SUMIFS(CRUCE!C:C,CRUCE!A:A,D211,CRUCE!B:B,'2021'!H211)</f>
        <v>0</v>
      </c>
    </row>
    <row r="212" spans="1:50" x14ac:dyDescent="0.3">
      <c r="A212">
        <v>2021</v>
      </c>
      <c r="B212">
        <v>307</v>
      </c>
      <c r="C212">
        <v>1.2050200101010199E+20</v>
      </c>
      <c r="D212" s="5">
        <v>34</v>
      </c>
      <c r="E212" s="8" t="s">
        <v>422</v>
      </c>
      <c r="F212">
        <v>1.2050200101010199E+20</v>
      </c>
      <c r="G212" t="s">
        <v>1909</v>
      </c>
      <c r="H212" s="8" t="s">
        <v>134</v>
      </c>
      <c r="I212" t="s">
        <v>47</v>
      </c>
      <c r="J212" s="11">
        <v>2109336</v>
      </c>
      <c r="K212" s="11">
        <v>2109336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2109336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869438.01</v>
      </c>
      <c r="Y212" s="11">
        <v>7521.19</v>
      </c>
      <c r="Z212" s="17">
        <v>861916.82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869438.01</v>
      </c>
      <c r="AH212" s="11">
        <v>7521.19</v>
      </c>
      <c r="AI212" s="12">
        <v>861916.82</v>
      </c>
      <c r="AJ212" s="11">
        <v>861916.82</v>
      </c>
      <c r="AK212" s="11">
        <v>0</v>
      </c>
      <c r="AL212" s="11">
        <v>0</v>
      </c>
      <c r="AM212" s="11">
        <v>861916.82</v>
      </c>
      <c r="AN212" s="11">
        <v>869438.01</v>
      </c>
      <c r="AO212" s="11">
        <v>7521.19</v>
      </c>
      <c r="AP212" s="11">
        <v>869438.01</v>
      </c>
      <c r="AQ212" s="11">
        <v>0</v>
      </c>
      <c r="AR212" s="11">
        <v>7521.19</v>
      </c>
      <c r="AS212" t="s">
        <v>139</v>
      </c>
      <c r="AT212" s="4" t="s">
        <v>1129</v>
      </c>
      <c r="AU212" s="7" t="str">
        <f t="shared" si="29"/>
        <v>34Depósitos Estampilla Procultura Bibliotecas 10%861916,82</v>
      </c>
      <c r="AV212" t="str">
        <f>+_xlfn.XLOOKUP(AU212,CRUCE!I:I,CRUCE!M:M)</f>
        <v>READY</v>
      </c>
      <c r="AW212" t="s">
        <v>1907</v>
      </c>
      <c r="AX212">
        <f>+SUMIFS(CRUCE!C:C,CRUCE!A:A,D212,CRUCE!B:B,'2021'!H212)</f>
        <v>0</v>
      </c>
    </row>
    <row r="213" spans="1:50" x14ac:dyDescent="0.3">
      <c r="A213">
        <v>2021</v>
      </c>
      <c r="B213">
        <v>307</v>
      </c>
      <c r="C213">
        <v>1.2050200101010199E+20</v>
      </c>
      <c r="D213" s="5">
        <v>39</v>
      </c>
      <c r="E213" s="8" t="s">
        <v>423</v>
      </c>
      <c r="F213">
        <v>1.2050200101010199E+20</v>
      </c>
      <c r="G213" t="s">
        <v>1909</v>
      </c>
      <c r="H213" s="8" t="s">
        <v>134</v>
      </c>
      <c r="I213" t="s">
        <v>47</v>
      </c>
      <c r="J213" s="11">
        <v>10546682</v>
      </c>
      <c r="K213" s="11">
        <v>10546682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10546682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4347189.96</v>
      </c>
      <c r="Y213" s="11">
        <v>37605.949999999997</v>
      </c>
      <c r="Z213" s="17">
        <v>4309584.01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4347189.96</v>
      </c>
      <c r="AH213" s="11">
        <v>37605.949999999997</v>
      </c>
      <c r="AI213" s="12">
        <v>4309584.01</v>
      </c>
      <c r="AJ213" s="11">
        <v>4309584.01</v>
      </c>
      <c r="AK213" s="11">
        <v>0</v>
      </c>
      <c r="AL213" s="11">
        <v>0</v>
      </c>
      <c r="AM213" s="11">
        <v>4309584.01</v>
      </c>
      <c r="AN213" s="11">
        <v>4347189.96</v>
      </c>
      <c r="AO213" s="11">
        <v>37605.949999999997</v>
      </c>
      <c r="AP213" s="11">
        <v>4347189.96</v>
      </c>
      <c r="AQ213" s="11">
        <v>0</v>
      </c>
      <c r="AR213" s="11">
        <v>37605.949999999997</v>
      </c>
      <c r="AS213" t="s">
        <v>141</v>
      </c>
      <c r="AT213" s="4" t="s">
        <v>1131</v>
      </c>
      <c r="AU213" s="7" t="str">
        <f t="shared" si="29"/>
        <v>39Depósitos Estampilla Procultura Concertacion 50%4309584,01</v>
      </c>
      <c r="AV213" t="str">
        <f>+_xlfn.XLOOKUP(AU213,CRUCE!I:I,CRUCE!M:M)</f>
        <v>READY</v>
      </c>
      <c r="AW213" t="s">
        <v>1907</v>
      </c>
      <c r="AX213">
        <f>+SUMIFS(CRUCE!C:C,CRUCE!A:A,D213,CRUCE!B:B,'2021'!H213)</f>
        <v>0</v>
      </c>
    </row>
    <row r="214" spans="1:50" x14ac:dyDescent="0.3">
      <c r="A214">
        <v>2021</v>
      </c>
      <c r="B214">
        <v>307</v>
      </c>
      <c r="C214">
        <v>1.2050200101010199E+20</v>
      </c>
      <c r="D214" s="5">
        <v>41</v>
      </c>
      <c r="E214" s="8" t="s">
        <v>424</v>
      </c>
      <c r="F214">
        <v>1.2050200101010199E+20</v>
      </c>
      <c r="G214" t="s">
        <v>1909</v>
      </c>
      <c r="H214" s="8" t="s">
        <v>134</v>
      </c>
      <c r="I214" t="s">
        <v>47</v>
      </c>
      <c r="J214" s="11">
        <v>2109336</v>
      </c>
      <c r="K214" s="11">
        <v>2109336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2109336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869438.01</v>
      </c>
      <c r="Y214" s="11">
        <v>7521.19</v>
      </c>
      <c r="Z214" s="17">
        <v>861916.82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869438.01</v>
      </c>
      <c r="AH214" s="11">
        <v>7521.19</v>
      </c>
      <c r="AI214" s="12">
        <v>861916.82</v>
      </c>
      <c r="AJ214" s="11">
        <v>861916.82</v>
      </c>
      <c r="AK214" s="11">
        <v>0</v>
      </c>
      <c r="AL214" s="11">
        <v>0</v>
      </c>
      <c r="AM214" s="11">
        <v>861916.82</v>
      </c>
      <c r="AN214" s="11">
        <v>869438.01</v>
      </c>
      <c r="AO214" s="11">
        <v>7521.19</v>
      </c>
      <c r="AP214" s="11">
        <v>869438.01</v>
      </c>
      <c r="AQ214" s="11">
        <v>0</v>
      </c>
      <c r="AR214" s="11">
        <v>7521.19</v>
      </c>
      <c r="AS214" t="s">
        <v>143</v>
      </c>
      <c r="AT214" s="4" t="s">
        <v>1133</v>
      </c>
      <c r="AU214" s="7" t="str">
        <f t="shared" si="29"/>
        <v>41Depósitos Estampilla Procultura Estimulos 10%861916,82</v>
      </c>
      <c r="AV214" t="str">
        <f>+_xlfn.XLOOKUP(AU214,CRUCE!I:I,CRUCE!M:M)</f>
        <v>READY</v>
      </c>
      <c r="AW214" t="s">
        <v>1907</v>
      </c>
      <c r="AX214">
        <f>+SUMIFS(CRUCE!C:C,CRUCE!A:A,D214,CRUCE!B:B,'2021'!H214)</f>
        <v>0</v>
      </c>
    </row>
    <row r="215" spans="1:50" hidden="1" x14ac:dyDescent="0.3">
      <c r="A215">
        <v>2021</v>
      </c>
      <c r="B215">
        <v>307</v>
      </c>
      <c r="C215">
        <v>1205020010102</v>
      </c>
      <c r="D215" s="5" t="s">
        <v>44</v>
      </c>
      <c r="E215" s="8" t="s">
        <v>425</v>
      </c>
      <c r="F215">
        <v>1205020010102</v>
      </c>
      <c r="H215" s="8" t="s">
        <v>145</v>
      </c>
      <c r="I215" t="s">
        <v>47</v>
      </c>
      <c r="J215" s="11">
        <v>53489963</v>
      </c>
      <c r="K215" s="11">
        <v>53489963</v>
      </c>
      <c r="L215" s="11">
        <v>551405237</v>
      </c>
      <c r="M215" s="11">
        <v>0</v>
      </c>
      <c r="N215" s="11">
        <v>551405237</v>
      </c>
      <c r="O215" s="11">
        <v>551405237</v>
      </c>
      <c r="P215" s="11">
        <v>0</v>
      </c>
      <c r="Q215" s="11">
        <v>604895200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602934588.05999994</v>
      </c>
      <c r="Y215" s="11">
        <v>0</v>
      </c>
      <c r="Z215" s="17">
        <v>602934588.05999994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602934588.05999994</v>
      </c>
      <c r="AH215" s="11">
        <v>0</v>
      </c>
      <c r="AI215" s="12">
        <v>602934588.05999994</v>
      </c>
      <c r="AJ215" s="11">
        <v>602934588.05999994</v>
      </c>
      <c r="AK215" s="11">
        <v>0</v>
      </c>
      <c r="AL215" s="11">
        <v>0</v>
      </c>
      <c r="AM215" s="11">
        <v>602934588.05999994</v>
      </c>
      <c r="AN215" s="11">
        <v>602934588.05999994</v>
      </c>
      <c r="AO215" s="11">
        <v>0</v>
      </c>
      <c r="AP215" s="11">
        <v>602934588.05999994</v>
      </c>
      <c r="AQ215" s="11">
        <v>0</v>
      </c>
      <c r="AR215" s="11">
        <v>0</v>
      </c>
      <c r="AS215" t="s">
        <v>48</v>
      </c>
      <c r="AT215"/>
    </row>
    <row r="216" spans="1:50" hidden="1" x14ac:dyDescent="0.3">
      <c r="A216">
        <v>2021</v>
      </c>
      <c r="B216">
        <v>307</v>
      </c>
      <c r="C216">
        <v>120502001010202</v>
      </c>
      <c r="D216" s="5" t="s">
        <v>44</v>
      </c>
      <c r="E216" s="8" t="s">
        <v>426</v>
      </c>
      <c r="F216">
        <v>120502001010202</v>
      </c>
      <c r="H216" s="8" t="s">
        <v>176</v>
      </c>
      <c r="I216" t="s">
        <v>47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978462.88</v>
      </c>
      <c r="Y216" s="11">
        <v>0</v>
      </c>
      <c r="Z216" s="17">
        <v>978462.88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978462.88</v>
      </c>
      <c r="AH216" s="11">
        <v>0</v>
      </c>
      <c r="AI216" s="12">
        <v>978462.88</v>
      </c>
      <c r="AJ216" s="11">
        <v>978462.88</v>
      </c>
      <c r="AK216" s="11">
        <v>0</v>
      </c>
      <c r="AL216" s="11">
        <v>0</v>
      </c>
      <c r="AM216" s="11">
        <v>978462.88</v>
      </c>
      <c r="AN216" s="11">
        <v>978462.88</v>
      </c>
      <c r="AO216" s="11">
        <v>0</v>
      </c>
      <c r="AP216" s="11">
        <v>978462.88</v>
      </c>
      <c r="AQ216" s="11">
        <v>0</v>
      </c>
      <c r="AR216" s="11">
        <v>0</v>
      </c>
      <c r="AS216" t="s">
        <v>48</v>
      </c>
      <c r="AT216"/>
    </row>
    <row r="217" spans="1:50" hidden="1" x14ac:dyDescent="0.3">
      <c r="A217">
        <v>2021</v>
      </c>
      <c r="B217">
        <v>307</v>
      </c>
      <c r="C217">
        <v>1.20502001010202E+17</v>
      </c>
      <c r="D217" s="5" t="s">
        <v>44</v>
      </c>
      <c r="E217" s="8" t="s">
        <v>427</v>
      </c>
      <c r="F217">
        <v>1.20502001010202E+17</v>
      </c>
      <c r="H217" s="8" t="s">
        <v>186</v>
      </c>
      <c r="I217" t="s">
        <v>47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163081.57</v>
      </c>
      <c r="Y217" s="11">
        <v>0</v>
      </c>
      <c r="Z217" s="17">
        <v>163081.57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163081.57</v>
      </c>
      <c r="AH217" s="11">
        <v>0</v>
      </c>
      <c r="AI217" s="12">
        <v>163081.57</v>
      </c>
      <c r="AJ217" s="11">
        <v>163081.57</v>
      </c>
      <c r="AK217" s="11">
        <v>0</v>
      </c>
      <c r="AL217" s="11">
        <v>0</v>
      </c>
      <c r="AM217" s="11">
        <v>163081.57</v>
      </c>
      <c r="AN217" s="11">
        <v>163081.57</v>
      </c>
      <c r="AO217" s="11">
        <v>0</v>
      </c>
      <c r="AP217" s="11">
        <v>163081.57</v>
      </c>
      <c r="AQ217" s="11">
        <v>0</v>
      </c>
      <c r="AR217" s="11">
        <v>0</v>
      </c>
      <c r="AS217" t="s">
        <v>48</v>
      </c>
      <c r="AT217"/>
    </row>
    <row r="218" spans="1:50" x14ac:dyDescent="0.3">
      <c r="A218">
        <v>2021</v>
      </c>
      <c r="B218">
        <v>307</v>
      </c>
      <c r="C218">
        <v>1.20502001010202E+20</v>
      </c>
      <c r="D218" s="5">
        <v>20</v>
      </c>
      <c r="E218" s="8" t="s">
        <v>428</v>
      </c>
      <c r="F218">
        <v>1.20502001010202E+20</v>
      </c>
      <c r="G218" t="s">
        <v>1909</v>
      </c>
      <c r="H218" s="8" t="s">
        <v>188</v>
      </c>
      <c r="I218" t="s">
        <v>47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3595.2</v>
      </c>
      <c r="Y218" s="11">
        <v>0</v>
      </c>
      <c r="Z218" s="17">
        <v>3595.2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3595.2</v>
      </c>
      <c r="AH218" s="11">
        <v>0</v>
      </c>
      <c r="AI218" s="12">
        <v>3595.2</v>
      </c>
      <c r="AJ218" s="11">
        <v>3595.2</v>
      </c>
      <c r="AK218" s="11">
        <v>0</v>
      </c>
      <c r="AL218" s="11">
        <v>0</v>
      </c>
      <c r="AM218" s="11">
        <v>3595.2</v>
      </c>
      <c r="AN218" s="11">
        <v>3595.2</v>
      </c>
      <c r="AO218" s="11">
        <v>0</v>
      </c>
      <c r="AP218" s="11">
        <v>3595.2</v>
      </c>
      <c r="AQ218" s="11">
        <v>0</v>
      </c>
      <c r="AR218" s="11">
        <v>0</v>
      </c>
      <c r="AS218" t="s">
        <v>57</v>
      </c>
      <c r="AT218" s="4" t="str">
        <f t="shared" ref="AT218:AT225" si="30">+H218</f>
        <v>Sanciones disciplinarias</v>
      </c>
      <c r="AU218" s="7" t="str">
        <f t="shared" ref="AU218:AU225" si="31">+$D218&amp;$AT218&amp;Z218</f>
        <v>20Sanciones disciplinarias3595,2</v>
      </c>
      <c r="AV218" t="e">
        <f>+_xlfn.XLOOKUP(AU218,CRUCE!I:I,CRUCE!M:M)</f>
        <v>#N/A</v>
      </c>
      <c r="AW218" t="s">
        <v>1907</v>
      </c>
      <c r="AX218">
        <f>+SUMIFS(CRUCE!C:C,CRUCE!A:A,D218,CRUCE!B:B,'2021'!H218)</f>
        <v>43592416.200000003</v>
      </c>
    </row>
    <row r="219" spans="1:50" x14ac:dyDescent="0.3">
      <c r="A219">
        <v>2021</v>
      </c>
      <c r="B219">
        <v>307</v>
      </c>
      <c r="C219">
        <v>1.20502001010202E+20</v>
      </c>
      <c r="D219" s="5">
        <v>20</v>
      </c>
      <c r="E219" s="8" t="s">
        <v>429</v>
      </c>
      <c r="F219">
        <v>1.20502001010202E+20</v>
      </c>
      <c r="G219" t="s">
        <v>1909</v>
      </c>
      <c r="H219" s="8" t="s">
        <v>190</v>
      </c>
      <c r="I219" t="s">
        <v>47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973.97</v>
      </c>
      <c r="Y219" s="11">
        <v>0</v>
      </c>
      <c r="Z219" s="17">
        <v>973.97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973.97</v>
      </c>
      <c r="AH219" s="11">
        <v>0</v>
      </c>
      <c r="AI219" s="12">
        <v>973.97</v>
      </c>
      <c r="AJ219" s="11">
        <v>973.97</v>
      </c>
      <c r="AK219" s="11">
        <v>0</v>
      </c>
      <c r="AL219" s="11">
        <v>0</v>
      </c>
      <c r="AM219" s="11">
        <v>973.97</v>
      </c>
      <c r="AN219" s="11">
        <v>973.97</v>
      </c>
      <c r="AO219" s="11">
        <v>0</v>
      </c>
      <c r="AP219" s="11">
        <v>973.97</v>
      </c>
      <c r="AQ219" s="11">
        <v>0</v>
      </c>
      <c r="AR219" s="11">
        <v>0</v>
      </c>
      <c r="AS219" t="s">
        <v>57</v>
      </c>
      <c r="AT219" s="4" t="str">
        <f t="shared" si="30"/>
        <v>Sanciones contractuales</v>
      </c>
      <c r="AU219" s="7" t="str">
        <f t="shared" si="31"/>
        <v>20Sanciones contractuales973,97</v>
      </c>
      <c r="AV219" t="e">
        <f>+_xlfn.XLOOKUP(AU219,CRUCE!I:I,CRUCE!M:M)</f>
        <v>#N/A</v>
      </c>
      <c r="AW219" t="s">
        <v>1907</v>
      </c>
      <c r="AX219">
        <f>+SUMIFS(CRUCE!C:C,CRUCE!A:A,D219,CRUCE!B:B,'2021'!H219)</f>
        <v>13829399.970000001</v>
      </c>
    </row>
    <row r="220" spans="1:50" x14ac:dyDescent="0.3">
      <c r="A220">
        <v>2021</v>
      </c>
      <c r="B220">
        <v>307</v>
      </c>
      <c r="C220">
        <v>1.20502001010202E+20</v>
      </c>
      <c r="D220" s="5">
        <v>20</v>
      </c>
      <c r="E220" s="8" t="s">
        <v>430</v>
      </c>
      <c r="F220">
        <v>1.20502001010202E+20</v>
      </c>
      <c r="G220" t="s">
        <v>1909</v>
      </c>
      <c r="H220" s="8" t="s">
        <v>192</v>
      </c>
      <c r="I220" t="s">
        <v>47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43801.19</v>
      </c>
      <c r="Y220" s="11">
        <v>0</v>
      </c>
      <c r="Z220" s="17">
        <v>43801.19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43801.19</v>
      </c>
      <c r="AH220" s="11">
        <v>0</v>
      </c>
      <c r="AI220" s="12">
        <v>43801.19</v>
      </c>
      <c r="AJ220" s="11">
        <v>43801.19</v>
      </c>
      <c r="AK220" s="11">
        <v>0</v>
      </c>
      <c r="AL220" s="11">
        <v>0</v>
      </c>
      <c r="AM220" s="11">
        <v>43801.19</v>
      </c>
      <c r="AN220" s="11">
        <v>43801.19</v>
      </c>
      <c r="AO220" s="11">
        <v>0</v>
      </c>
      <c r="AP220" s="11">
        <v>43801.19</v>
      </c>
      <c r="AQ220" s="11">
        <v>0</v>
      </c>
      <c r="AR220" s="11">
        <v>0</v>
      </c>
      <c r="AS220" t="s">
        <v>57</v>
      </c>
      <c r="AT220" s="4" t="str">
        <f t="shared" si="30"/>
        <v>Sanciones administrativas</v>
      </c>
      <c r="AU220" s="7" t="str">
        <f t="shared" si="31"/>
        <v>20Sanciones administrativas43801,19</v>
      </c>
      <c r="AV220" t="e">
        <f>+_xlfn.XLOOKUP(AU220,CRUCE!I:I,CRUCE!M:M)</f>
        <v>#N/A</v>
      </c>
      <c r="AW220" t="s">
        <v>1907</v>
      </c>
      <c r="AX220">
        <f>+SUMIFS(CRUCE!C:C,CRUCE!A:A,D220,CRUCE!B:B,'2021'!H220)</f>
        <v>411247709.19</v>
      </c>
    </row>
    <row r="221" spans="1:50" x14ac:dyDescent="0.3">
      <c r="A221">
        <v>2021</v>
      </c>
      <c r="B221">
        <v>307</v>
      </c>
      <c r="C221">
        <v>1.20502001010202E+20</v>
      </c>
      <c r="D221" s="5">
        <v>20</v>
      </c>
      <c r="E221" s="8" t="s">
        <v>431</v>
      </c>
      <c r="F221">
        <v>1.20502001010202E+20</v>
      </c>
      <c r="G221" t="s">
        <v>1909</v>
      </c>
      <c r="H221" s="8" t="s">
        <v>194</v>
      </c>
      <c r="I221" t="s">
        <v>47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1055.2</v>
      </c>
      <c r="Y221" s="11">
        <v>0</v>
      </c>
      <c r="Z221" s="17">
        <v>1055.2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1055.2</v>
      </c>
      <c r="AH221" s="11">
        <v>0</v>
      </c>
      <c r="AI221" s="12">
        <v>1055.2</v>
      </c>
      <c r="AJ221" s="11">
        <v>1055.2</v>
      </c>
      <c r="AK221" s="11">
        <v>0</v>
      </c>
      <c r="AL221" s="11">
        <v>0</v>
      </c>
      <c r="AM221" s="11">
        <v>1055.2</v>
      </c>
      <c r="AN221" s="11">
        <v>1055.2</v>
      </c>
      <c r="AO221" s="11">
        <v>0</v>
      </c>
      <c r="AP221" s="11">
        <v>1055.2</v>
      </c>
      <c r="AQ221" s="11">
        <v>0</v>
      </c>
      <c r="AR221" s="11">
        <v>0</v>
      </c>
      <c r="AS221" t="s">
        <v>57</v>
      </c>
      <c r="AT221" s="4" t="str">
        <f t="shared" si="30"/>
        <v>Sanciones fiscales</v>
      </c>
      <c r="AU221" s="7" t="str">
        <f t="shared" si="31"/>
        <v>20Sanciones fiscales1055,2</v>
      </c>
      <c r="AV221" t="e">
        <f>+_xlfn.XLOOKUP(AU221,CRUCE!I:I,CRUCE!M:M)</f>
        <v>#N/A</v>
      </c>
      <c r="AW221" t="s">
        <v>1907</v>
      </c>
      <c r="AX221">
        <f>+SUMIFS(CRUCE!C:C,CRUCE!A:A,D221,CRUCE!B:B,'2021'!H221)</f>
        <v>11692237.199999999</v>
      </c>
    </row>
    <row r="222" spans="1:50" x14ac:dyDescent="0.3">
      <c r="A222">
        <v>2021</v>
      </c>
      <c r="B222">
        <v>307</v>
      </c>
      <c r="C222">
        <v>1.20502001010202E+20</v>
      </c>
      <c r="D222" s="5">
        <v>20</v>
      </c>
      <c r="E222" s="8" t="s">
        <v>432</v>
      </c>
      <c r="F222">
        <v>1.20502001010202E+20</v>
      </c>
      <c r="G222" t="s">
        <v>1909</v>
      </c>
      <c r="H222" s="8" t="s">
        <v>433</v>
      </c>
      <c r="I222" t="s">
        <v>47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113184.73</v>
      </c>
      <c r="Y222" s="11">
        <v>0</v>
      </c>
      <c r="Z222" s="17">
        <v>113184.73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113184.73</v>
      </c>
      <c r="AH222" s="11">
        <v>0</v>
      </c>
      <c r="AI222" s="12">
        <v>113184.73</v>
      </c>
      <c r="AJ222" s="11">
        <v>113184.73</v>
      </c>
      <c r="AK222" s="11">
        <v>0</v>
      </c>
      <c r="AL222" s="11">
        <v>0</v>
      </c>
      <c r="AM222" s="11">
        <v>113184.73</v>
      </c>
      <c r="AN222" s="11">
        <v>113184.73</v>
      </c>
      <c r="AO222" s="11">
        <v>0</v>
      </c>
      <c r="AP222" s="11">
        <v>113184.73</v>
      </c>
      <c r="AQ222" s="11">
        <v>0</v>
      </c>
      <c r="AR222" s="11">
        <v>0</v>
      </c>
      <c r="AS222" t="s">
        <v>57</v>
      </c>
      <c r="AT222" s="4" t="str">
        <f t="shared" si="30"/>
        <v>Impuesto sobre vehículos automotores (Rendimiento Sanciones)</v>
      </c>
      <c r="AU222" s="7" t="str">
        <f t="shared" si="31"/>
        <v>20Impuesto sobre vehículos automotores (Rendimiento Sanciones)113184,73</v>
      </c>
      <c r="AV222" t="str">
        <f>+_xlfn.XLOOKUP(AU222,CRUCE!I:I,CRUCE!M:M)</f>
        <v>READY</v>
      </c>
      <c r="AW222" t="s">
        <v>1907</v>
      </c>
      <c r="AX222">
        <f>+SUMIFS(CRUCE!C:C,CRUCE!A:A,D222,CRUCE!B:B,'2021'!AT222)</f>
        <v>113184.73</v>
      </c>
    </row>
    <row r="223" spans="1:50" x14ac:dyDescent="0.3">
      <c r="A223">
        <v>2021</v>
      </c>
      <c r="B223">
        <v>307</v>
      </c>
      <c r="C223">
        <v>1.20502001010202E+20</v>
      </c>
      <c r="D223" s="5">
        <v>20</v>
      </c>
      <c r="E223" s="8" t="s">
        <v>434</v>
      </c>
      <c r="F223">
        <v>1.20502001010202E+20</v>
      </c>
      <c r="G223" t="s">
        <v>1909</v>
      </c>
      <c r="H223" s="8" t="s">
        <v>207</v>
      </c>
      <c r="I223" t="s">
        <v>47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459.34</v>
      </c>
      <c r="Y223" s="11">
        <v>0</v>
      </c>
      <c r="Z223" s="17">
        <v>459.34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459.34</v>
      </c>
      <c r="AH223" s="11">
        <v>0</v>
      </c>
      <c r="AI223" s="12">
        <v>459.34</v>
      </c>
      <c r="AJ223" s="11">
        <v>459.34</v>
      </c>
      <c r="AK223" s="11">
        <v>0</v>
      </c>
      <c r="AL223" s="11">
        <v>0</v>
      </c>
      <c r="AM223" s="11">
        <v>459.34</v>
      </c>
      <c r="AN223" s="11">
        <v>459.34</v>
      </c>
      <c r="AO223" s="11">
        <v>0</v>
      </c>
      <c r="AP223" s="11">
        <v>459.34</v>
      </c>
      <c r="AQ223" s="11">
        <v>0</v>
      </c>
      <c r="AR223" s="11">
        <v>0</v>
      </c>
      <c r="AS223" t="s">
        <v>57</v>
      </c>
      <c r="AT223" s="4" t="str">
        <f t="shared" si="30"/>
        <v>Sanciones sanitarias</v>
      </c>
      <c r="AU223" s="7" t="str">
        <f t="shared" si="31"/>
        <v>20Sanciones sanitarias459,34</v>
      </c>
      <c r="AV223" t="e">
        <f>+_xlfn.XLOOKUP(AU223,CRUCE!I:I,CRUCE!M:M)</f>
        <v>#N/A</v>
      </c>
      <c r="AW223" t="s">
        <v>1907</v>
      </c>
      <c r="AX223">
        <f>+SUMIFS(CRUCE!C:C,CRUCE!A:A,D223,CRUCE!B:B,'2021'!H223)</f>
        <v>4901033.34</v>
      </c>
    </row>
    <row r="224" spans="1:50" x14ac:dyDescent="0.3">
      <c r="A224">
        <v>2021</v>
      </c>
      <c r="B224">
        <v>307</v>
      </c>
      <c r="C224">
        <v>1.20502001010202E+20</v>
      </c>
      <c r="D224" s="5">
        <v>20</v>
      </c>
      <c r="E224" s="8" t="s">
        <v>435</v>
      </c>
      <c r="F224">
        <v>1.20502001010202E+20</v>
      </c>
      <c r="G224" t="s">
        <v>1909</v>
      </c>
      <c r="H224" s="8" t="s">
        <v>209</v>
      </c>
      <c r="I224" t="s">
        <v>47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7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2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t="s">
        <v>57</v>
      </c>
      <c r="AT224" s="4" t="str">
        <f t="shared" si="30"/>
        <v>Multas y sanciones por infracciones al régimen del monopolio de juegos de suerte y azar</v>
      </c>
      <c r="AU224" s="7" t="str">
        <f t="shared" si="31"/>
        <v>20Multas y sanciones por infracciones al régimen del monopolio de juegos de suerte y azar0</v>
      </c>
      <c r="AV224" t="str">
        <f>+_xlfn.XLOOKUP(AU224,CRUCE!I:I,CRUCE!M:M)</f>
        <v>READY</v>
      </c>
      <c r="AX224">
        <f>+SUMIFS(CRUCE!C:C,CRUCE!A:A,D224,CRUCE!B:B,'2021'!H224)</f>
        <v>0</v>
      </c>
    </row>
    <row r="225" spans="1:50" x14ac:dyDescent="0.3">
      <c r="A225">
        <v>2021</v>
      </c>
      <c r="B225">
        <v>307</v>
      </c>
      <c r="C225">
        <v>1.20502001010202E+20</v>
      </c>
      <c r="D225" s="5">
        <v>20</v>
      </c>
      <c r="E225" s="8" t="s">
        <v>436</v>
      </c>
      <c r="F225">
        <v>1.20502001010202E+20</v>
      </c>
      <c r="G225" t="s">
        <v>1909</v>
      </c>
      <c r="H225" s="8" t="s">
        <v>211</v>
      </c>
      <c r="I225" t="s">
        <v>47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11.94</v>
      </c>
      <c r="Y225" s="11">
        <v>0</v>
      </c>
      <c r="Z225" s="17">
        <v>11.94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11.94</v>
      </c>
      <c r="AH225" s="11">
        <v>0</v>
      </c>
      <c r="AI225" s="12">
        <v>11.94</v>
      </c>
      <c r="AJ225" s="11">
        <v>11.94</v>
      </c>
      <c r="AK225" s="11">
        <v>0</v>
      </c>
      <c r="AL225" s="11">
        <v>0</v>
      </c>
      <c r="AM225" s="11">
        <v>11.94</v>
      </c>
      <c r="AN225" s="11">
        <v>11.94</v>
      </c>
      <c r="AO225" s="11">
        <v>0</v>
      </c>
      <c r="AP225" s="11">
        <v>11.94</v>
      </c>
      <c r="AQ225" s="11">
        <v>0</v>
      </c>
      <c r="AR225" s="11">
        <v>0</v>
      </c>
      <c r="AS225" t="s">
        <v>57</v>
      </c>
      <c r="AT225" s="4" t="str">
        <f t="shared" si="30"/>
        <v>Multas y sanciones por violación al régimen de venta de medicamentos controlados</v>
      </c>
      <c r="AU225" s="7" t="str">
        <f t="shared" si="31"/>
        <v>20Multas y sanciones por violación al régimen de venta de medicamentos controlados11,94</v>
      </c>
      <c r="AV225" t="e">
        <f>+_xlfn.XLOOKUP(AU225,CRUCE!I:I,CRUCE!M:M)</f>
        <v>#N/A</v>
      </c>
      <c r="AW225" t="s">
        <v>1907</v>
      </c>
      <c r="AX225">
        <f>+SUMIFS(CRUCE!C:C,CRUCE!A:A,D225,CRUCE!B:B,'2021'!H225)</f>
        <v>118353.94</v>
      </c>
    </row>
    <row r="226" spans="1:50" hidden="1" x14ac:dyDescent="0.3">
      <c r="A226">
        <v>2021</v>
      </c>
      <c r="B226">
        <v>307</v>
      </c>
      <c r="C226">
        <v>1.20502001010202E+17</v>
      </c>
      <c r="D226" s="5" t="s">
        <v>44</v>
      </c>
      <c r="E226" s="8" t="s">
        <v>437</v>
      </c>
      <c r="F226">
        <v>1.20502001010202E+17</v>
      </c>
      <c r="H226" s="8" t="s">
        <v>222</v>
      </c>
      <c r="I226" t="s">
        <v>47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815381.31</v>
      </c>
      <c r="Y226" s="11">
        <v>0</v>
      </c>
      <c r="Z226" s="17">
        <v>815381.31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815381.31</v>
      </c>
      <c r="AH226" s="11">
        <v>0</v>
      </c>
      <c r="AI226" s="12">
        <v>815381.31</v>
      </c>
      <c r="AJ226" s="11">
        <v>815381.31</v>
      </c>
      <c r="AK226" s="11">
        <v>0</v>
      </c>
      <c r="AL226" s="11">
        <v>0</v>
      </c>
      <c r="AM226" s="11">
        <v>815381.31</v>
      </c>
      <c r="AN226" s="11">
        <v>815381.31</v>
      </c>
      <c r="AO226" s="11">
        <v>0</v>
      </c>
      <c r="AP226" s="11">
        <v>815381.31</v>
      </c>
      <c r="AQ226" s="11">
        <v>0</v>
      </c>
      <c r="AR226" s="11">
        <v>0</v>
      </c>
      <c r="AS226" t="s">
        <v>48</v>
      </c>
      <c r="AT226"/>
    </row>
    <row r="227" spans="1:50" x14ac:dyDescent="0.3">
      <c r="A227">
        <v>2021</v>
      </c>
      <c r="B227">
        <v>307</v>
      </c>
      <c r="C227">
        <v>1.20502001010202E+20</v>
      </c>
      <c r="D227" s="5">
        <v>20</v>
      </c>
      <c r="E227" s="8" t="s">
        <v>438</v>
      </c>
      <c r="F227">
        <v>1.20502001010202E+20</v>
      </c>
      <c r="G227" t="s">
        <v>1909</v>
      </c>
      <c r="H227" s="8" t="s">
        <v>234</v>
      </c>
      <c r="I227" t="s">
        <v>47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534.34</v>
      </c>
      <c r="Y227" s="11">
        <v>0</v>
      </c>
      <c r="Z227" s="17">
        <v>534.34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534.34</v>
      </c>
      <c r="AH227" s="11">
        <v>0</v>
      </c>
      <c r="AI227" s="12">
        <v>534.34</v>
      </c>
      <c r="AJ227" s="11">
        <v>534.34</v>
      </c>
      <c r="AK227" s="11">
        <v>0</v>
      </c>
      <c r="AL227" s="11">
        <v>0</v>
      </c>
      <c r="AM227" s="11">
        <v>534.34</v>
      </c>
      <c r="AN227" s="11">
        <v>534.34</v>
      </c>
      <c r="AO227" s="11">
        <v>0</v>
      </c>
      <c r="AP227" s="11">
        <v>534.34</v>
      </c>
      <c r="AQ227" s="11">
        <v>0</v>
      </c>
      <c r="AR227" s="11">
        <v>0</v>
      </c>
      <c r="AS227" t="s">
        <v>57</v>
      </c>
      <c r="AT227" s="4" t="str">
        <f t="shared" ref="AT227:AT229" si="32">+H227</f>
        <v>Servicion inmobiliarios relativos a bienes raíces propios o arrendados</v>
      </c>
      <c r="AU227" s="7" t="str">
        <f t="shared" ref="AU227:AU229" si="33">+$D227&amp;$AT227&amp;Z227</f>
        <v>20Servicion inmobiliarios relativos a bienes raíces propios o arrendados534,34</v>
      </c>
      <c r="AV227" t="e">
        <f>+_xlfn.XLOOKUP(AU227,CRUCE!I:I,CRUCE!M:M)</f>
        <v>#N/A</v>
      </c>
      <c r="AW227" t="s">
        <v>1907</v>
      </c>
      <c r="AX227">
        <f>+SUMIFS(CRUCE!C:C,CRUCE!A:A,D227,CRUCE!B:B,'2021'!H227)</f>
        <v>25165497.34</v>
      </c>
    </row>
    <row r="228" spans="1:50" x14ac:dyDescent="0.3">
      <c r="A228">
        <v>2021</v>
      </c>
      <c r="B228">
        <v>307</v>
      </c>
      <c r="C228">
        <v>1.20502001010202E+20</v>
      </c>
      <c r="D228" s="5">
        <v>20</v>
      </c>
      <c r="E228" s="8" t="s">
        <v>439</v>
      </c>
      <c r="F228">
        <v>1.20502001010202E+20</v>
      </c>
      <c r="G228" t="s">
        <v>1909</v>
      </c>
      <c r="H228" s="8" t="s">
        <v>240</v>
      </c>
      <c r="I228" t="s">
        <v>47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7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2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t="s">
        <v>57</v>
      </c>
      <c r="AT228" s="4" t="str">
        <f t="shared" si="32"/>
        <v>Servicios de organización de viajes, operadores turísticos y servicios conexos</v>
      </c>
      <c r="AU228" s="7" t="str">
        <f t="shared" si="33"/>
        <v>20Servicios de organización de viajes, operadores turísticos y servicios conexos0</v>
      </c>
      <c r="AV228" t="str">
        <f>+_xlfn.XLOOKUP(AU228,CRUCE!I:I,CRUCE!M:M)</f>
        <v>READY</v>
      </c>
      <c r="AW228" t="s">
        <v>1907</v>
      </c>
      <c r="AX228">
        <f>+SUMIFS(CRUCE!C:C,CRUCE!A:A,D228,CRUCE!B:B,'2021'!H228)</f>
        <v>0</v>
      </c>
    </row>
    <row r="229" spans="1:50" x14ac:dyDescent="0.3">
      <c r="A229">
        <v>2021</v>
      </c>
      <c r="B229">
        <v>307</v>
      </c>
      <c r="C229">
        <v>1.20502001010202E+20</v>
      </c>
      <c r="D229" s="5">
        <v>20</v>
      </c>
      <c r="E229" s="8" t="s">
        <v>440</v>
      </c>
      <c r="F229">
        <v>1.20502001010202E+20</v>
      </c>
      <c r="G229" t="s">
        <v>1909</v>
      </c>
      <c r="H229" s="8" t="s">
        <v>226</v>
      </c>
      <c r="I229" t="s">
        <v>47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814846.97</v>
      </c>
      <c r="Y229" s="11">
        <v>0</v>
      </c>
      <c r="Z229" s="17">
        <v>814846.97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814846.97</v>
      </c>
      <c r="AH229" s="11">
        <v>0</v>
      </c>
      <c r="AI229" s="12">
        <v>814846.97</v>
      </c>
      <c r="AJ229" s="11">
        <v>814846.97</v>
      </c>
      <c r="AK229" s="11">
        <v>0</v>
      </c>
      <c r="AL229" s="11">
        <v>0</v>
      </c>
      <c r="AM229" s="11">
        <v>814846.97</v>
      </c>
      <c r="AN229" s="11">
        <v>814846.97</v>
      </c>
      <c r="AO229" s="11">
        <v>0</v>
      </c>
      <c r="AP229" s="11">
        <v>814846.97</v>
      </c>
      <c r="AQ229" s="11">
        <v>0</v>
      </c>
      <c r="AR229" s="11">
        <v>0</v>
      </c>
      <c r="AS229" t="s">
        <v>57</v>
      </c>
      <c r="AT229" s="4" t="str">
        <f t="shared" si="32"/>
        <v>Servicios para la comunidad, sociales y personales</v>
      </c>
      <c r="AU229" s="7" t="str">
        <f t="shared" si="33"/>
        <v>20Servicios para la comunidad, sociales y personales814846,97</v>
      </c>
      <c r="AV229" t="e">
        <f>+_xlfn.XLOOKUP(AU229,CRUCE!I:I,CRUCE!M:M)</f>
        <v>#N/A</v>
      </c>
      <c r="AW229" t="s">
        <v>1907</v>
      </c>
      <c r="AX229">
        <f>+SUMIFS(CRUCE!C:C,CRUCE!A:A,D229,CRUCE!B:B,'2021'!H229)</f>
        <v>126602308.92999999</v>
      </c>
    </row>
    <row r="230" spans="1:50" hidden="1" x14ac:dyDescent="0.3">
      <c r="A230">
        <v>2021</v>
      </c>
      <c r="B230">
        <v>307</v>
      </c>
      <c r="C230">
        <v>120502001010206</v>
      </c>
      <c r="D230" s="5" t="s">
        <v>44</v>
      </c>
      <c r="E230" s="8" t="s">
        <v>441</v>
      </c>
      <c r="F230">
        <v>120502001010206</v>
      </c>
      <c r="H230" s="8" t="s">
        <v>242</v>
      </c>
      <c r="I230" t="s">
        <v>47</v>
      </c>
      <c r="J230" s="11">
        <v>53489963</v>
      </c>
      <c r="K230" s="11">
        <v>53489963</v>
      </c>
      <c r="L230" s="11">
        <v>551405237</v>
      </c>
      <c r="M230" s="11">
        <v>0</v>
      </c>
      <c r="N230" s="11">
        <v>551405237</v>
      </c>
      <c r="O230" s="11">
        <v>551405237</v>
      </c>
      <c r="P230" s="11">
        <v>0</v>
      </c>
      <c r="Q230" s="11">
        <v>604895200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601956125.17999995</v>
      </c>
      <c r="Y230" s="11">
        <v>0</v>
      </c>
      <c r="Z230" s="17">
        <v>601956125.17999995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601956125.17999995</v>
      </c>
      <c r="AH230" s="11">
        <v>0</v>
      </c>
      <c r="AI230" s="12">
        <v>601956125.17999995</v>
      </c>
      <c r="AJ230" s="11">
        <v>601956125.17999995</v>
      </c>
      <c r="AK230" s="11">
        <v>0</v>
      </c>
      <c r="AL230" s="11">
        <v>0</v>
      </c>
      <c r="AM230" s="11">
        <v>601956125.17999995</v>
      </c>
      <c r="AN230" s="11">
        <v>601956125.17999995</v>
      </c>
      <c r="AO230" s="11">
        <v>0</v>
      </c>
      <c r="AP230" s="11">
        <v>601956125.17999995</v>
      </c>
      <c r="AQ230" s="11">
        <v>0</v>
      </c>
      <c r="AR230" s="11">
        <v>0</v>
      </c>
      <c r="AS230" t="s">
        <v>48</v>
      </c>
      <c r="AT230"/>
    </row>
    <row r="231" spans="1:50" hidden="1" x14ac:dyDescent="0.3">
      <c r="A231">
        <v>2021</v>
      </c>
      <c r="B231">
        <v>307</v>
      </c>
      <c r="C231">
        <v>1.20502001010206E+17</v>
      </c>
      <c r="D231" s="5" t="s">
        <v>44</v>
      </c>
      <c r="E231" s="8" t="s">
        <v>442</v>
      </c>
      <c r="F231">
        <v>1.20502001010206E+17</v>
      </c>
      <c r="H231" s="8" t="s">
        <v>244</v>
      </c>
      <c r="I231" t="s">
        <v>47</v>
      </c>
      <c r="J231" s="11">
        <v>1774762</v>
      </c>
      <c r="K231" s="11">
        <v>1774762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1774762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638010.12</v>
      </c>
      <c r="Y231" s="11">
        <v>0</v>
      </c>
      <c r="Z231" s="17">
        <v>638010.12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638010.12</v>
      </c>
      <c r="AH231" s="11">
        <v>0</v>
      </c>
      <c r="AI231" s="12">
        <v>638010.12</v>
      </c>
      <c r="AJ231" s="11">
        <v>638010.12</v>
      </c>
      <c r="AK231" s="11">
        <v>0</v>
      </c>
      <c r="AL231" s="11">
        <v>0</v>
      </c>
      <c r="AM231" s="11">
        <v>638010.12</v>
      </c>
      <c r="AN231" s="11">
        <v>638010.12</v>
      </c>
      <c r="AO231" s="11">
        <v>0</v>
      </c>
      <c r="AP231" s="11">
        <v>638010.12</v>
      </c>
      <c r="AQ231" s="11">
        <v>0</v>
      </c>
      <c r="AR231" s="11">
        <v>0</v>
      </c>
      <c r="AS231" t="s">
        <v>48</v>
      </c>
      <c r="AT231"/>
    </row>
    <row r="232" spans="1:50" x14ac:dyDescent="0.3">
      <c r="A232">
        <v>2021</v>
      </c>
      <c r="B232">
        <v>307</v>
      </c>
      <c r="C232">
        <v>1.20502001010206E+20</v>
      </c>
      <c r="D232" s="5">
        <v>27</v>
      </c>
      <c r="E232" s="8" t="s">
        <v>443</v>
      </c>
      <c r="F232">
        <v>1.20502001010206E+20</v>
      </c>
      <c r="G232" t="s">
        <v>1909</v>
      </c>
      <c r="H232" s="8" t="s">
        <v>246</v>
      </c>
      <c r="I232" t="s">
        <v>47</v>
      </c>
      <c r="J232" s="11">
        <v>1774762</v>
      </c>
      <c r="K232" s="11">
        <v>1774762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1774762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638010.12</v>
      </c>
      <c r="Y232" s="11">
        <v>0</v>
      </c>
      <c r="Z232" s="17">
        <v>638010.12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638010.12</v>
      </c>
      <c r="AH232" s="11">
        <v>0</v>
      </c>
      <c r="AI232" s="12">
        <v>638010.12</v>
      </c>
      <c r="AJ232" s="11">
        <v>638010.12</v>
      </c>
      <c r="AK232" s="11">
        <v>0</v>
      </c>
      <c r="AL232" s="11">
        <v>0</v>
      </c>
      <c r="AM232" s="11">
        <v>638010.12</v>
      </c>
      <c r="AN232" s="11">
        <v>638010.12</v>
      </c>
      <c r="AO232" s="11">
        <v>0</v>
      </c>
      <c r="AP232" s="11">
        <v>638010.12</v>
      </c>
      <c r="AQ232" s="11">
        <v>0</v>
      </c>
      <c r="AR232" s="11">
        <v>0</v>
      </c>
      <c r="AS232" t="s">
        <v>247</v>
      </c>
      <c r="AT232" s="4" t="str">
        <f>+H232</f>
        <v>Agua potable y saneamiento básico</v>
      </c>
      <c r="AU232" s="7" t="str">
        <f>+$D232&amp;$AT232&amp;Z232</f>
        <v>27Agua potable y saneamiento básico638010,12</v>
      </c>
      <c r="AV232" t="e">
        <f>+_xlfn.XLOOKUP(AU232,CRUCE!I:I,CRUCE!M:M)</f>
        <v>#N/A</v>
      </c>
      <c r="AW232" t="s">
        <v>1907</v>
      </c>
      <c r="AX232">
        <f>+SUMIFS(CRUCE!C:C,CRUCE!A:A,D232,CRUCE!B:B,'2021'!H232)</f>
        <v>2877368096.1199999</v>
      </c>
    </row>
    <row r="233" spans="1:50" hidden="1" x14ac:dyDescent="0.3">
      <c r="A233">
        <v>2021</v>
      </c>
      <c r="B233">
        <v>307</v>
      </c>
      <c r="C233">
        <v>1.20502001010206E+17</v>
      </c>
      <c r="D233" s="5" t="s">
        <v>44</v>
      </c>
      <c r="E233" s="8" t="s">
        <v>444</v>
      </c>
      <c r="F233">
        <v>1.20502001010206E+17</v>
      </c>
      <c r="H233" s="8" t="s">
        <v>267</v>
      </c>
      <c r="I233" t="s">
        <v>47</v>
      </c>
      <c r="J233" s="11">
        <v>51715201</v>
      </c>
      <c r="K233" s="11">
        <v>51715201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51715201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26459132.280000001</v>
      </c>
      <c r="Y233" s="11">
        <v>0</v>
      </c>
      <c r="Z233" s="17">
        <v>26459132.280000001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26459132.280000001</v>
      </c>
      <c r="AH233" s="11">
        <v>0</v>
      </c>
      <c r="AI233" s="12">
        <v>26459132.280000001</v>
      </c>
      <c r="AJ233" s="11">
        <v>26459132.280000001</v>
      </c>
      <c r="AK233" s="11">
        <v>0</v>
      </c>
      <c r="AL233" s="11">
        <v>0</v>
      </c>
      <c r="AM233" s="11">
        <v>26459132.280000001</v>
      </c>
      <c r="AN233" s="11">
        <v>26459132.280000001</v>
      </c>
      <c r="AO233" s="11">
        <v>0</v>
      </c>
      <c r="AP233" s="11">
        <v>26459132.280000001</v>
      </c>
      <c r="AQ233" s="11">
        <v>0</v>
      </c>
      <c r="AR233" s="11">
        <v>0</v>
      </c>
      <c r="AS233" t="s">
        <v>48</v>
      </c>
      <c r="AT233"/>
    </row>
    <row r="234" spans="1:50" hidden="1" x14ac:dyDescent="0.3">
      <c r="A234">
        <v>2021</v>
      </c>
      <c r="B234">
        <v>307</v>
      </c>
      <c r="C234">
        <v>1.20502001010206E+20</v>
      </c>
      <c r="D234" s="5" t="s">
        <v>44</v>
      </c>
      <c r="E234" s="8" t="s">
        <v>445</v>
      </c>
      <c r="F234">
        <v>1.20502001010206E+20</v>
      </c>
      <c r="H234" s="8" t="s">
        <v>269</v>
      </c>
      <c r="I234" t="s">
        <v>47</v>
      </c>
      <c r="J234" s="11">
        <v>51715201</v>
      </c>
      <c r="K234" s="11">
        <v>51715201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51715201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26459132.280000001</v>
      </c>
      <c r="Y234" s="11">
        <v>0</v>
      </c>
      <c r="Z234" s="17">
        <v>26459132.280000001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26459132.280000001</v>
      </c>
      <c r="AH234" s="11">
        <v>0</v>
      </c>
      <c r="AI234" s="12">
        <v>26459132.280000001</v>
      </c>
      <c r="AJ234" s="11">
        <v>26459132.280000001</v>
      </c>
      <c r="AK234" s="11">
        <v>0</v>
      </c>
      <c r="AL234" s="11">
        <v>0</v>
      </c>
      <c r="AM234" s="11">
        <v>26459132.280000001</v>
      </c>
      <c r="AN234" s="11">
        <v>26459132.280000001</v>
      </c>
      <c r="AO234" s="11">
        <v>0</v>
      </c>
      <c r="AP234" s="11">
        <v>26459132.280000001</v>
      </c>
      <c r="AQ234" s="11">
        <v>0</v>
      </c>
      <c r="AR234" s="11">
        <v>0</v>
      </c>
      <c r="AS234" t="s">
        <v>48</v>
      </c>
      <c r="AT234"/>
    </row>
    <row r="235" spans="1:50" x14ac:dyDescent="0.3">
      <c r="A235">
        <v>2021</v>
      </c>
      <c r="B235">
        <v>307</v>
      </c>
      <c r="C235">
        <v>1.20502001010206E+35</v>
      </c>
      <c r="D235" s="5">
        <v>136</v>
      </c>
      <c r="E235" s="8" t="s">
        <v>446</v>
      </c>
      <c r="F235">
        <v>1.20502001010206E+35</v>
      </c>
      <c r="G235" t="s">
        <v>1909</v>
      </c>
      <c r="H235" s="8" t="s">
        <v>447</v>
      </c>
      <c r="I235" t="s">
        <v>47</v>
      </c>
      <c r="J235" s="11">
        <v>51715201</v>
      </c>
      <c r="K235" s="11">
        <v>51715201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51715201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26459132.280000001</v>
      </c>
      <c r="Y235" s="11">
        <v>0</v>
      </c>
      <c r="Z235" s="17">
        <v>26459132.280000001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26459132.280000001</v>
      </c>
      <c r="AH235" s="11">
        <v>0</v>
      </c>
      <c r="AI235" s="12">
        <v>26459132.280000001</v>
      </c>
      <c r="AJ235" s="11">
        <v>26459132.280000001</v>
      </c>
      <c r="AK235" s="11">
        <v>0</v>
      </c>
      <c r="AL235" s="11">
        <v>0</v>
      </c>
      <c r="AM235" s="11">
        <v>26459132.280000001</v>
      </c>
      <c r="AN235" s="11">
        <v>26459132.280000001</v>
      </c>
      <c r="AO235" s="11">
        <v>0</v>
      </c>
      <c r="AP235" s="11">
        <v>26459132.280000001</v>
      </c>
      <c r="AQ235" s="11">
        <v>0</v>
      </c>
      <c r="AR235" s="11">
        <v>0</v>
      </c>
      <c r="AS235" t="s">
        <v>448</v>
      </c>
      <c r="AT235" s="4" t="s">
        <v>1139</v>
      </c>
      <c r="AU235" s="7" t="str">
        <f t="shared" ref="AU235:AU253" si="34">+$D235&amp;$AT235&amp;Z235</f>
        <v>136Depósitos Desahorro FONPET Pensionales26459132,28</v>
      </c>
      <c r="AV235" t="str">
        <f>+_xlfn.XLOOKUP(AU235,CRUCE!I:I,CRUCE!M:M)</f>
        <v>READY</v>
      </c>
      <c r="AW235" t="s">
        <v>1907</v>
      </c>
      <c r="AX235">
        <f>+SUMIFS(CRUCE!C:C,CRUCE!A:A,D235,CRUCE!B:B,'2021'!H235)</f>
        <v>0</v>
      </c>
    </row>
    <row r="236" spans="1:50" x14ac:dyDescent="0.3">
      <c r="A236">
        <v>2021</v>
      </c>
      <c r="B236">
        <v>307</v>
      </c>
      <c r="C236">
        <v>1.20502001010206E+17</v>
      </c>
      <c r="D236" s="5">
        <v>134</v>
      </c>
      <c r="E236" s="8" t="s">
        <v>449</v>
      </c>
      <c r="F236">
        <v>1.20502001010206E+17</v>
      </c>
      <c r="G236" t="s">
        <v>1909</v>
      </c>
      <c r="H236" s="8" t="s">
        <v>450</v>
      </c>
      <c r="I236" t="s">
        <v>47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84.09</v>
      </c>
      <c r="Y236" s="11">
        <v>0</v>
      </c>
      <c r="Z236" s="17">
        <v>84.09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84.09</v>
      </c>
      <c r="AH236" s="11">
        <v>0</v>
      </c>
      <c r="AI236" s="12">
        <v>84.09</v>
      </c>
      <c r="AJ236" s="11">
        <v>84.09</v>
      </c>
      <c r="AK236" s="11">
        <v>0</v>
      </c>
      <c r="AL236" s="11">
        <v>0</v>
      </c>
      <c r="AM236" s="11">
        <v>84.09</v>
      </c>
      <c r="AN236" s="11">
        <v>84.09</v>
      </c>
      <c r="AO236" s="11">
        <v>0</v>
      </c>
      <c r="AP236" s="11">
        <v>84.09</v>
      </c>
      <c r="AQ236" s="11">
        <v>0</v>
      </c>
      <c r="AR236" s="11">
        <v>0</v>
      </c>
      <c r="AS236" t="s">
        <v>265</v>
      </c>
      <c r="AT236" s="4" t="s">
        <v>1152</v>
      </c>
      <c r="AU236" s="7" t="str">
        <f t="shared" si="34"/>
        <v>134Depósitos Material de Río84,09</v>
      </c>
      <c r="AV236" t="str">
        <f>+_xlfn.XLOOKUP(AU236,CRUCE!I:I,CRUCE!M:M)</f>
        <v>READY</v>
      </c>
      <c r="AW236" t="s">
        <v>1907</v>
      </c>
      <c r="AX236">
        <f>+SUMIFS(CRUCE!C:C,CRUCE!A:A,D236,CRUCE!B:B,'2021'!H236)</f>
        <v>0</v>
      </c>
    </row>
    <row r="237" spans="1:50" x14ac:dyDescent="0.3">
      <c r="A237">
        <v>2021</v>
      </c>
      <c r="B237">
        <v>307</v>
      </c>
      <c r="C237">
        <v>1.20502001010206E+17</v>
      </c>
      <c r="D237" s="5">
        <v>20</v>
      </c>
      <c r="E237" s="8" t="s">
        <v>451</v>
      </c>
      <c r="F237">
        <v>1.20502001010206E+17</v>
      </c>
      <c r="G237" t="s">
        <v>1909</v>
      </c>
      <c r="H237" s="8" t="s">
        <v>253</v>
      </c>
      <c r="I237" t="s">
        <v>47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5455852.5999999996</v>
      </c>
      <c r="Y237" s="11">
        <v>0</v>
      </c>
      <c r="Z237" s="17">
        <v>5455852.5999999996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5455852.5999999996</v>
      </c>
      <c r="AH237" s="11">
        <v>0</v>
      </c>
      <c r="AI237" s="12">
        <v>5455852.5999999996</v>
      </c>
      <c r="AJ237" s="11">
        <v>5455852.5999999996</v>
      </c>
      <c r="AK237" s="11">
        <v>0</v>
      </c>
      <c r="AL237" s="11">
        <v>0</v>
      </c>
      <c r="AM237" s="11">
        <v>5455852.5999999996</v>
      </c>
      <c r="AN237" s="11">
        <v>5455852.5999999996</v>
      </c>
      <c r="AO237" s="11">
        <v>0</v>
      </c>
      <c r="AP237" s="11">
        <v>5455852.5999999996</v>
      </c>
      <c r="AQ237" s="11">
        <v>0</v>
      </c>
      <c r="AR237" s="11">
        <v>0</v>
      </c>
      <c r="AS237" t="s">
        <v>57</v>
      </c>
      <c r="AT237" s="4" t="str">
        <f t="shared" ref="AT237:AT239" si="35">+H237</f>
        <v>Participación de la sobretasa al ACPM</v>
      </c>
      <c r="AU237" s="7" t="str">
        <f t="shared" si="34"/>
        <v>20Participación de la sobretasa al ACPM5455852,6</v>
      </c>
      <c r="AV237" t="e">
        <f>+_xlfn.XLOOKUP(AU237,CRUCE!I:I,CRUCE!M:M)</f>
        <v>#N/A</v>
      </c>
      <c r="AW237" t="s">
        <v>1907</v>
      </c>
      <c r="AX237">
        <f>+SUMIFS(CRUCE!C:C,CRUCE!A:A,D237,CRUCE!B:B,'2021'!H237)</f>
        <v>4657704792.6000004</v>
      </c>
    </row>
    <row r="238" spans="1:50" x14ac:dyDescent="0.3">
      <c r="A238">
        <v>2021</v>
      </c>
      <c r="B238">
        <v>307</v>
      </c>
      <c r="C238">
        <v>1.20502001010206E+17</v>
      </c>
      <c r="D238" s="5">
        <v>20</v>
      </c>
      <c r="E238" s="8" t="s">
        <v>452</v>
      </c>
      <c r="F238">
        <v>1.20502001010206E+17</v>
      </c>
      <c r="G238" t="s">
        <v>1909</v>
      </c>
      <c r="H238" s="8" t="s">
        <v>293</v>
      </c>
      <c r="I238" t="s">
        <v>47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9119531.1600000001</v>
      </c>
      <c r="Y238" s="11">
        <v>0</v>
      </c>
      <c r="Z238" s="17">
        <v>9119531.1600000001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9119531.1600000001</v>
      </c>
      <c r="AH238" s="11">
        <v>0</v>
      </c>
      <c r="AI238" s="12">
        <v>9119531.1600000001</v>
      </c>
      <c r="AJ238" s="11">
        <v>9119531.1600000001</v>
      </c>
      <c r="AK238" s="11">
        <v>0</v>
      </c>
      <c r="AL238" s="11">
        <v>0</v>
      </c>
      <c r="AM238" s="11">
        <v>9119531.1600000001</v>
      </c>
      <c r="AN238" s="11">
        <v>9119531.1600000001</v>
      </c>
      <c r="AO238" s="11">
        <v>0</v>
      </c>
      <c r="AP238" s="11">
        <v>9119531.1600000001</v>
      </c>
      <c r="AQ238" s="11">
        <v>0</v>
      </c>
      <c r="AR238" s="11">
        <v>0</v>
      </c>
      <c r="AS238" t="s">
        <v>57</v>
      </c>
      <c r="AT238" s="4" t="str">
        <f t="shared" si="35"/>
        <v>Cuotas partes pensionales</v>
      </c>
      <c r="AU238" s="7" t="str">
        <f t="shared" si="34"/>
        <v>20Cuotas partes pensionales9119531,16</v>
      </c>
      <c r="AV238" t="str">
        <f>+_xlfn.XLOOKUP(AU238,CRUCE!I:I,CRUCE!M:M)</f>
        <v>READY</v>
      </c>
      <c r="AW238" t="s">
        <v>1907</v>
      </c>
      <c r="AX238">
        <f>+SUMIFS(CRUCE!C:C,CRUCE!A:A,D238,CRUCE!B:B,'2021'!AT238)</f>
        <v>9119531.1600000001</v>
      </c>
    </row>
    <row r="239" spans="1:50" x14ac:dyDescent="0.3">
      <c r="A239">
        <v>2021</v>
      </c>
      <c r="B239">
        <v>307</v>
      </c>
      <c r="C239">
        <v>1.20502001010206E+17</v>
      </c>
      <c r="D239" s="5">
        <v>20</v>
      </c>
      <c r="E239" s="8" t="s">
        <v>453</v>
      </c>
      <c r="F239">
        <v>1.20502001010206E+17</v>
      </c>
      <c r="G239" t="s">
        <v>1909</v>
      </c>
      <c r="H239" s="8" t="s">
        <v>363</v>
      </c>
      <c r="I239" t="s">
        <v>47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824127.82</v>
      </c>
      <c r="Y239" s="11">
        <v>0</v>
      </c>
      <c r="Z239" s="17">
        <v>824127.82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824127.82</v>
      </c>
      <c r="AH239" s="11">
        <v>0</v>
      </c>
      <c r="AI239" s="12">
        <v>824127.82</v>
      </c>
      <c r="AJ239" s="11">
        <v>824127.82</v>
      </c>
      <c r="AK239" s="11">
        <v>0</v>
      </c>
      <c r="AL239" s="11">
        <v>0</v>
      </c>
      <c r="AM239" s="11">
        <v>824127.82</v>
      </c>
      <c r="AN239" s="11">
        <v>824127.82</v>
      </c>
      <c r="AO239" s="11">
        <v>0</v>
      </c>
      <c r="AP239" s="11">
        <v>824127.82</v>
      </c>
      <c r="AQ239" s="11">
        <v>0</v>
      </c>
      <c r="AR239" s="11">
        <v>0</v>
      </c>
      <c r="AS239" t="s">
        <v>57</v>
      </c>
      <c r="AT239" s="4" t="str">
        <f t="shared" si="35"/>
        <v>Participación por el consumo de licores destilados introducidos de producción nacional</v>
      </c>
      <c r="AU239" s="7" t="str">
        <f t="shared" si="34"/>
        <v>20Participación por el consumo de licores destilados introducidos de producción nacional824127,82</v>
      </c>
      <c r="AV239" t="e">
        <f>+_xlfn.XLOOKUP(AU239,CRUCE!I:I,CRUCE!M:M)</f>
        <v>#N/A</v>
      </c>
      <c r="AW239" t="s">
        <v>1907</v>
      </c>
      <c r="AX239">
        <f>+SUMIFS(CRUCE!C:C,CRUCE!A:A,D239,CRUCE!B:B,'2021'!H239)</f>
        <v>11175268390.690001</v>
      </c>
    </row>
    <row r="240" spans="1:50" x14ac:dyDescent="0.3">
      <c r="A240">
        <v>2021</v>
      </c>
      <c r="B240">
        <v>307</v>
      </c>
      <c r="C240">
        <v>1.20502001010206E+17</v>
      </c>
      <c r="D240" s="5">
        <v>35</v>
      </c>
      <c r="E240" s="8" t="s">
        <v>454</v>
      </c>
      <c r="F240">
        <v>1.20502001010206E+17</v>
      </c>
      <c r="G240" t="s">
        <v>1909</v>
      </c>
      <c r="H240" s="8" t="s">
        <v>363</v>
      </c>
      <c r="I240" t="s">
        <v>47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149815.17000000001</v>
      </c>
      <c r="Y240" s="11">
        <v>0</v>
      </c>
      <c r="Z240" s="17">
        <v>149815.17000000001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149815.17000000001</v>
      </c>
      <c r="AH240" s="11">
        <v>0</v>
      </c>
      <c r="AI240" s="12">
        <v>149815.17000000001</v>
      </c>
      <c r="AJ240" s="11">
        <v>149815.17000000001</v>
      </c>
      <c r="AK240" s="11">
        <v>0</v>
      </c>
      <c r="AL240" s="11">
        <v>0</v>
      </c>
      <c r="AM240" s="11">
        <v>149815.17000000001</v>
      </c>
      <c r="AN240" s="11">
        <v>149815.17000000001</v>
      </c>
      <c r="AO240" s="11">
        <v>0</v>
      </c>
      <c r="AP240" s="11">
        <v>149815.17000000001</v>
      </c>
      <c r="AQ240" s="11">
        <v>0</v>
      </c>
      <c r="AR240" s="11">
        <v>0</v>
      </c>
      <c r="AS240" t="s">
        <v>365</v>
      </c>
      <c r="AT240" s="4" t="str">
        <f>+H240</f>
        <v>Participación por el consumo de licores destilados introducidos de producción nacional</v>
      </c>
      <c r="AU240" s="7" t="str">
        <f t="shared" si="34"/>
        <v>35Participación por el consumo de licores destilados introducidos de producción nacional149815,17</v>
      </c>
      <c r="AV240" t="e">
        <f>+_xlfn.XLOOKUP(AU240,CRUCE!I:I,CRUCE!M:M)</f>
        <v>#N/A</v>
      </c>
      <c r="AW240" t="s">
        <v>1907</v>
      </c>
      <c r="AX240">
        <f>+SUMIFS(CRUCE!C:C,CRUCE!A:A,D240,CRUCE!B:B,'2021'!H240)</f>
        <v>1989494714.3000002</v>
      </c>
    </row>
    <row r="241" spans="1:50" x14ac:dyDescent="0.3">
      <c r="A241">
        <v>2021</v>
      </c>
      <c r="B241">
        <v>307</v>
      </c>
      <c r="C241">
        <v>1.20502001010206E+17</v>
      </c>
      <c r="D241" s="5">
        <v>20</v>
      </c>
      <c r="E241" s="8" t="s">
        <v>455</v>
      </c>
      <c r="F241">
        <v>1.20502001010206E+17</v>
      </c>
      <c r="G241" t="s">
        <v>1909</v>
      </c>
      <c r="H241" s="8" t="s">
        <v>345</v>
      </c>
      <c r="I241" t="s">
        <v>47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7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2">
        <v>0</v>
      </c>
      <c r="AJ241" s="11">
        <v>0</v>
      </c>
      <c r="AK241" s="11">
        <v>0</v>
      </c>
      <c r="AL241" s="11">
        <v>0</v>
      </c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t="s">
        <v>57</v>
      </c>
      <c r="AT241" s="4" t="str">
        <f t="shared" ref="AT241:AT243" si="36">+H241</f>
        <v>Indemnizaciones relacionadas con seguros no de vida</v>
      </c>
      <c r="AU241" s="7" t="str">
        <f t="shared" si="34"/>
        <v>20Indemnizaciones relacionadas con seguros no de vida0</v>
      </c>
      <c r="AV241" t="str">
        <f>+_xlfn.XLOOKUP(AU241,CRUCE!I:I,CRUCE!M:M)</f>
        <v>READY</v>
      </c>
      <c r="AX241">
        <f>+SUMIFS(CRUCE!C:C,CRUCE!A:A,D241,CRUCE!B:B,'2021'!H241)</f>
        <v>0</v>
      </c>
    </row>
    <row r="242" spans="1:50" x14ac:dyDescent="0.3">
      <c r="A242">
        <v>2021</v>
      </c>
      <c r="B242">
        <v>307</v>
      </c>
      <c r="C242">
        <v>1.20502001010206E+17</v>
      </c>
      <c r="D242" s="5">
        <v>20</v>
      </c>
      <c r="E242" s="8" t="s">
        <v>456</v>
      </c>
      <c r="F242">
        <v>1.20502001010206E+17</v>
      </c>
      <c r="G242" t="s">
        <v>1909</v>
      </c>
      <c r="H242" s="8" t="s">
        <v>457</v>
      </c>
      <c r="I242" t="s">
        <v>47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2998.44</v>
      </c>
      <c r="Y242" s="11">
        <v>0</v>
      </c>
      <c r="Z242" s="17">
        <v>2998.44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2998.44</v>
      </c>
      <c r="AH242" s="11">
        <v>0</v>
      </c>
      <c r="AI242" s="12">
        <v>2998.44</v>
      </c>
      <c r="AJ242" s="11">
        <v>2998.44</v>
      </c>
      <c r="AK242" s="11">
        <v>0</v>
      </c>
      <c r="AL242" s="11">
        <v>0</v>
      </c>
      <c r="AM242" s="11">
        <v>2998.44</v>
      </c>
      <c r="AN242" s="11">
        <v>2998.44</v>
      </c>
      <c r="AO242" s="11">
        <v>0</v>
      </c>
      <c r="AP242" s="11">
        <v>2998.44</v>
      </c>
      <c r="AQ242" s="11">
        <v>0</v>
      </c>
      <c r="AR242" s="11">
        <v>0</v>
      </c>
      <c r="AS242" t="s">
        <v>57</v>
      </c>
      <c r="AT242" s="4" t="str">
        <f t="shared" si="36"/>
        <v>Excedentes financieros Establecimientos públicos</v>
      </c>
      <c r="AU242" s="7" t="str">
        <f t="shared" si="34"/>
        <v>20Excedentes financieros Establecimientos públicos2998,44</v>
      </c>
      <c r="AV242" t="str">
        <f>+_xlfn.XLOOKUP(AU242,CRUCE!I:I,CRUCE!M:M)</f>
        <v>READY</v>
      </c>
      <c r="AW242" t="s">
        <v>1907</v>
      </c>
      <c r="AX242">
        <f>+SUMIFS(CRUCE!C:C,CRUCE!A:A,D242,CRUCE!B:B,'2021'!H242)</f>
        <v>2998.44</v>
      </c>
    </row>
    <row r="243" spans="1:50" x14ac:dyDescent="0.3">
      <c r="A243">
        <v>2021</v>
      </c>
      <c r="B243">
        <v>307</v>
      </c>
      <c r="C243">
        <v>1.20502001010206E+17</v>
      </c>
      <c r="D243" s="5">
        <v>20</v>
      </c>
      <c r="E243" s="8" t="s">
        <v>458</v>
      </c>
      <c r="F243">
        <v>1.20502001010206E+17</v>
      </c>
      <c r="G243" t="s">
        <v>1909</v>
      </c>
      <c r="H243" s="8" t="s">
        <v>459</v>
      </c>
      <c r="I243" t="s">
        <v>47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8443.07</v>
      </c>
      <c r="Y243" s="11">
        <v>0</v>
      </c>
      <c r="Z243" s="17">
        <v>8443.07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8443.07</v>
      </c>
      <c r="AH243" s="11">
        <v>0</v>
      </c>
      <c r="AI243" s="12">
        <v>8443.07</v>
      </c>
      <c r="AJ243" s="11">
        <v>8443.07</v>
      </c>
      <c r="AK243" s="11">
        <v>0</v>
      </c>
      <c r="AL243" s="11">
        <v>0</v>
      </c>
      <c r="AM243" s="11">
        <v>8443.07</v>
      </c>
      <c r="AN243" s="11">
        <v>8443.07</v>
      </c>
      <c r="AO243" s="11">
        <v>0</v>
      </c>
      <c r="AP243" s="11">
        <v>8443.07</v>
      </c>
      <c r="AQ243" s="11">
        <v>0</v>
      </c>
      <c r="AR243" s="11">
        <v>0</v>
      </c>
      <c r="AS243" t="s">
        <v>57</v>
      </c>
      <c r="AT243" s="4" t="str">
        <f t="shared" si="36"/>
        <v>Reintegros</v>
      </c>
      <c r="AU243" s="7" t="str">
        <f t="shared" si="34"/>
        <v>20Reintegros8443,07</v>
      </c>
      <c r="AV243" t="e">
        <f>+_xlfn.XLOOKUP(AU243,CRUCE!I:I,CRUCE!M:M)</f>
        <v>#N/A</v>
      </c>
      <c r="AW243" t="s">
        <v>1907</v>
      </c>
      <c r="AX243">
        <f>+SUMIFS(CRUCE!C:C,CRUCE!A:A,D243,CRUCE!B:B,'2021'!H243)</f>
        <v>97633590.069999993</v>
      </c>
    </row>
    <row r="244" spans="1:50" x14ac:dyDescent="0.3">
      <c r="A244">
        <v>2021</v>
      </c>
      <c r="B244">
        <v>307</v>
      </c>
      <c r="C244">
        <v>1.20502001010206E+17</v>
      </c>
      <c r="D244" s="5">
        <v>18</v>
      </c>
      <c r="E244" s="8" t="s">
        <v>460</v>
      </c>
      <c r="F244">
        <v>1.20502001010206E+17</v>
      </c>
      <c r="G244" t="s">
        <v>1909</v>
      </c>
      <c r="H244" s="8" t="s">
        <v>151</v>
      </c>
      <c r="I244" t="s">
        <v>47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47361.47</v>
      </c>
      <c r="Y244" s="11">
        <v>0</v>
      </c>
      <c r="Z244" s="17">
        <v>47361.47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47361.47</v>
      </c>
      <c r="AH244" s="11">
        <v>0</v>
      </c>
      <c r="AI244" s="12">
        <v>47361.47</v>
      </c>
      <c r="AJ244" s="11">
        <v>47361.47</v>
      </c>
      <c r="AK244" s="11">
        <v>0</v>
      </c>
      <c r="AL244" s="11">
        <v>0</v>
      </c>
      <c r="AM244" s="11">
        <v>47361.47</v>
      </c>
      <c r="AN244" s="11">
        <v>47361.47</v>
      </c>
      <c r="AO244" s="11">
        <v>0</v>
      </c>
      <c r="AP244" s="11">
        <v>47361.47</v>
      </c>
      <c r="AQ244" s="11">
        <v>0</v>
      </c>
      <c r="AR244" s="11">
        <v>0</v>
      </c>
      <c r="AS244" t="s">
        <v>158</v>
      </c>
      <c r="AT244" s="4" t="str">
        <f t="shared" ref="AT244:AT249" si="37">+H244</f>
        <v>Cuota de fiscalización y auditaje</v>
      </c>
      <c r="AU244" s="7" t="str">
        <f t="shared" si="34"/>
        <v>18Cuota de fiscalización y auditaje47361,47</v>
      </c>
      <c r="AV244" t="str">
        <f>+_xlfn.XLOOKUP(AU244,CRUCE!I:I,CRUCE!M:M)</f>
        <v>READY</v>
      </c>
      <c r="AW244" t="s">
        <v>1907</v>
      </c>
      <c r="AX244">
        <f>+SUMIFS(CRUCE!C:C,CRUCE!A:A,D244,CRUCE!B:B,'2021'!H244)</f>
        <v>47361.47</v>
      </c>
    </row>
    <row r="245" spans="1:50" x14ac:dyDescent="0.3">
      <c r="A245">
        <v>2021</v>
      </c>
      <c r="B245">
        <v>307</v>
      </c>
      <c r="C245">
        <v>1.20502001010206E+17</v>
      </c>
      <c r="D245" s="5">
        <v>1</v>
      </c>
      <c r="E245" s="8" t="s">
        <v>461</v>
      </c>
      <c r="F245">
        <v>1.20502001010206E+17</v>
      </c>
      <c r="G245" t="s">
        <v>1909</v>
      </c>
      <c r="H245" s="8" t="s">
        <v>459</v>
      </c>
      <c r="I245" t="s">
        <v>47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7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2">
        <v>0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t="s">
        <v>64</v>
      </c>
      <c r="AT245" s="4" t="str">
        <f t="shared" si="37"/>
        <v>Reintegros</v>
      </c>
      <c r="AU245" s="7" t="str">
        <f t="shared" si="34"/>
        <v>1Reintegros0</v>
      </c>
      <c r="AV245" t="e">
        <f>+_xlfn.XLOOKUP(AU245,CRUCE!I:I,CRUCE!M:M)</f>
        <v>#N/A</v>
      </c>
      <c r="AW245" t="s">
        <v>1907</v>
      </c>
      <c r="AX245">
        <f>+SUMIFS(CRUCE!C:C,CRUCE!A:A,D245,CRUCE!B:B,'2021'!H245)</f>
        <v>3491848</v>
      </c>
    </row>
    <row r="246" spans="1:50" x14ac:dyDescent="0.3">
      <c r="A246">
        <v>2021</v>
      </c>
      <c r="B246">
        <v>307</v>
      </c>
      <c r="C246">
        <v>1.20502001010206E+17</v>
      </c>
      <c r="D246" s="5">
        <v>4</v>
      </c>
      <c r="E246" s="8" t="s">
        <v>462</v>
      </c>
      <c r="F246">
        <v>1.20502001010206E+17</v>
      </c>
      <c r="G246" t="s">
        <v>1909</v>
      </c>
      <c r="H246" s="8" t="s">
        <v>459</v>
      </c>
      <c r="I246" t="s">
        <v>47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7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2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t="s">
        <v>125</v>
      </c>
      <c r="AT246" s="4" t="str">
        <f t="shared" si="37"/>
        <v>Reintegros</v>
      </c>
      <c r="AU246" s="7" t="str">
        <f t="shared" si="34"/>
        <v>4Reintegros0</v>
      </c>
      <c r="AV246" t="e">
        <f>+_xlfn.XLOOKUP(AU246,CRUCE!I:I,CRUCE!M:M)</f>
        <v>#N/A</v>
      </c>
      <c r="AW246" t="s">
        <v>1907</v>
      </c>
      <c r="AX246">
        <f>+SUMIFS(CRUCE!C:C,CRUCE!A:A,D246,CRUCE!B:B,'2021'!H246)</f>
        <v>2096027</v>
      </c>
    </row>
    <row r="247" spans="1:50" x14ac:dyDescent="0.3">
      <c r="A247">
        <v>2021</v>
      </c>
      <c r="B247">
        <v>307</v>
      </c>
      <c r="C247">
        <v>1.20502001010206E+17</v>
      </c>
      <c r="D247" s="5">
        <v>6</v>
      </c>
      <c r="E247" s="8" t="s">
        <v>463</v>
      </c>
      <c r="F247">
        <v>1.20502001010206E+17</v>
      </c>
      <c r="G247" t="s">
        <v>1909</v>
      </c>
      <c r="H247" s="8" t="s">
        <v>459</v>
      </c>
      <c r="I247" t="s">
        <v>47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7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2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t="s">
        <v>120</v>
      </c>
      <c r="AT247" s="4" t="str">
        <f t="shared" si="37"/>
        <v>Reintegros</v>
      </c>
      <c r="AU247" s="7" t="str">
        <f t="shared" si="34"/>
        <v>6Reintegros0</v>
      </c>
      <c r="AV247" t="str">
        <f>+_xlfn.XLOOKUP(AU247,CRUCE!I:I,CRUCE!M:M)</f>
        <v>READY</v>
      </c>
      <c r="AW247" t="s">
        <v>1907</v>
      </c>
      <c r="AX247">
        <f>+SUMIFS(CRUCE!C:C,CRUCE!A:A,D247,CRUCE!B:B,'2021'!H247)</f>
        <v>0</v>
      </c>
    </row>
    <row r="248" spans="1:50" x14ac:dyDescent="0.3">
      <c r="A248">
        <v>2021</v>
      </c>
      <c r="B248">
        <v>307</v>
      </c>
      <c r="C248">
        <v>1.20502001010206E+17</v>
      </c>
      <c r="D248" s="5">
        <v>13</v>
      </c>
      <c r="E248" s="8" t="s">
        <v>464</v>
      </c>
      <c r="F248">
        <v>1.20502001010206E+17</v>
      </c>
      <c r="G248" t="s">
        <v>1909</v>
      </c>
      <c r="H248" s="8" t="s">
        <v>459</v>
      </c>
      <c r="I248" t="s">
        <v>47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7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2">
        <v>0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t="s">
        <v>66</v>
      </c>
      <c r="AT248" s="4" t="str">
        <f t="shared" si="37"/>
        <v>Reintegros</v>
      </c>
      <c r="AU248" s="7" t="str">
        <f t="shared" si="34"/>
        <v>13Reintegros0</v>
      </c>
      <c r="AV248" t="e">
        <f>+_xlfn.XLOOKUP(AU248,CRUCE!I:I,CRUCE!M:M)</f>
        <v>#N/A</v>
      </c>
      <c r="AW248" t="s">
        <v>1907</v>
      </c>
      <c r="AX248">
        <f>+SUMIFS(CRUCE!C:C,CRUCE!A:A,D248,CRUCE!B:B,'2021'!H248)</f>
        <v>1668507</v>
      </c>
    </row>
    <row r="249" spans="1:50" x14ac:dyDescent="0.3">
      <c r="A249">
        <v>2021</v>
      </c>
      <c r="B249">
        <v>307</v>
      </c>
      <c r="C249">
        <v>1.20502001010206E+17</v>
      </c>
      <c r="D249" s="5">
        <v>20</v>
      </c>
      <c r="E249" s="8" t="s">
        <v>465</v>
      </c>
      <c r="F249">
        <v>1.20502001010206E+17</v>
      </c>
      <c r="G249" t="s">
        <v>1909</v>
      </c>
      <c r="H249" s="8" t="s">
        <v>459</v>
      </c>
      <c r="I249" t="s">
        <v>47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7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2">
        <v>0</v>
      </c>
      <c r="AJ249" s="11">
        <v>0</v>
      </c>
      <c r="AK249" s="11">
        <v>0</v>
      </c>
      <c r="AL249" s="11">
        <v>0</v>
      </c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t="s">
        <v>57</v>
      </c>
      <c r="AT249" s="4" t="str">
        <f t="shared" si="37"/>
        <v>Reintegros</v>
      </c>
      <c r="AU249" s="7" t="str">
        <f t="shared" si="34"/>
        <v>20Reintegros0</v>
      </c>
      <c r="AV249" t="e">
        <f>+_xlfn.XLOOKUP(AU249,CRUCE!I:I,CRUCE!M:M)</f>
        <v>#N/A</v>
      </c>
      <c r="AW249" t="s">
        <v>1907</v>
      </c>
      <c r="AX249">
        <f>+SUMIFS(CRUCE!C:C,CRUCE!A:A,D249,CRUCE!B:B,'2021'!H249)</f>
        <v>97633590.069999993</v>
      </c>
    </row>
    <row r="250" spans="1:50" x14ac:dyDescent="0.3">
      <c r="A250">
        <v>2021</v>
      </c>
      <c r="B250">
        <v>307</v>
      </c>
      <c r="C250">
        <v>1.20502001010206E+17</v>
      </c>
      <c r="D250" s="5">
        <v>202</v>
      </c>
      <c r="E250" s="8" t="s">
        <v>466</v>
      </c>
      <c r="F250">
        <v>1.20502001010206E+17</v>
      </c>
      <c r="G250" t="s">
        <v>1909</v>
      </c>
      <c r="H250" s="8" t="s">
        <v>459</v>
      </c>
      <c r="I250" t="s">
        <v>47</v>
      </c>
      <c r="J250" s="11">
        <v>0</v>
      </c>
      <c r="K250" s="11">
        <v>0</v>
      </c>
      <c r="L250" s="11">
        <v>551405237</v>
      </c>
      <c r="M250" s="11">
        <v>0</v>
      </c>
      <c r="N250" s="11">
        <v>551405237</v>
      </c>
      <c r="O250" s="11">
        <v>551405237</v>
      </c>
      <c r="P250" s="11">
        <v>0</v>
      </c>
      <c r="Q250" s="11">
        <v>551405237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551405237</v>
      </c>
      <c r="Y250" s="11">
        <v>0</v>
      </c>
      <c r="Z250" s="17">
        <v>551405237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551405237</v>
      </c>
      <c r="AH250" s="11">
        <v>0</v>
      </c>
      <c r="AI250" s="12">
        <v>551405237</v>
      </c>
      <c r="AJ250" s="11">
        <v>551405237</v>
      </c>
      <c r="AK250" s="11">
        <v>0</v>
      </c>
      <c r="AL250" s="11">
        <v>0</v>
      </c>
      <c r="AM250" s="11">
        <v>551405237</v>
      </c>
      <c r="AN250" s="11">
        <v>551405237</v>
      </c>
      <c r="AO250" s="11">
        <v>0</v>
      </c>
      <c r="AP250" s="11">
        <v>551405237</v>
      </c>
      <c r="AQ250" s="11">
        <v>0</v>
      </c>
      <c r="AR250" s="11">
        <v>0</v>
      </c>
      <c r="AS250" t="s">
        <v>467</v>
      </c>
      <c r="AT250" s="4" t="str">
        <f t="shared" ref="AT250:AT252" si="38">+H250</f>
        <v>Reintegros</v>
      </c>
      <c r="AU250" s="7" t="str">
        <f t="shared" si="34"/>
        <v>202Reintegros551405237</v>
      </c>
      <c r="AV250" t="str">
        <f>+_xlfn.XLOOKUP(AU250,CRUCE!I:I,CRUCE!M:M)</f>
        <v>READY</v>
      </c>
      <c r="AW250" t="s">
        <v>1907</v>
      </c>
      <c r="AX250">
        <f>+SUMIFS(CRUCE!C:C,CRUCE!A:A,D250,CRUCE!B:B,'2021'!H250)</f>
        <v>551405237</v>
      </c>
    </row>
    <row r="251" spans="1:50" x14ac:dyDescent="0.3">
      <c r="A251">
        <v>2021</v>
      </c>
      <c r="B251">
        <v>307</v>
      </c>
      <c r="C251">
        <v>1.20502001010206E+17</v>
      </c>
      <c r="D251" s="5">
        <v>46</v>
      </c>
      <c r="E251" s="8" t="s">
        <v>468</v>
      </c>
      <c r="F251">
        <v>1.20502001010206E+17</v>
      </c>
      <c r="G251" t="s">
        <v>1909</v>
      </c>
      <c r="H251" s="8" t="s">
        <v>459</v>
      </c>
      <c r="I251" t="s">
        <v>47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7835042.5899999999</v>
      </c>
      <c r="Y251" s="11">
        <v>0</v>
      </c>
      <c r="Z251" s="17">
        <v>7835042.5899999999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7835042.5899999999</v>
      </c>
      <c r="AH251" s="11">
        <v>0</v>
      </c>
      <c r="AI251" s="12">
        <v>7835042.5899999999</v>
      </c>
      <c r="AJ251" s="11">
        <v>7835042.5899999999</v>
      </c>
      <c r="AK251" s="11">
        <v>0</v>
      </c>
      <c r="AL251" s="11">
        <v>0</v>
      </c>
      <c r="AM251" s="11">
        <v>7835042.5899999999</v>
      </c>
      <c r="AN251" s="11">
        <v>7835042.5899999999</v>
      </c>
      <c r="AO251" s="11">
        <v>0</v>
      </c>
      <c r="AP251" s="11">
        <v>7835042.5899999999</v>
      </c>
      <c r="AQ251" s="11">
        <v>0</v>
      </c>
      <c r="AR251" s="11">
        <v>0</v>
      </c>
      <c r="AS251" t="s">
        <v>469</v>
      </c>
      <c r="AT251" s="4" t="str">
        <f t="shared" si="38"/>
        <v>Reintegros</v>
      </c>
      <c r="AU251" s="7" t="str">
        <f t="shared" si="34"/>
        <v>46Reintegros7835042,59</v>
      </c>
      <c r="AV251" t="e">
        <f>+_xlfn.XLOOKUP(AU251,CRUCE!I:I,CRUCE!M:M)</f>
        <v>#N/A</v>
      </c>
      <c r="AW251" t="s">
        <v>1907</v>
      </c>
      <c r="AX251">
        <f>+SUMIFS(CRUCE!C:C,CRUCE!A:A,D251,CRUCE!B:B,'2021'!H251)</f>
        <v>25627657.93</v>
      </c>
    </row>
    <row r="252" spans="1:50" x14ac:dyDescent="0.3">
      <c r="A252">
        <v>2021</v>
      </c>
      <c r="B252">
        <v>307</v>
      </c>
      <c r="C252">
        <v>1.20502001010206E+17</v>
      </c>
      <c r="D252" s="5">
        <v>88</v>
      </c>
      <c r="E252" s="8" t="s">
        <v>470</v>
      </c>
      <c r="F252">
        <v>1.20502001010206E+17</v>
      </c>
      <c r="G252" t="s">
        <v>1909</v>
      </c>
      <c r="H252" s="8" t="s">
        <v>459</v>
      </c>
      <c r="I252" t="s">
        <v>47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1549.92</v>
      </c>
      <c r="Y252" s="11">
        <v>0</v>
      </c>
      <c r="Z252" s="17">
        <v>1549.92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1549.92</v>
      </c>
      <c r="AH252" s="11">
        <v>0</v>
      </c>
      <c r="AI252" s="12">
        <v>1549.92</v>
      </c>
      <c r="AJ252" s="11">
        <v>1549.92</v>
      </c>
      <c r="AK252" s="11">
        <v>0</v>
      </c>
      <c r="AL252" s="11">
        <v>0</v>
      </c>
      <c r="AM252" s="11">
        <v>1549.92</v>
      </c>
      <c r="AN252" s="11">
        <v>1549.92</v>
      </c>
      <c r="AO252" s="11">
        <v>0</v>
      </c>
      <c r="AP252" s="11">
        <v>1549.92</v>
      </c>
      <c r="AQ252" s="11">
        <v>0</v>
      </c>
      <c r="AR252" s="11">
        <v>0</v>
      </c>
      <c r="AS252" t="s">
        <v>471</v>
      </c>
      <c r="AT252" s="4" t="str">
        <f t="shared" si="38"/>
        <v>Reintegros</v>
      </c>
      <c r="AU252" s="7" t="str">
        <f t="shared" si="34"/>
        <v>88Reintegros1549,92</v>
      </c>
      <c r="AV252" t="e">
        <f>+_xlfn.XLOOKUP(AU252,CRUCE!I:I,CRUCE!M:M)</f>
        <v>#N/A</v>
      </c>
      <c r="AW252" t="s">
        <v>1907</v>
      </c>
      <c r="AX252">
        <f>+SUMIFS(CRUCE!C:C,CRUCE!A:A,D252,CRUCE!B:B,'2021'!H252)</f>
        <v>15863901.92</v>
      </c>
    </row>
    <row r="253" spans="1:50" x14ac:dyDescent="0.3">
      <c r="A253">
        <v>2021</v>
      </c>
      <c r="B253">
        <v>307</v>
      </c>
      <c r="C253">
        <v>1.20502001010206E+17</v>
      </c>
      <c r="D253" s="5">
        <v>20</v>
      </c>
      <c r="E253" s="8" t="s">
        <v>472</v>
      </c>
      <c r="F253">
        <v>1.20502001010206E+17</v>
      </c>
      <c r="G253" t="s">
        <v>1909</v>
      </c>
      <c r="H253" s="8" t="s">
        <v>377</v>
      </c>
      <c r="I253" t="s">
        <v>47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8939.4500000000007</v>
      </c>
      <c r="Y253" s="11">
        <v>0</v>
      </c>
      <c r="Z253" s="17">
        <v>8939.4500000000007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8939.4500000000007</v>
      </c>
      <c r="AH253" s="11">
        <v>0</v>
      </c>
      <c r="AI253" s="12">
        <v>8939.4500000000007</v>
      </c>
      <c r="AJ253" s="11">
        <v>8939.4500000000007</v>
      </c>
      <c r="AK253" s="11">
        <v>0</v>
      </c>
      <c r="AL253" s="11">
        <v>0</v>
      </c>
      <c r="AM253" s="11">
        <v>8939.4500000000007</v>
      </c>
      <c r="AN253" s="11">
        <v>8939.4500000000007</v>
      </c>
      <c r="AO253" s="11">
        <v>0</v>
      </c>
      <c r="AP253" s="11">
        <v>8939.4500000000007</v>
      </c>
      <c r="AQ253" s="11">
        <v>0</v>
      </c>
      <c r="AR253" s="11">
        <v>0</v>
      </c>
      <c r="AS253" t="s">
        <v>57</v>
      </c>
      <c r="AT253" s="4" t="str">
        <f>+H253</f>
        <v>Terminal de Transportes de Armenia</v>
      </c>
      <c r="AU253" s="7" t="str">
        <f t="shared" si="34"/>
        <v>20Terminal de Transportes de Armenia8939,45</v>
      </c>
      <c r="AV253" t="e">
        <f>+_xlfn.XLOOKUP(AU253,CRUCE!I:I,CRUCE!M:M)</f>
        <v>#N/A</v>
      </c>
      <c r="AW253" t="s">
        <v>1907</v>
      </c>
      <c r="AX253">
        <f>+SUMIFS(CRUCE!C:C,CRUCE!A:A,D253,CRUCE!B:B,'2021'!H253)</f>
        <v>63371376.450000003</v>
      </c>
    </row>
    <row r="254" spans="1:50" hidden="1" x14ac:dyDescent="0.3">
      <c r="A254">
        <v>2021</v>
      </c>
      <c r="B254">
        <v>307</v>
      </c>
      <c r="C254">
        <v>1210</v>
      </c>
      <c r="D254" s="5" t="s">
        <v>44</v>
      </c>
      <c r="E254" s="8" t="s">
        <v>473</v>
      </c>
      <c r="F254">
        <v>1210</v>
      </c>
      <c r="H254" s="8" t="s">
        <v>474</v>
      </c>
      <c r="I254" t="s">
        <v>47</v>
      </c>
      <c r="J254" s="11">
        <v>0</v>
      </c>
      <c r="K254" s="11">
        <v>0</v>
      </c>
      <c r="L254" s="11">
        <v>38099344723.860001</v>
      </c>
      <c r="M254" s="11">
        <v>0</v>
      </c>
      <c r="N254" s="11">
        <v>38099344723.860001</v>
      </c>
      <c r="O254" s="11">
        <v>38099344723.860001</v>
      </c>
      <c r="P254" s="11">
        <v>0</v>
      </c>
      <c r="Q254" s="11">
        <v>38099344723.860001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38099344723.860001</v>
      </c>
      <c r="Y254" s="11">
        <v>0</v>
      </c>
      <c r="Z254" s="17">
        <v>38099344723.860001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38099344723.860001</v>
      </c>
      <c r="AH254" s="11">
        <v>0</v>
      </c>
      <c r="AI254" s="12">
        <v>38099344723.860001</v>
      </c>
      <c r="AJ254" s="11">
        <v>38099344723.860001</v>
      </c>
      <c r="AK254" s="11">
        <v>38099344723.860001</v>
      </c>
      <c r="AL254" s="11">
        <v>38099344723.860001</v>
      </c>
      <c r="AM254" s="11">
        <v>0</v>
      </c>
      <c r="AN254" s="11">
        <v>0</v>
      </c>
      <c r="AO254" s="11">
        <v>0</v>
      </c>
      <c r="AP254" s="11">
        <v>0</v>
      </c>
      <c r="AQ254" s="11">
        <v>0</v>
      </c>
      <c r="AR254" s="11">
        <v>0</v>
      </c>
      <c r="AS254" t="s">
        <v>48</v>
      </c>
      <c r="AT254"/>
    </row>
    <row r="255" spans="1:50" hidden="1" x14ac:dyDescent="0.3">
      <c r="A255">
        <v>2021</v>
      </c>
      <c r="B255">
        <v>307</v>
      </c>
      <c r="C255">
        <v>121002</v>
      </c>
      <c r="D255" s="5" t="s">
        <v>44</v>
      </c>
      <c r="E255" s="8" t="s">
        <v>475</v>
      </c>
      <c r="F255">
        <v>121002</v>
      </c>
      <c r="H255" s="8" t="s">
        <v>476</v>
      </c>
      <c r="I255" t="s">
        <v>47</v>
      </c>
      <c r="J255" s="11">
        <v>0</v>
      </c>
      <c r="K255" s="11">
        <v>0</v>
      </c>
      <c r="L255" s="11">
        <v>38099344723.860001</v>
      </c>
      <c r="M255" s="11">
        <v>0</v>
      </c>
      <c r="N255" s="11">
        <v>38099344723.860001</v>
      </c>
      <c r="O255" s="11">
        <v>38099344723.860001</v>
      </c>
      <c r="P255" s="11">
        <v>0</v>
      </c>
      <c r="Q255" s="11">
        <v>38099344723.860001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38099344723.860001</v>
      </c>
      <c r="Y255" s="11">
        <v>0</v>
      </c>
      <c r="Z255" s="17">
        <v>38099344723.860001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38099344723.860001</v>
      </c>
      <c r="AH255" s="11">
        <v>0</v>
      </c>
      <c r="AI255" s="12">
        <v>38099344723.860001</v>
      </c>
      <c r="AJ255" s="11">
        <v>38099344723.860001</v>
      </c>
      <c r="AK255" s="11">
        <v>38099344723.860001</v>
      </c>
      <c r="AL255" s="11">
        <v>38099344723.860001</v>
      </c>
      <c r="AM255" s="11">
        <v>0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t="s">
        <v>48</v>
      </c>
      <c r="AT255"/>
    </row>
    <row r="256" spans="1:50" hidden="1" x14ac:dyDescent="0.3">
      <c r="A256">
        <v>2021</v>
      </c>
      <c r="B256">
        <v>307</v>
      </c>
      <c r="C256">
        <v>121002001</v>
      </c>
      <c r="D256" s="5" t="s">
        <v>44</v>
      </c>
      <c r="E256" s="8" t="s">
        <v>477</v>
      </c>
      <c r="F256">
        <v>121002001</v>
      </c>
      <c r="H256" s="8" t="s">
        <v>478</v>
      </c>
      <c r="I256" t="s">
        <v>47</v>
      </c>
      <c r="J256" s="11">
        <v>0</v>
      </c>
      <c r="K256" s="11">
        <v>0</v>
      </c>
      <c r="L256" s="11">
        <v>20265095681.400002</v>
      </c>
      <c r="M256" s="11">
        <v>0</v>
      </c>
      <c r="N256" s="11">
        <v>20265095681.400002</v>
      </c>
      <c r="O256" s="11">
        <v>20265095681.400002</v>
      </c>
      <c r="P256" s="11">
        <v>0</v>
      </c>
      <c r="Q256" s="11">
        <v>20265095681.400002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20265095681.400002</v>
      </c>
      <c r="Y256" s="11">
        <v>0</v>
      </c>
      <c r="Z256" s="17">
        <v>20265095681.400002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20265095681.400002</v>
      </c>
      <c r="AH256" s="11">
        <v>0</v>
      </c>
      <c r="AI256" s="12">
        <v>20265095681.400002</v>
      </c>
      <c r="AJ256" s="11">
        <v>20265095681.400002</v>
      </c>
      <c r="AK256" s="11">
        <v>20265095681.400002</v>
      </c>
      <c r="AL256" s="11">
        <v>20265095681.400002</v>
      </c>
      <c r="AM256" s="11">
        <v>0</v>
      </c>
      <c r="AN256" s="11">
        <v>0</v>
      </c>
      <c r="AO256" s="11">
        <v>0</v>
      </c>
      <c r="AP256" s="11">
        <v>0</v>
      </c>
      <c r="AQ256" s="11">
        <v>0</v>
      </c>
      <c r="AR256" s="11">
        <v>0</v>
      </c>
      <c r="AS256" t="s">
        <v>48</v>
      </c>
      <c r="AT256"/>
    </row>
    <row r="257" spans="1:50" x14ac:dyDescent="0.3">
      <c r="A257">
        <v>2021</v>
      </c>
      <c r="B257">
        <v>307</v>
      </c>
      <c r="C257">
        <v>12100200101</v>
      </c>
      <c r="D257" s="5">
        <v>88</v>
      </c>
      <c r="E257" s="8" t="s">
        <v>479</v>
      </c>
      <c r="F257">
        <v>12100200101</v>
      </c>
      <c r="G257" t="s">
        <v>1910</v>
      </c>
      <c r="H257" s="8" t="s">
        <v>480</v>
      </c>
      <c r="I257" t="s">
        <v>47</v>
      </c>
      <c r="J257" s="11">
        <v>0</v>
      </c>
      <c r="K257" s="11">
        <v>0</v>
      </c>
      <c r="L257" s="11">
        <v>20265095681.400002</v>
      </c>
      <c r="M257" s="11">
        <v>0</v>
      </c>
      <c r="N257" s="11">
        <v>20265095681.400002</v>
      </c>
      <c r="O257" s="11">
        <v>20265095681.400002</v>
      </c>
      <c r="P257" s="11">
        <v>0</v>
      </c>
      <c r="Q257" s="11">
        <v>20265095681.400002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20265095681.400002</v>
      </c>
      <c r="Y257" s="11">
        <v>0</v>
      </c>
      <c r="Z257" s="17">
        <v>20265095681.400002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v>0</v>
      </c>
      <c r="AG257" s="11">
        <v>20265095681.400002</v>
      </c>
      <c r="AH257" s="11">
        <v>0</v>
      </c>
      <c r="AI257" s="12">
        <v>20265095681.400002</v>
      </c>
      <c r="AJ257" s="11">
        <v>20265095681.400002</v>
      </c>
      <c r="AK257" s="11">
        <v>20265095681.400002</v>
      </c>
      <c r="AL257" s="11">
        <v>20265095681.400002</v>
      </c>
      <c r="AM257" s="11">
        <v>0</v>
      </c>
      <c r="AN257" s="11">
        <v>0</v>
      </c>
      <c r="AO257" s="11">
        <v>0</v>
      </c>
      <c r="AP257" s="11">
        <v>0</v>
      </c>
      <c r="AQ257" s="11">
        <v>0</v>
      </c>
      <c r="AR257" s="11">
        <v>0</v>
      </c>
      <c r="AS257" t="s">
        <v>471</v>
      </c>
      <c r="AT257" s="4" t="str">
        <f>+H257</f>
        <v xml:space="preserve">Superávit Recurso Ordinario </v>
      </c>
      <c r="AU257" s="7" t="str">
        <f>+$D257&amp;$AT257&amp;Z257</f>
        <v>88Superávit Recurso Ordinario 20265095681,4</v>
      </c>
      <c r="AV257" t="e">
        <f>+_xlfn.XLOOKUP(AU257,CRUCE!I:I,CRUCE!M:M)</f>
        <v>#N/A</v>
      </c>
      <c r="AW257" t="s">
        <v>1907</v>
      </c>
      <c r="AX257">
        <f>+SUMIFS(CRUCE!C:C,CRUCE!A:A,D257,CRUCE!B:B,'2021'!H257)</f>
        <v>20842997274.400002</v>
      </c>
    </row>
    <row r="258" spans="1:50" hidden="1" x14ac:dyDescent="0.3">
      <c r="A258">
        <v>2021</v>
      </c>
      <c r="B258">
        <v>307</v>
      </c>
      <c r="C258">
        <v>121002002</v>
      </c>
      <c r="D258" s="5" t="s">
        <v>44</v>
      </c>
      <c r="E258" s="8" t="s">
        <v>481</v>
      </c>
      <c r="F258">
        <v>121002002</v>
      </c>
      <c r="H258" s="8" t="s">
        <v>482</v>
      </c>
      <c r="I258" t="s">
        <v>47</v>
      </c>
      <c r="J258" s="11">
        <v>0</v>
      </c>
      <c r="K258" s="11">
        <v>0</v>
      </c>
      <c r="L258" s="11">
        <v>17834249042.459999</v>
      </c>
      <c r="M258" s="11">
        <v>0</v>
      </c>
      <c r="N258" s="11">
        <v>17834249042.459999</v>
      </c>
      <c r="O258" s="11">
        <v>17834249042.459999</v>
      </c>
      <c r="P258" s="11">
        <v>0</v>
      </c>
      <c r="Q258" s="11">
        <v>17834249042.459999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17834249042.459999</v>
      </c>
      <c r="Y258" s="11">
        <v>0</v>
      </c>
      <c r="Z258" s="17">
        <v>17834249042.459999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1">
        <v>17834249042.459999</v>
      </c>
      <c r="AH258" s="11">
        <v>0</v>
      </c>
      <c r="AI258" s="12">
        <v>17834249042.459999</v>
      </c>
      <c r="AJ258" s="11">
        <v>17834249042.459999</v>
      </c>
      <c r="AK258" s="11">
        <v>17834249042.459999</v>
      </c>
      <c r="AL258" s="11">
        <v>17834249042.459999</v>
      </c>
      <c r="AM258" s="11">
        <v>0</v>
      </c>
      <c r="AN258" s="11">
        <v>0</v>
      </c>
      <c r="AO258" s="11">
        <v>0</v>
      </c>
      <c r="AP258" s="11">
        <v>0</v>
      </c>
      <c r="AQ258" s="11">
        <v>0</v>
      </c>
      <c r="AR258" s="11">
        <v>0</v>
      </c>
      <c r="AS258" t="s">
        <v>48</v>
      </c>
      <c r="AT258"/>
    </row>
    <row r="259" spans="1:50" x14ac:dyDescent="0.3">
      <c r="A259">
        <v>2021</v>
      </c>
      <c r="B259">
        <v>307</v>
      </c>
      <c r="C259">
        <v>12100200201</v>
      </c>
      <c r="D259" s="5">
        <v>82</v>
      </c>
      <c r="E259" s="8" t="s">
        <v>483</v>
      </c>
      <c r="F259">
        <v>12100200201</v>
      </c>
      <c r="G259" t="s">
        <v>1910</v>
      </c>
      <c r="H259" s="8" t="s">
        <v>484</v>
      </c>
      <c r="I259" t="s">
        <v>47</v>
      </c>
      <c r="J259" s="11">
        <v>0</v>
      </c>
      <c r="K259" s="11">
        <v>0</v>
      </c>
      <c r="L259" s="11">
        <v>1227144650.47</v>
      </c>
      <c r="M259" s="11">
        <v>0</v>
      </c>
      <c r="N259" s="11">
        <v>1227144650.47</v>
      </c>
      <c r="O259" s="11">
        <v>1227144650.47</v>
      </c>
      <c r="P259" s="11">
        <v>0</v>
      </c>
      <c r="Q259" s="11">
        <v>1227144650.47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1227144650.47</v>
      </c>
      <c r="Y259" s="11">
        <v>0</v>
      </c>
      <c r="Z259" s="17">
        <v>1227144650.47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1227144650.47</v>
      </c>
      <c r="AH259" s="11">
        <v>0</v>
      </c>
      <c r="AI259" s="12">
        <v>1227144650.47</v>
      </c>
      <c r="AJ259" s="11">
        <v>1227144650.47</v>
      </c>
      <c r="AK259" s="11">
        <v>1227144650.47</v>
      </c>
      <c r="AL259" s="11">
        <v>1227144650.47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t="s">
        <v>485</v>
      </c>
      <c r="AT259" s="4" t="str">
        <f t="shared" ref="AT259:AT270" si="39">+H259</f>
        <v>Superávit Estampilla Pro-Desarrollo</v>
      </c>
      <c r="AU259" s="7" t="str">
        <f t="shared" ref="AU259:AU278" si="40">+$D259&amp;$AT259&amp;Z259</f>
        <v>82Superávit Estampilla Pro-Desarrollo1227144650,47</v>
      </c>
      <c r="AV259" t="e">
        <f>+_xlfn.XLOOKUP(AU259,CRUCE!I:I,CRUCE!M:M)</f>
        <v>#N/A</v>
      </c>
      <c r="AW259" t="s">
        <v>1907</v>
      </c>
      <c r="AX259">
        <f>+SUMIFS(CRUCE!C:C,CRUCE!A:A,D259,CRUCE!B:B,'2021'!H259)</f>
        <v>1668135329.8800001</v>
      </c>
    </row>
    <row r="260" spans="1:50" x14ac:dyDescent="0.3">
      <c r="A260">
        <v>2021</v>
      </c>
      <c r="B260">
        <v>307</v>
      </c>
      <c r="C260">
        <v>12100200206</v>
      </c>
      <c r="D260" s="5">
        <v>89</v>
      </c>
      <c r="E260" s="8" t="s">
        <v>486</v>
      </c>
      <c r="F260">
        <v>12100200206</v>
      </c>
      <c r="G260" t="s">
        <v>1910</v>
      </c>
      <c r="H260" s="8" t="s">
        <v>487</v>
      </c>
      <c r="I260" t="s">
        <v>47</v>
      </c>
      <c r="J260" s="11">
        <v>0</v>
      </c>
      <c r="K260" s="11">
        <v>0</v>
      </c>
      <c r="L260" s="11">
        <v>56108067</v>
      </c>
      <c r="M260" s="11">
        <v>0</v>
      </c>
      <c r="N260" s="11">
        <v>56108067</v>
      </c>
      <c r="O260" s="11">
        <v>56108067</v>
      </c>
      <c r="P260" s="11">
        <v>0</v>
      </c>
      <c r="Q260" s="11">
        <v>56108067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56108067</v>
      </c>
      <c r="Y260" s="11">
        <v>0</v>
      </c>
      <c r="Z260" s="17">
        <v>56108067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56108067</v>
      </c>
      <c r="AH260" s="11">
        <v>0</v>
      </c>
      <c r="AI260" s="12">
        <v>56108067</v>
      </c>
      <c r="AJ260" s="11">
        <v>56108067</v>
      </c>
      <c r="AK260" s="11">
        <v>56108067</v>
      </c>
      <c r="AL260" s="11">
        <v>56108067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t="s">
        <v>488</v>
      </c>
      <c r="AT260" s="4" t="str">
        <f t="shared" si="39"/>
        <v xml:space="preserve">Superávit Sobretasa ACPM  </v>
      </c>
      <c r="AU260" s="7" t="str">
        <f t="shared" si="40"/>
        <v>89Superávit Sobretasa ACPM  56108067</v>
      </c>
      <c r="AV260" t="str">
        <f>+_xlfn.XLOOKUP(AU260,CRUCE!I:I,CRUCE!M:M)</f>
        <v>READY</v>
      </c>
      <c r="AW260" t="s">
        <v>1907</v>
      </c>
      <c r="AX260">
        <f>+SUMIFS(CRUCE!C:C,CRUCE!A:A,D260,CRUCE!B:B,'2021'!H260)</f>
        <v>56108067</v>
      </c>
    </row>
    <row r="261" spans="1:50" x14ac:dyDescent="0.3">
      <c r="A261">
        <v>2021</v>
      </c>
      <c r="B261">
        <v>307</v>
      </c>
      <c r="C261">
        <v>12100200207</v>
      </c>
      <c r="D261" s="5">
        <v>91</v>
      </c>
      <c r="E261" s="8" t="s">
        <v>489</v>
      </c>
      <c r="F261">
        <v>12100200207</v>
      </c>
      <c r="G261" t="s">
        <v>1910</v>
      </c>
      <c r="H261" s="8" t="s">
        <v>490</v>
      </c>
      <c r="I261" t="s">
        <v>47</v>
      </c>
      <c r="J261" s="11">
        <v>0</v>
      </c>
      <c r="K261" s="11">
        <v>0</v>
      </c>
      <c r="L261" s="11">
        <v>694810000.59000003</v>
      </c>
      <c r="M261" s="11">
        <v>0</v>
      </c>
      <c r="N261" s="11">
        <v>694810000.59000003</v>
      </c>
      <c r="O261" s="11">
        <v>694810000.59000003</v>
      </c>
      <c r="P261" s="11">
        <v>0</v>
      </c>
      <c r="Q261" s="11">
        <v>694810000.59000003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694810000.59000003</v>
      </c>
      <c r="Y261" s="11">
        <v>0</v>
      </c>
      <c r="Z261" s="17">
        <v>694810000.59000003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694810000.59000003</v>
      </c>
      <c r="AH261" s="11">
        <v>0</v>
      </c>
      <c r="AI261" s="12">
        <v>694810000.59000003</v>
      </c>
      <c r="AJ261" s="11">
        <v>694810000.59000003</v>
      </c>
      <c r="AK261" s="11">
        <v>694810000.59000003</v>
      </c>
      <c r="AL261" s="11">
        <v>694810000.59000003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t="s">
        <v>491</v>
      </c>
      <c r="AT261" s="4" t="str">
        <f t="shared" si="39"/>
        <v xml:space="preserve">Superávit Recurso Destinado del Monopolio </v>
      </c>
      <c r="AU261" s="7" t="str">
        <f t="shared" si="40"/>
        <v>91Superávit Recurso Destinado del Monopolio 694810000,59</v>
      </c>
      <c r="AV261" t="e">
        <f>+_xlfn.XLOOKUP(AU261,CRUCE!I:I,CRUCE!M:M)</f>
        <v>#N/A</v>
      </c>
      <c r="AW261" t="s">
        <v>1907</v>
      </c>
      <c r="AX261">
        <f>+SUMIFS(CRUCE!C:C,CRUCE!A:A,D261,CRUCE!B:B,'2021'!H261)</f>
        <v>725133446.03000009</v>
      </c>
    </row>
    <row r="262" spans="1:50" x14ac:dyDescent="0.3">
      <c r="A262">
        <v>2021</v>
      </c>
      <c r="B262">
        <v>307</v>
      </c>
      <c r="C262">
        <v>12100200209</v>
      </c>
      <c r="D262" s="5">
        <v>92</v>
      </c>
      <c r="E262" s="8" t="s">
        <v>492</v>
      </c>
      <c r="F262">
        <v>12100200209</v>
      </c>
      <c r="G262" t="s">
        <v>1910</v>
      </c>
      <c r="H262" s="8" t="s">
        <v>493</v>
      </c>
      <c r="I262" t="s">
        <v>47</v>
      </c>
      <c r="J262" s="11">
        <v>0</v>
      </c>
      <c r="K262" s="11">
        <v>0</v>
      </c>
      <c r="L262" s="11">
        <v>2663696802.3299999</v>
      </c>
      <c r="M262" s="11">
        <v>0</v>
      </c>
      <c r="N262" s="11">
        <v>2663696802.3299999</v>
      </c>
      <c r="O262" s="11">
        <v>2663696802.3299999</v>
      </c>
      <c r="P262" s="11">
        <v>0</v>
      </c>
      <c r="Q262" s="11">
        <v>2663696802.3299999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2663696802.3299999</v>
      </c>
      <c r="Y262" s="11">
        <v>0</v>
      </c>
      <c r="Z262" s="17">
        <v>2663696802.3299999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2663696802.3299999</v>
      </c>
      <c r="AH262" s="11">
        <v>0</v>
      </c>
      <c r="AI262" s="12">
        <v>2663696802.3299999</v>
      </c>
      <c r="AJ262" s="11">
        <v>2663696802.3299999</v>
      </c>
      <c r="AK262" s="11">
        <v>2663696802.3299999</v>
      </c>
      <c r="AL262" s="11">
        <v>2663696802.3299999</v>
      </c>
      <c r="AM262" s="11">
        <v>0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  <c r="AS262" t="s">
        <v>494</v>
      </c>
      <c r="AT262" s="4" t="str">
        <f t="shared" si="39"/>
        <v xml:space="preserve">Superávit Fondo de Seguridad Ciudadana </v>
      </c>
      <c r="AU262" s="7" t="str">
        <f t="shared" si="40"/>
        <v>92Superávit Fondo de Seguridad Ciudadana 2663696802,33</v>
      </c>
      <c r="AV262" t="str">
        <f>+_xlfn.XLOOKUP(AU262,CRUCE!I:I,CRUCE!M:M)</f>
        <v>READY</v>
      </c>
      <c r="AW262" t="s">
        <v>1907</v>
      </c>
      <c r="AX262">
        <f>+SUMIFS(CRUCE!C:C,CRUCE!A:A,D262,CRUCE!B:B,'2021'!H262)</f>
        <v>2663696802.3299999</v>
      </c>
    </row>
    <row r="263" spans="1:50" x14ac:dyDescent="0.3">
      <c r="A263">
        <v>2021</v>
      </c>
      <c r="B263">
        <v>307</v>
      </c>
      <c r="C263">
        <v>12100200217</v>
      </c>
      <c r="D263" s="5">
        <v>83</v>
      </c>
      <c r="E263" s="8" t="s">
        <v>495</v>
      </c>
      <c r="F263">
        <v>12100200217</v>
      </c>
      <c r="G263" t="s">
        <v>1910</v>
      </c>
      <c r="H263" s="8" t="s">
        <v>496</v>
      </c>
      <c r="I263" t="s">
        <v>47</v>
      </c>
      <c r="J263" s="11">
        <v>0</v>
      </c>
      <c r="K263" s="11">
        <v>0</v>
      </c>
      <c r="L263" s="11">
        <v>1509653585.8199999</v>
      </c>
      <c r="M263" s="11">
        <v>0</v>
      </c>
      <c r="N263" s="11">
        <v>1509653585.8199999</v>
      </c>
      <c r="O263" s="11">
        <v>1509653585.8199999</v>
      </c>
      <c r="P263" s="11">
        <v>0</v>
      </c>
      <c r="Q263" s="11">
        <v>1509653585.8199999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1509653585.8199999</v>
      </c>
      <c r="Y263" s="11">
        <v>0</v>
      </c>
      <c r="Z263" s="17">
        <v>1509653585.8199999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1509653585.8199999</v>
      </c>
      <c r="AH263" s="11">
        <v>0</v>
      </c>
      <c r="AI263" s="12">
        <v>1509653585.8199999</v>
      </c>
      <c r="AJ263" s="11">
        <v>1509653585.8199999</v>
      </c>
      <c r="AK263" s="11">
        <v>1509653585.8199999</v>
      </c>
      <c r="AL263" s="11">
        <v>1509653585.8199999</v>
      </c>
      <c r="AM263" s="11">
        <v>0</v>
      </c>
      <c r="AN263" s="11">
        <v>0</v>
      </c>
      <c r="AO263" s="11">
        <v>0</v>
      </c>
      <c r="AP263" s="11">
        <v>0</v>
      </c>
      <c r="AQ263" s="11">
        <v>0</v>
      </c>
      <c r="AR263" s="11">
        <v>0</v>
      </c>
      <c r="AS263" t="s">
        <v>497</v>
      </c>
      <c r="AT263" s="4" t="str">
        <f t="shared" si="39"/>
        <v>Superavit Estampilla Pro-cultura</v>
      </c>
      <c r="AU263" s="7" t="str">
        <f t="shared" si="40"/>
        <v>83Superavit Estampilla Pro-cultura1509653585,82</v>
      </c>
      <c r="AV263" t="str">
        <f>+_xlfn.XLOOKUP(AU263,CRUCE!I:I,CRUCE!M:M)</f>
        <v>READY</v>
      </c>
      <c r="AW263" t="s">
        <v>1907</v>
      </c>
      <c r="AX263">
        <f>+SUMIFS(CRUCE!C:C,CRUCE!A:A,D263,CRUCE!B:B,'2021'!H263)</f>
        <v>1509653585.8199999</v>
      </c>
    </row>
    <row r="264" spans="1:50" x14ac:dyDescent="0.3">
      <c r="A264">
        <v>2021</v>
      </c>
      <c r="B264">
        <v>307</v>
      </c>
      <c r="C264">
        <v>12100200218</v>
      </c>
      <c r="D264" s="5">
        <v>195</v>
      </c>
      <c r="E264" s="8" t="s">
        <v>498</v>
      </c>
      <c r="F264">
        <v>12100200218</v>
      </c>
      <c r="G264" t="s">
        <v>1910</v>
      </c>
      <c r="H264" s="8" t="s">
        <v>499</v>
      </c>
      <c r="I264" t="s">
        <v>47</v>
      </c>
      <c r="J264" s="11">
        <v>0</v>
      </c>
      <c r="K264" s="11">
        <v>0</v>
      </c>
      <c r="L264" s="11">
        <v>655606585.65999997</v>
      </c>
      <c r="M264" s="11">
        <v>0</v>
      </c>
      <c r="N264" s="11">
        <v>655606585.65999997</v>
      </c>
      <c r="O264" s="11">
        <v>655606585.65999997</v>
      </c>
      <c r="P264" s="11">
        <v>0</v>
      </c>
      <c r="Q264" s="11">
        <v>655606585.65999997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655606585.65999997</v>
      </c>
      <c r="Y264" s="11">
        <v>0</v>
      </c>
      <c r="Z264" s="17">
        <v>655606585.65999997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655606585.65999997</v>
      </c>
      <c r="AH264" s="11">
        <v>0</v>
      </c>
      <c r="AI264" s="12">
        <v>655606585.65999997</v>
      </c>
      <c r="AJ264" s="11">
        <v>655606585.65999997</v>
      </c>
      <c r="AK264" s="11">
        <v>655606585.65999997</v>
      </c>
      <c r="AL264" s="11">
        <v>655606585.65999997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t="s">
        <v>500</v>
      </c>
      <c r="AT264" s="4" t="str">
        <f t="shared" si="39"/>
        <v>Superávit Reintegro Recursos del Credito</v>
      </c>
      <c r="AU264" s="7" t="str">
        <f t="shared" si="40"/>
        <v>195Superávit Reintegro Recursos del Credito655606585,66</v>
      </c>
      <c r="AV264" t="str">
        <f>+_xlfn.XLOOKUP(AU264,CRUCE!I:I,CRUCE!M:M)</f>
        <v>READY</v>
      </c>
      <c r="AW264" t="s">
        <v>1907</v>
      </c>
      <c r="AX264">
        <f>+SUMIFS(CRUCE!C:C,CRUCE!A:A,D264,CRUCE!B:B,'2021'!H264)</f>
        <v>655606585.65999997</v>
      </c>
    </row>
    <row r="265" spans="1:50" x14ac:dyDescent="0.3">
      <c r="A265">
        <v>2021</v>
      </c>
      <c r="B265">
        <v>307</v>
      </c>
      <c r="C265">
        <v>12100200219</v>
      </c>
      <c r="D265" s="5">
        <v>90</v>
      </c>
      <c r="E265" s="8" t="s">
        <v>501</v>
      </c>
      <c r="F265">
        <v>12100200219</v>
      </c>
      <c r="G265" t="s">
        <v>1910</v>
      </c>
      <c r="H265" s="8" t="s">
        <v>502</v>
      </c>
      <c r="I265" t="s">
        <v>47</v>
      </c>
      <c r="J265" s="11">
        <v>0</v>
      </c>
      <c r="K265" s="11">
        <v>0</v>
      </c>
      <c r="L265" s="11">
        <v>18429555.68</v>
      </c>
      <c r="M265" s="11">
        <v>0</v>
      </c>
      <c r="N265" s="11">
        <v>18429555.68</v>
      </c>
      <c r="O265" s="11">
        <v>18429555.68</v>
      </c>
      <c r="P265" s="11">
        <v>0</v>
      </c>
      <c r="Q265" s="11">
        <v>18429555.68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18429555.68</v>
      </c>
      <c r="Y265" s="11">
        <v>0</v>
      </c>
      <c r="Z265" s="17">
        <v>18429555.68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18429555.68</v>
      </c>
      <c r="AH265" s="11">
        <v>0</v>
      </c>
      <c r="AI265" s="12">
        <v>18429555.68</v>
      </c>
      <c r="AJ265" s="11">
        <v>18429555.68</v>
      </c>
      <c r="AK265" s="11">
        <v>18429555.68</v>
      </c>
      <c r="AL265" s="11">
        <v>18429555.68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s="11">
        <v>0</v>
      </c>
      <c r="AS265" t="s">
        <v>503</v>
      </c>
      <c r="AT265" s="4" t="str">
        <f t="shared" si="39"/>
        <v>Superavít SGP Agua Potable</v>
      </c>
      <c r="AU265" s="7" t="str">
        <f t="shared" si="40"/>
        <v>90Superavít SGP Agua Potable18429555,68</v>
      </c>
      <c r="AV265" t="str">
        <f>+_xlfn.XLOOKUP(AU265,CRUCE!I:I,CRUCE!M:M)</f>
        <v>READY</v>
      </c>
      <c r="AW265" t="s">
        <v>1907</v>
      </c>
      <c r="AX265">
        <f>+SUMIFS(CRUCE!C:C,CRUCE!A:A,D265,CRUCE!B:B,'2021'!H265)</f>
        <v>18429555.68</v>
      </c>
    </row>
    <row r="266" spans="1:50" x14ac:dyDescent="0.3">
      <c r="A266">
        <v>2021</v>
      </c>
      <c r="B266">
        <v>307</v>
      </c>
      <c r="C266">
        <v>12100200220</v>
      </c>
      <c r="D266" s="5">
        <v>84</v>
      </c>
      <c r="E266" s="8" t="s">
        <v>504</v>
      </c>
      <c r="F266">
        <v>12100200220</v>
      </c>
      <c r="G266" t="s">
        <v>1910</v>
      </c>
      <c r="H266" s="8" t="s">
        <v>505</v>
      </c>
      <c r="I266" t="s">
        <v>47</v>
      </c>
      <c r="J266" s="11">
        <v>0</v>
      </c>
      <c r="K266" s="11">
        <v>0</v>
      </c>
      <c r="L266" s="11">
        <v>557479178.99000001</v>
      </c>
      <c r="M266" s="11">
        <v>0</v>
      </c>
      <c r="N266" s="11">
        <v>557479178.99000001</v>
      </c>
      <c r="O266" s="11">
        <v>557479178.99000001</v>
      </c>
      <c r="P266" s="11">
        <v>0</v>
      </c>
      <c r="Q266" s="11">
        <v>557479178.99000001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557479178.99000001</v>
      </c>
      <c r="Y266" s="11">
        <v>0</v>
      </c>
      <c r="Z266" s="17">
        <v>557479178.99000001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557479178.99000001</v>
      </c>
      <c r="AH266" s="11">
        <v>0</v>
      </c>
      <c r="AI266" s="12">
        <v>557479178.99000001</v>
      </c>
      <c r="AJ266" s="11">
        <v>557479178.99000001</v>
      </c>
      <c r="AK266" s="11">
        <v>557479178.99000001</v>
      </c>
      <c r="AL266" s="11">
        <v>557479178.99000001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0</v>
      </c>
      <c r="AS266" t="s">
        <v>506</v>
      </c>
      <c r="AT266" s="4" t="str">
        <f t="shared" si="39"/>
        <v>Superavít Estampilla Pro Adulto Mayor</v>
      </c>
      <c r="AU266" s="7" t="str">
        <f t="shared" si="40"/>
        <v>84Superavít Estampilla Pro Adulto Mayor557479178,99</v>
      </c>
      <c r="AV266" t="str">
        <f>+_xlfn.XLOOKUP(AU266,CRUCE!I:I,CRUCE!M:M)</f>
        <v>READY</v>
      </c>
      <c r="AW266" t="s">
        <v>1907</v>
      </c>
      <c r="AX266">
        <f>+SUMIFS(CRUCE!C:C,CRUCE!A:A,D266,CRUCE!B:B,'2021'!H266)</f>
        <v>557479178.99000001</v>
      </c>
    </row>
    <row r="267" spans="1:50" x14ac:dyDescent="0.3">
      <c r="A267">
        <v>2021</v>
      </c>
      <c r="B267">
        <v>307</v>
      </c>
      <c r="C267">
        <v>12100200221</v>
      </c>
      <c r="D267" s="5">
        <v>95</v>
      </c>
      <c r="E267" s="8" t="s">
        <v>507</v>
      </c>
      <c r="F267">
        <v>12100200221</v>
      </c>
      <c r="G267" t="s">
        <v>1910</v>
      </c>
      <c r="H267" s="8" t="s">
        <v>508</v>
      </c>
      <c r="I267" t="s">
        <v>47</v>
      </c>
      <c r="J267" s="11">
        <v>0</v>
      </c>
      <c r="K267" s="11">
        <v>0</v>
      </c>
      <c r="L267" s="11">
        <v>74789276</v>
      </c>
      <c r="M267" s="11">
        <v>0</v>
      </c>
      <c r="N267" s="11">
        <v>74789276</v>
      </c>
      <c r="O267" s="11">
        <v>74789276</v>
      </c>
      <c r="P267" s="11">
        <v>0</v>
      </c>
      <c r="Q267" s="11">
        <v>74789276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74789276</v>
      </c>
      <c r="Y267" s="11">
        <v>0</v>
      </c>
      <c r="Z267" s="17">
        <v>74789276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74789276</v>
      </c>
      <c r="AH267" s="11">
        <v>0</v>
      </c>
      <c r="AI267" s="12">
        <v>74789276</v>
      </c>
      <c r="AJ267" s="11">
        <v>74789276</v>
      </c>
      <c r="AK267" s="11">
        <v>74789276</v>
      </c>
      <c r="AL267" s="11">
        <v>74789276</v>
      </c>
      <c r="AM267" s="11">
        <v>0</v>
      </c>
      <c r="AN267" s="11">
        <v>0</v>
      </c>
      <c r="AO267" s="11">
        <v>0</v>
      </c>
      <c r="AP267" s="11">
        <v>0</v>
      </c>
      <c r="AQ267" s="11">
        <v>0</v>
      </c>
      <c r="AR267" s="11">
        <v>0</v>
      </c>
      <c r="AS267" t="s">
        <v>509</v>
      </c>
      <c r="AT267" s="4" t="s">
        <v>1166</v>
      </c>
      <c r="AU267" s="7" t="str">
        <f t="shared" si="40"/>
        <v>95Superavít Convenios Interadministrativos 74789276</v>
      </c>
      <c r="AV267" t="str">
        <f>+_xlfn.XLOOKUP(AU267,CRUCE!I:I,CRUCE!M:M)</f>
        <v>READY</v>
      </c>
      <c r="AW267" t="s">
        <v>1907</v>
      </c>
      <c r="AX267">
        <f>+SUMIFS(CRUCE!C:C,CRUCE!A:A,D267,CRUCE!B:B,'2021'!H267)</f>
        <v>0</v>
      </c>
    </row>
    <row r="268" spans="1:50" x14ac:dyDescent="0.3">
      <c r="A268">
        <v>2021</v>
      </c>
      <c r="B268">
        <v>307</v>
      </c>
      <c r="C268">
        <v>12100200222</v>
      </c>
      <c r="D268" s="5">
        <v>92</v>
      </c>
      <c r="E268" s="8" t="s">
        <v>510</v>
      </c>
      <c r="F268">
        <v>12100200222</v>
      </c>
      <c r="G268" t="s">
        <v>1910</v>
      </c>
      <c r="H268" s="8" t="s">
        <v>511</v>
      </c>
      <c r="I268" t="s">
        <v>47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7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2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0</v>
      </c>
      <c r="AR268" s="11">
        <v>0</v>
      </c>
      <c r="AS268" t="s">
        <v>494</v>
      </c>
      <c r="AT268" s="4" t="s">
        <v>493</v>
      </c>
      <c r="AU268" s="7" t="str">
        <f t="shared" si="40"/>
        <v>92Superávit Fondo de Seguridad Ciudadana 0</v>
      </c>
      <c r="AV268" t="e">
        <f>+_xlfn.XLOOKUP(AU268,CRUCE!I:I,CRUCE!M:M)</f>
        <v>#N/A</v>
      </c>
      <c r="AW268" t="s">
        <v>1907</v>
      </c>
      <c r="AX268">
        <f>+SUMIFS(CRUCE!C:C,CRUCE!A:A,D268,CRUCE!B:B,'2021'!AT268)</f>
        <v>2663696802.3299999</v>
      </c>
    </row>
    <row r="269" spans="1:50" x14ac:dyDescent="0.3">
      <c r="A269">
        <v>2021</v>
      </c>
      <c r="B269">
        <v>307</v>
      </c>
      <c r="C269">
        <v>12100200223</v>
      </c>
      <c r="D269" s="5">
        <v>122</v>
      </c>
      <c r="E269" s="8" t="s">
        <v>512</v>
      </c>
      <c r="F269">
        <v>12100200223</v>
      </c>
      <c r="G269" t="s">
        <v>1910</v>
      </c>
      <c r="H269" s="8" t="s">
        <v>513</v>
      </c>
      <c r="I269" t="s">
        <v>47</v>
      </c>
      <c r="J269" s="11">
        <v>0</v>
      </c>
      <c r="K269" s="11">
        <v>0</v>
      </c>
      <c r="L269" s="11">
        <v>8660202457.2199993</v>
      </c>
      <c r="M269" s="11">
        <v>0</v>
      </c>
      <c r="N269" s="11">
        <v>8660202457.2199993</v>
      </c>
      <c r="O269" s="11">
        <v>8660202457.2199993</v>
      </c>
      <c r="P269" s="11">
        <v>0</v>
      </c>
      <c r="Q269" s="11">
        <v>8660202457.2199993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8660202457.2199993</v>
      </c>
      <c r="Y269" s="11">
        <v>0</v>
      </c>
      <c r="Z269" s="17">
        <v>8660202457.2199993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8660202457.2199993</v>
      </c>
      <c r="AH269" s="11">
        <v>0</v>
      </c>
      <c r="AI269" s="12">
        <v>8660202457.2199993</v>
      </c>
      <c r="AJ269" s="11">
        <v>8660202457.2199993</v>
      </c>
      <c r="AK269" s="11">
        <v>8660202457.2199993</v>
      </c>
      <c r="AL269" s="11">
        <v>8660202457.2199993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t="s">
        <v>514</v>
      </c>
      <c r="AT269" s="4" t="s">
        <v>1188</v>
      </c>
      <c r="AU269" s="7" t="str">
        <f t="shared" si="40"/>
        <v>122Superávit Desahorro FONPET8660202457,22</v>
      </c>
      <c r="AV269" t="str">
        <f>+_xlfn.XLOOKUP(AU269,CRUCE!I:I,CRUCE!M:M)</f>
        <v>READY</v>
      </c>
      <c r="AW269" t="s">
        <v>1907</v>
      </c>
      <c r="AX269">
        <f>+SUMIFS(CRUCE!C:C,CRUCE!A:A,D269,CRUCE!B:B,'2021'!H269)</f>
        <v>0</v>
      </c>
    </row>
    <row r="270" spans="1:50" x14ac:dyDescent="0.3">
      <c r="A270">
        <v>2021</v>
      </c>
      <c r="B270">
        <v>307</v>
      </c>
      <c r="C270">
        <v>12100200234</v>
      </c>
      <c r="D270" s="5">
        <v>158</v>
      </c>
      <c r="E270" s="8" t="s">
        <v>515</v>
      </c>
      <c r="F270">
        <v>12100200234</v>
      </c>
      <c r="G270" t="s">
        <v>1910</v>
      </c>
      <c r="H270" s="8" t="s">
        <v>516</v>
      </c>
      <c r="I270" t="s">
        <v>47</v>
      </c>
      <c r="J270" s="11">
        <v>0</v>
      </c>
      <c r="K270" s="11">
        <v>0</v>
      </c>
      <c r="L270" s="11">
        <v>68338279.909999996</v>
      </c>
      <c r="M270" s="11">
        <v>0</v>
      </c>
      <c r="N270" s="11">
        <v>68338279.909999996</v>
      </c>
      <c r="O270" s="11">
        <v>68338279.909999996</v>
      </c>
      <c r="P270" s="11">
        <v>0</v>
      </c>
      <c r="Q270" s="11">
        <v>68338279.909999996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68338279.909999996</v>
      </c>
      <c r="Y270" s="11">
        <v>0</v>
      </c>
      <c r="Z270" s="17">
        <v>68338279.909999996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68338279.909999996</v>
      </c>
      <c r="AH270" s="11">
        <v>0</v>
      </c>
      <c r="AI270" s="12">
        <v>68338279.909999996</v>
      </c>
      <c r="AJ270" s="11">
        <v>68338279.909999996</v>
      </c>
      <c r="AK270" s="11">
        <v>68338279.909999996</v>
      </c>
      <c r="AL270" s="11">
        <v>68338279.909999996</v>
      </c>
      <c r="AM270" s="11">
        <v>0</v>
      </c>
      <c r="AN270" s="11">
        <v>0</v>
      </c>
      <c r="AO270" s="11">
        <v>0</v>
      </c>
      <c r="AP270" s="11">
        <v>0</v>
      </c>
      <c r="AQ270" s="11">
        <v>0</v>
      </c>
      <c r="AR270" s="11">
        <v>0</v>
      </c>
      <c r="AS270" t="s">
        <v>517</v>
      </c>
      <c r="AT270" s="4" t="str">
        <f t="shared" si="39"/>
        <v>Superávit Impuesto al Consumo 3% Monopolio Indeportes</v>
      </c>
      <c r="AU270" s="7" t="str">
        <f t="shared" si="40"/>
        <v>158Superávit Impuesto al Consumo 3% Monopolio Indeportes68338279,91</v>
      </c>
      <c r="AV270" t="str">
        <f>+_xlfn.XLOOKUP(AU270,CRUCE!I:I,CRUCE!M:M)</f>
        <v>READY</v>
      </c>
      <c r="AX270">
        <f>+SUMIFS(CRUCE!C:C,CRUCE!A:A,D270,CRUCE!B:B,'2021'!H270)</f>
        <v>68338279.909999996</v>
      </c>
    </row>
    <row r="271" spans="1:50" x14ac:dyDescent="0.3">
      <c r="A271">
        <v>2021</v>
      </c>
      <c r="B271">
        <v>307</v>
      </c>
      <c r="C271">
        <v>12100200234</v>
      </c>
      <c r="D271" s="5">
        <v>18</v>
      </c>
      <c r="E271" s="8" t="s">
        <v>518</v>
      </c>
      <c r="F271">
        <v>12100200234</v>
      </c>
      <c r="G271" t="s">
        <v>1910</v>
      </c>
      <c r="H271" s="8" t="s">
        <v>516</v>
      </c>
      <c r="I271" t="s">
        <v>47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7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2">
        <v>0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t="s">
        <v>158</v>
      </c>
      <c r="AT271" s="4" t="str">
        <f>+H271</f>
        <v>Superávit Impuesto al Consumo 3% Monopolio Indeportes</v>
      </c>
      <c r="AU271" s="7" t="str">
        <f t="shared" si="40"/>
        <v>18Superávit Impuesto al Consumo 3% Monopolio Indeportes0</v>
      </c>
      <c r="AV271" t="str">
        <f>+_xlfn.XLOOKUP(AU271,CRUCE!I:I,CRUCE!M:M)</f>
        <v>READY</v>
      </c>
      <c r="AW271" t="s">
        <v>1907</v>
      </c>
      <c r="AX271">
        <f>+SUMIFS(CRUCE!C:C,CRUCE!A:A,D271,CRUCE!B:B,'2021'!H271)</f>
        <v>0</v>
      </c>
    </row>
    <row r="272" spans="1:50" x14ac:dyDescent="0.3">
      <c r="A272">
        <v>2021</v>
      </c>
      <c r="B272">
        <v>307</v>
      </c>
      <c r="C272">
        <v>12100200235</v>
      </c>
      <c r="D272" s="5">
        <v>123</v>
      </c>
      <c r="E272" s="8" t="s">
        <v>519</v>
      </c>
      <c r="F272">
        <v>12100200235</v>
      </c>
      <c r="G272" t="s">
        <v>1910</v>
      </c>
      <c r="H272" s="8" t="s">
        <v>520</v>
      </c>
      <c r="I272" t="s">
        <v>47</v>
      </c>
      <c r="J272" s="11">
        <v>0</v>
      </c>
      <c r="K272" s="11">
        <v>0</v>
      </c>
      <c r="L272" s="11">
        <v>86524214.989999995</v>
      </c>
      <c r="M272" s="11">
        <v>0</v>
      </c>
      <c r="N272" s="11">
        <v>86524214.989999995</v>
      </c>
      <c r="O272" s="11">
        <v>86524214.989999995</v>
      </c>
      <c r="P272" s="11">
        <v>0</v>
      </c>
      <c r="Q272" s="11">
        <v>86524214.989999995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86524214.989999995</v>
      </c>
      <c r="Y272" s="11">
        <v>0</v>
      </c>
      <c r="Z272" s="17">
        <v>86524214.989999995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86524214.989999995</v>
      </c>
      <c r="AH272" s="11">
        <v>0</v>
      </c>
      <c r="AI272" s="12">
        <v>86524214.989999995</v>
      </c>
      <c r="AJ272" s="11">
        <v>86524214.989999995</v>
      </c>
      <c r="AK272" s="11">
        <v>86524214.989999995</v>
      </c>
      <c r="AL272" s="11">
        <v>86524214.989999995</v>
      </c>
      <c r="AM272" s="11">
        <v>0</v>
      </c>
      <c r="AN272" s="11">
        <v>0</v>
      </c>
      <c r="AO272" s="11">
        <v>0</v>
      </c>
      <c r="AP272" s="11">
        <v>0</v>
      </c>
      <c r="AQ272" s="11">
        <v>0</v>
      </c>
      <c r="AR272" s="11">
        <v>0</v>
      </c>
      <c r="AS272" t="s">
        <v>521</v>
      </c>
      <c r="AT272" s="4" t="str">
        <f t="shared" ref="AT272:AT277" si="41">+H272</f>
        <v>Superávit Estampilla Pro Hospital</v>
      </c>
      <c r="AU272" s="7" t="str">
        <f t="shared" si="40"/>
        <v>123Superávit Estampilla Pro Hospital86524214,99</v>
      </c>
      <c r="AV272" t="str">
        <f>+_xlfn.XLOOKUP(AU272,CRUCE!I:I,CRUCE!M:M)</f>
        <v>READY</v>
      </c>
      <c r="AW272" t="s">
        <v>1907</v>
      </c>
      <c r="AX272">
        <f>+SUMIFS(CRUCE!C:C,CRUCE!A:A,D272,CRUCE!B:B,'2021'!H272)</f>
        <v>86524214.989999995</v>
      </c>
    </row>
    <row r="273" spans="1:50" x14ac:dyDescent="0.3">
      <c r="A273">
        <v>2021</v>
      </c>
      <c r="B273">
        <v>307</v>
      </c>
      <c r="C273">
        <v>12100200236</v>
      </c>
      <c r="D273" s="5">
        <v>130</v>
      </c>
      <c r="E273" s="8" t="s">
        <v>522</v>
      </c>
      <c r="F273">
        <v>12100200236</v>
      </c>
      <c r="G273" t="s">
        <v>1910</v>
      </c>
      <c r="H273" s="8" t="s">
        <v>523</v>
      </c>
      <c r="I273" t="s">
        <v>47</v>
      </c>
      <c r="J273" s="11">
        <v>0</v>
      </c>
      <c r="K273" s="11">
        <v>0</v>
      </c>
      <c r="L273" s="11">
        <v>590362245.54999995</v>
      </c>
      <c r="M273" s="11">
        <v>0</v>
      </c>
      <c r="N273" s="11">
        <v>590362245.54999995</v>
      </c>
      <c r="O273" s="11">
        <v>590362245.54999995</v>
      </c>
      <c r="P273" s="11">
        <v>0</v>
      </c>
      <c r="Q273" s="11">
        <v>590362245.54999995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590362245.54999995</v>
      </c>
      <c r="Y273" s="11">
        <v>0</v>
      </c>
      <c r="Z273" s="17">
        <v>590362245.54999995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590362245.54999995</v>
      </c>
      <c r="AH273" s="11">
        <v>0</v>
      </c>
      <c r="AI273" s="12">
        <v>590362245.54999995</v>
      </c>
      <c r="AJ273" s="11">
        <v>590362245.54999995</v>
      </c>
      <c r="AK273" s="11">
        <v>590362245.54999995</v>
      </c>
      <c r="AL273" s="11">
        <v>590362245.54999995</v>
      </c>
      <c r="AM273" s="11">
        <v>0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t="s">
        <v>524</v>
      </c>
      <c r="AT273" s="4" t="str">
        <f t="shared" si="41"/>
        <v>Superávit Impuesto al Registro FONPET</v>
      </c>
      <c r="AU273" s="7" t="str">
        <f t="shared" si="40"/>
        <v>130Superávit Impuesto al Registro FONPET590362245,55</v>
      </c>
      <c r="AV273" t="str">
        <f>+_xlfn.XLOOKUP(AU273,CRUCE!I:I,CRUCE!M:M)</f>
        <v>READY</v>
      </c>
      <c r="AW273" t="s">
        <v>1907</v>
      </c>
      <c r="AX273">
        <f>+SUMIFS(CRUCE!C:C,CRUCE!A:A,D273,CRUCE!B:B,'2021'!H273)</f>
        <v>590362245.54999995</v>
      </c>
    </row>
    <row r="274" spans="1:50" x14ac:dyDescent="0.3">
      <c r="A274">
        <v>2021</v>
      </c>
      <c r="B274">
        <v>307</v>
      </c>
      <c r="C274">
        <v>12100200237</v>
      </c>
      <c r="D274" s="5">
        <v>129</v>
      </c>
      <c r="E274" s="8" t="s">
        <v>525</v>
      </c>
      <c r="F274">
        <v>12100200237</v>
      </c>
      <c r="G274" t="s">
        <v>1910</v>
      </c>
      <c r="H274" s="8" t="s">
        <v>526</v>
      </c>
      <c r="I274" t="s">
        <v>47</v>
      </c>
      <c r="J274" s="11">
        <v>0</v>
      </c>
      <c r="K274" s="11">
        <v>0</v>
      </c>
      <c r="L274" s="11">
        <v>160704125</v>
      </c>
      <c r="M274" s="11">
        <v>0</v>
      </c>
      <c r="N274" s="11">
        <v>160704125</v>
      </c>
      <c r="O274" s="11">
        <v>160704125</v>
      </c>
      <c r="P274" s="11">
        <v>0</v>
      </c>
      <c r="Q274" s="11">
        <v>160704125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160704125</v>
      </c>
      <c r="Y274" s="11">
        <v>0</v>
      </c>
      <c r="Z274" s="17">
        <v>160704125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160704125</v>
      </c>
      <c r="AH274" s="11">
        <v>0</v>
      </c>
      <c r="AI274" s="12">
        <v>160704125</v>
      </c>
      <c r="AJ274" s="11">
        <v>160704125</v>
      </c>
      <c r="AK274" s="11">
        <v>160704125</v>
      </c>
      <c r="AL274" s="11">
        <v>160704125</v>
      </c>
      <c r="AM274" s="11">
        <v>0</v>
      </c>
      <c r="AN274" s="11">
        <v>0</v>
      </c>
      <c r="AO274" s="11">
        <v>0</v>
      </c>
      <c r="AP274" s="11">
        <v>0</v>
      </c>
      <c r="AQ274" s="11">
        <v>0</v>
      </c>
      <c r="AR274" s="11">
        <v>0</v>
      </c>
      <c r="AS274" t="s">
        <v>527</v>
      </c>
      <c r="AT274" s="4" t="s">
        <v>1190</v>
      </c>
      <c r="AU274" s="7" t="str">
        <f t="shared" si="40"/>
        <v>129Superávit Impuesto al Registro Proyecta160704125</v>
      </c>
      <c r="AV274" t="str">
        <f>+_xlfn.XLOOKUP(AU274,CRUCE!I:I,CRUCE!M:M)</f>
        <v>READY</v>
      </c>
      <c r="AW274" t="s">
        <v>1907</v>
      </c>
      <c r="AX274">
        <f>+SUMIFS(CRUCE!C:C,CRUCE!A:A,D274,CRUCE!B:B,'2021'!H274)</f>
        <v>0</v>
      </c>
    </row>
    <row r="275" spans="1:50" x14ac:dyDescent="0.3">
      <c r="A275">
        <v>2021</v>
      </c>
      <c r="B275">
        <v>307</v>
      </c>
      <c r="C275">
        <v>12100200237</v>
      </c>
      <c r="D275" s="5">
        <v>94</v>
      </c>
      <c r="E275" s="8" t="s">
        <v>528</v>
      </c>
      <c r="F275">
        <v>12100200237</v>
      </c>
      <c r="G275" t="s">
        <v>1910</v>
      </c>
      <c r="H275" s="8" t="s">
        <v>526</v>
      </c>
      <c r="I275" t="s">
        <v>47</v>
      </c>
      <c r="J275" s="11">
        <v>0</v>
      </c>
      <c r="K275" s="11">
        <v>0</v>
      </c>
      <c r="L275" s="11">
        <v>340359369.85000002</v>
      </c>
      <c r="M275" s="11">
        <v>0</v>
      </c>
      <c r="N275" s="11">
        <v>340359369.85000002</v>
      </c>
      <c r="O275" s="11">
        <v>340359369.85000002</v>
      </c>
      <c r="P275" s="11">
        <v>0</v>
      </c>
      <c r="Q275" s="11">
        <v>340359369.85000002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340359369.85000002</v>
      </c>
      <c r="Y275" s="11">
        <v>0</v>
      </c>
      <c r="Z275" s="17">
        <v>340359369.85000002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340359369.85000002</v>
      </c>
      <c r="AH275" s="11">
        <v>0</v>
      </c>
      <c r="AI275" s="12">
        <v>340359369.85000002</v>
      </c>
      <c r="AJ275" s="11">
        <v>340359369.85000002</v>
      </c>
      <c r="AK275" s="11">
        <v>340359369.85000002</v>
      </c>
      <c r="AL275" s="11">
        <v>340359369.85000002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t="s">
        <v>529</v>
      </c>
      <c r="AT275" s="4" t="str">
        <f>+H275</f>
        <v>Superávit Impuesto al Registro Promotora de Vivienda</v>
      </c>
      <c r="AU275" s="7" t="str">
        <f t="shared" si="40"/>
        <v>94Superávit Impuesto al Registro Promotora de Vivienda340359369,85</v>
      </c>
      <c r="AV275" t="str">
        <f>+_xlfn.XLOOKUP(AU275,CRUCE!I:I,CRUCE!M:M)</f>
        <v>READY</v>
      </c>
      <c r="AW275" t="s">
        <v>1907</v>
      </c>
      <c r="AX275">
        <f>+SUMIFS(CRUCE!C:C,CRUCE!A:A,D275,CRUCE!B:B,'2021'!H275)</f>
        <v>340359369.85000002</v>
      </c>
    </row>
    <row r="276" spans="1:50" x14ac:dyDescent="0.3">
      <c r="A276">
        <v>2021</v>
      </c>
      <c r="B276">
        <v>307</v>
      </c>
      <c r="C276">
        <v>12100200238</v>
      </c>
      <c r="D276" s="5">
        <v>86</v>
      </c>
      <c r="E276" s="8" t="s">
        <v>530</v>
      </c>
      <c r="F276">
        <v>12100200238</v>
      </c>
      <c r="G276" t="s">
        <v>1910</v>
      </c>
      <c r="H276" s="8" t="s">
        <v>531</v>
      </c>
      <c r="I276" t="s">
        <v>47</v>
      </c>
      <c r="J276" s="11">
        <v>0</v>
      </c>
      <c r="K276" s="11">
        <v>0</v>
      </c>
      <c r="L276" s="11">
        <v>470006152</v>
      </c>
      <c r="M276" s="11">
        <v>0</v>
      </c>
      <c r="N276" s="11">
        <v>470006152</v>
      </c>
      <c r="O276" s="11">
        <v>470006152</v>
      </c>
      <c r="P276" s="11">
        <v>0</v>
      </c>
      <c r="Q276" s="11">
        <v>470006152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470006152</v>
      </c>
      <c r="Y276" s="11">
        <v>0</v>
      </c>
      <c r="Z276" s="17">
        <v>470006152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470006152</v>
      </c>
      <c r="AH276" s="11">
        <v>0</v>
      </c>
      <c r="AI276" s="12">
        <v>470006152</v>
      </c>
      <c r="AJ276" s="11">
        <v>470006152</v>
      </c>
      <c r="AK276" s="11">
        <v>470006152</v>
      </c>
      <c r="AL276" s="11">
        <v>470006152</v>
      </c>
      <c r="AM276" s="11">
        <v>0</v>
      </c>
      <c r="AN276" s="11">
        <v>0</v>
      </c>
      <c r="AO276" s="11">
        <v>0</v>
      </c>
      <c r="AP276" s="11">
        <v>0</v>
      </c>
      <c r="AQ276" s="11">
        <v>0</v>
      </c>
      <c r="AR276" s="11">
        <v>0</v>
      </c>
      <c r="AS276" t="s">
        <v>532</v>
      </c>
      <c r="AT276" s="4" t="str">
        <f t="shared" si="41"/>
        <v>Suparávit Registro Pago Cuotas Partes Pensionales</v>
      </c>
      <c r="AU276" s="7" t="str">
        <f t="shared" si="40"/>
        <v>86Suparávit Registro Pago Cuotas Partes Pensionales470006152</v>
      </c>
      <c r="AV276" t="str">
        <f>+_xlfn.XLOOKUP(AU276,CRUCE!I:I,CRUCE!M:M)</f>
        <v>READY</v>
      </c>
      <c r="AW276" t="s">
        <v>1907</v>
      </c>
      <c r="AX276">
        <f>+SUMIFS(CRUCE!C:C,CRUCE!A:A,D276,CRUCE!B:B,'2021'!H276)</f>
        <v>470006152</v>
      </c>
    </row>
    <row r="277" spans="1:50" x14ac:dyDescent="0.3">
      <c r="A277">
        <v>2021</v>
      </c>
      <c r="B277">
        <v>307</v>
      </c>
      <c r="C277">
        <v>12100200239</v>
      </c>
      <c r="D277" s="5">
        <v>93</v>
      </c>
      <c r="E277" s="8" t="s">
        <v>533</v>
      </c>
      <c r="F277">
        <v>12100200239</v>
      </c>
      <c r="G277" t="s">
        <v>1910</v>
      </c>
      <c r="H277" s="8" t="s">
        <v>534</v>
      </c>
      <c r="I277" t="s">
        <v>47</v>
      </c>
      <c r="J277" s="11">
        <v>0</v>
      </c>
      <c r="K277" s="11">
        <v>0</v>
      </c>
      <c r="L277" s="11">
        <v>34433.300000000003</v>
      </c>
      <c r="M277" s="11">
        <v>0</v>
      </c>
      <c r="N277" s="11">
        <v>34433.300000000003</v>
      </c>
      <c r="O277" s="11">
        <v>34433.300000000003</v>
      </c>
      <c r="P277" s="11">
        <v>0</v>
      </c>
      <c r="Q277" s="11">
        <v>34433.300000000003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34433.300000000003</v>
      </c>
      <c r="Y277" s="11">
        <v>0</v>
      </c>
      <c r="Z277" s="17">
        <v>34433.300000000003</v>
      </c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11">
        <v>0</v>
      </c>
      <c r="AG277" s="11">
        <v>34433.300000000003</v>
      </c>
      <c r="AH277" s="11">
        <v>0</v>
      </c>
      <c r="AI277" s="12">
        <v>34433.300000000003</v>
      </c>
      <c r="AJ277" s="11">
        <v>34433.300000000003</v>
      </c>
      <c r="AK277" s="11">
        <v>34433.300000000003</v>
      </c>
      <c r="AL277" s="11">
        <v>34433.300000000003</v>
      </c>
      <c r="AM277" s="11">
        <v>0</v>
      </c>
      <c r="AN277" s="11">
        <v>0</v>
      </c>
      <c r="AO277" s="11">
        <v>0</v>
      </c>
      <c r="AP277" s="11">
        <v>0</v>
      </c>
      <c r="AQ277" s="11">
        <v>0</v>
      </c>
      <c r="AR277" s="11">
        <v>0</v>
      </c>
      <c r="AS277" t="s">
        <v>535</v>
      </c>
      <c r="AT277" s="4" t="str">
        <f t="shared" si="41"/>
        <v xml:space="preserve">Superávit IVA Telefonia Movil </v>
      </c>
      <c r="AU277" s="7" t="str">
        <f t="shared" si="40"/>
        <v>93Superávit IVA Telefonia Movil 34433,3</v>
      </c>
      <c r="AV277" t="str">
        <f>+_xlfn.XLOOKUP(AU277,CRUCE!I:I,CRUCE!M:M)</f>
        <v>READY</v>
      </c>
      <c r="AW277" t="s">
        <v>1907</v>
      </c>
      <c r="AX277">
        <f>+SUMIFS(CRUCE!C:C,CRUCE!A:A,D277,CRUCE!B:B,'2021'!H277)</f>
        <v>34433.300000000003</v>
      </c>
    </row>
    <row r="278" spans="1:50" x14ac:dyDescent="0.3">
      <c r="A278">
        <v>2021</v>
      </c>
      <c r="B278">
        <v>307</v>
      </c>
      <c r="C278">
        <v>12100200240</v>
      </c>
      <c r="D278" s="5">
        <v>186</v>
      </c>
      <c r="E278" s="8" t="s">
        <v>536</v>
      </c>
      <c r="F278">
        <v>12100200240</v>
      </c>
      <c r="G278" t="s">
        <v>1910</v>
      </c>
      <c r="H278" s="8" t="s">
        <v>537</v>
      </c>
      <c r="I278" t="s">
        <v>47</v>
      </c>
      <c r="J278" s="11">
        <v>0</v>
      </c>
      <c r="K278" s="11">
        <v>0</v>
      </c>
      <c r="L278" s="11">
        <v>62.1</v>
      </c>
      <c r="M278" s="11">
        <v>0</v>
      </c>
      <c r="N278" s="11">
        <v>62.1</v>
      </c>
      <c r="O278" s="11">
        <v>62.1</v>
      </c>
      <c r="P278" s="11">
        <v>0</v>
      </c>
      <c r="Q278" s="11">
        <v>62.1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62.1</v>
      </c>
      <c r="Y278" s="11">
        <v>0</v>
      </c>
      <c r="Z278" s="17">
        <v>62.1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62.1</v>
      </c>
      <c r="AH278" s="11">
        <v>0</v>
      </c>
      <c r="AI278" s="12">
        <v>62.1</v>
      </c>
      <c r="AJ278" s="11">
        <v>62.1</v>
      </c>
      <c r="AK278" s="11">
        <v>62.1</v>
      </c>
      <c r="AL278" s="11">
        <v>62.1</v>
      </c>
      <c r="AM278" s="11">
        <v>0</v>
      </c>
      <c r="AN278" s="11">
        <v>0</v>
      </c>
      <c r="AO278" s="11">
        <v>0</v>
      </c>
      <c r="AP278" s="11">
        <v>0</v>
      </c>
      <c r="AQ278" s="11">
        <v>0</v>
      </c>
      <c r="AR278" s="11">
        <v>0</v>
      </c>
      <c r="AS278" t="s">
        <v>538</v>
      </c>
      <c r="AT278" s="4" t="s">
        <v>1023</v>
      </c>
      <c r="AU278" s="7" t="str">
        <f t="shared" si="40"/>
        <v>186Superávit Extracción Material De Rio Minas Y Otros62,1</v>
      </c>
      <c r="AV278" t="e">
        <f>+_xlfn.XLOOKUP(AU278,CRUCE!I:I,CRUCE!M:M)</f>
        <v>#N/A</v>
      </c>
      <c r="AW278" t="s">
        <v>1907</v>
      </c>
      <c r="AX278">
        <f>+SUMIFS(CRUCE!C:C,CRUCE!A:A,D278,CRUCE!B:B,'2021'!AT278)</f>
        <v>83212.060000000012</v>
      </c>
    </row>
    <row r="279" spans="1:50" hidden="1" x14ac:dyDescent="0.3">
      <c r="A279">
        <v>2021</v>
      </c>
      <c r="B279">
        <v>307</v>
      </c>
      <c r="C279">
        <v>1212</v>
      </c>
      <c r="D279" s="5" t="s">
        <v>44</v>
      </c>
      <c r="E279" s="8" t="s">
        <v>539</v>
      </c>
      <c r="F279">
        <v>1212</v>
      </c>
      <c r="H279" s="8" t="s">
        <v>540</v>
      </c>
      <c r="I279" t="s">
        <v>47</v>
      </c>
      <c r="J279" s="11">
        <v>7000000000</v>
      </c>
      <c r="K279" s="11">
        <v>7000000000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7000000000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7936707593</v>
      </c>
      <c r="Y279" s="11">
        <v>0</v>
      </c>
      <c r="Z279" s="17">
        <v>7936707593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7936707593</v>
      </c>
      <c r="AH279" s="11">
        <v>0</v>
      </c>
      <c r="AI279" s="12">
        <v>7936707593</v>
      </c>
      <c r="AJ279" s="11">
        <v>7936707593</v>
      </c>
      <c r="AK279" s="11">
        <v>0</v>
      </c>
      <c r="AL279" s="11">
        <v>0</v>
      </c>
      <c r="AM279" s="11">
        <v>7936707593</v>
      </c>
      <c r="AN279" s="11">
        <v>7936707593</v>
      </c>
      <c r="AO279" s="11">
        <v>0</v>
      </c>
      <c r="AP279" s="11">
        <v>7936707593</v>
      </c>
      <c r="AQ279" s="11">
        <v>0</v>
      </c>
      <c r="AR279" s="11">
        <v>0</v>
      </c>
      <c r="AS279" t="s">
        <v>48</v>
      </c>
      <c r="AT279"/>
    </row>
    <row r="280" spans="1:50" hidden="1" x14ac:dyDescent="0.3">
      <c r="A280">
        <v>2021</v>
      </c>
      <c r="B280">
        <v>307</v>
      </c>
      <c r="C280">
        <v>121201</v>
      </c>
      <c r="D280" s="5" t="s">
        <v>44</v>
      </c>
      <c r="E280" s="8" t="s">
        <v>541</v>
      </c>
      <c r="F280">
        <v>121201</v>
      </c>
      <c r="H280" s="8" t="s">
        <v>542</v>
      </c>
      <c r="I280" t="s">
        <v>47</v>
      </c>
      <c r="J280" s="11">
        <v>7000000000</v>
      </c>
      <c r="K280" s="11">
        <v>7000000000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7000000000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7936707593</v>
      </c>
      <c r="Y280" s="11">
        <v>0</v>
      </c>
      <c r="Z280" s="17">
        <v>7936707593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1">
        <v>7936707593</v>
      </c>
      <c r="AH280" s="11">
        <v>0</v>
      </c>
      <c r="AI280" s="12">
        <v>7936707593</v>
      </c>
      <c r="AJ280" s="11">
        <v>7936707593</v>
      </c>
      <c r="AK280" s="11">
        <v>0</v>
      </c>
      <c r="AL280" s="11">
        <v>0</v>
      </c>
      <c r="AM280" s="11">
        <v>7936707593</v>
      </c>
      <c r="AN280" s="11">
        <v>7936707593</v>
      </c>
      <c r="AO280" s="11">
        <v>0</v>
      </c>
      <c r="AP280" s="11">
        <v>7936707593</v>
      </c>
      <c r="AQ280" s="11">
        <v>0</v>
      </c>
      <c r="AR280" s="11">
        <v>0</v>
      </c>
      <c r="AS280" t="s">
        <v>48</v>
      </c>
      <c r="AT280"/>
    </row>
    <row r="281" spans="1:50" x14ac:dyDescent="0.3">
      <c r="A281">
        <v>2021</v>
      </c>
      <c r="B281">
        <v>307</v>
      </c>
      <c r="C281">
        <v>121201003</v>
      </c>
      <c r="D281" s="5">
        <v>136</v>
      </c>
      <c r="E281" s="8" t="s">
        <v>543</v>
      </c>
      <c r="F281">
        <v>121201003</v>
      </c>
      <c r="G281" t="s">
        <v>1908</v>
      </c>
      <c r="H281" s="8" t="s">
        <v>544</v>
      </c>
      <c r="I281" t="s">
        <v>47</v>
      </c>
      <c r="J281" s="11">
        <v>7000000000</v>
      </c>
      <c r="K281" s="11">
        <v>7000000000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7000000000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7936707593</v>
      </c>
      <c r="Y281" s="11">
        <v>0</v>
      </c>
      <c r="Z281" s="17">
        <v>7936707593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7936707593</v>
      </c>
      <c r="AH281" s="11">
        <v>0</v>
      </c>
      <c r="AI281" s="12">
        <v>7936707593</v>
      </c>
      <c r="AJ281" s="11">
        <v>7936707593</v>
      </c>
      <c r="AK281" s="11">
        <v>0</v>
      </c>
      <c r="AL281" s="11">
        <v>0</v>
      </c>
      <c r="AM281" s="11">
        <v>7936707593</v>
      </c>
      <c r="AN281" s="11">
        <v>7936707593</v>
      </c>
      <c r="AO281" s="11">
        <v>0</v>
      </c>
      <c r="AP281" s="11">
        <v>7936707593</v>
      </c>
      <c r="AQ281" s="11">
        <v>0</v>
      </c>
      <c r="AR281" s="11">
        <v>0</v>
      </c>
      <c r="AS281" t="s">
        <v>448</v>
      </c>
      <c r="AT281" s="4" t="str">
        <f>+H281</f>
        <v>Para el pago del pasivo pensional corriente</v>
      </c>
      <c r="AU281" s="7" t="str">
        <f>+$D281&amp;$AT281&amp;Z281</f>
        <v>136Para el pago del pasivo pensional corriente7936707593</v>
      </c>
      <c r="AV281" t="str">
        <f>+_xlfn.XLOOKUP(AU281,CRUCE!I:I,CRUCE!M:M)</f>
        <v>READY</v>
      </c>
      <c r="AX281">
        <f>+SUMIFS(CRUCE!C:C,CRUCE!A:A,D281,CRUCE!B:B,'2021'!H281)</f>
        <v>7936707593</v>
      </c>
    </row>
    <row r="282" spans="1:50" hidden="1" x14ac:dyDescent="0.3">
      <c r="A282">
        <v>2021</v>
      </c>
      <c r="B282">
        <v>307</v>
      </c>
      <c r="C282">
        <v>1213</v>
      </c>
      <c r="D282" s="5" t="s">
        <v>44</v>
      </c>
      <c r="E282" s="8" t="s">
        <v>545</v>
      </c>
      <c r="F282">
        <v>1213</v>
      </c>
      <c r="H282" s="8" t="s">
        <v>546</v>
      </c>
      <c r="I282" t="s">
        <v>47</v>
      </c>
      <c r="J282" s="11">
        <v>496029358</v>
      </c>
      <c r="K282" s="11">
        <v>496029358</v>
      </c>
      <c r="L282" s="11">
        <v>4217269</v>
      </c>
      <c r="M282" s="11">
        <v>0</v>
      </c>
      <c r="N282" s="11">
        <v>4217269</v>
      </c>
      <c r="O282" s="11">
        <v>4217269</v>
      </c>
      <c r="P282" s="11">
        <v>0</v>
      </c>
      <c r="Q282" s="11">
        <v>500246627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787089227.34000003</v>
      </c>
      <c r="Y282" s="11">
        <v>646732835</v>
      </c>
      <c r="Z282" s="17">
        <v>140356392.34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787089227.34000003</v>
      </c>
      <c r="AH282" s="11">
        <v>646732835</v>
      </c>
      <c r="AI282" s="12">
        <v>140356392.34</v>
      </c>
      <c r="AJ282" s="11">
        <v>140356392.34</v>
      </c>
      <c r="AK282" s="11">
        <v>0</v>
      </c>
      <c r="AL282" s="11">
        <v>0</v>
      </c>
      <c r="AM282" s="11">
        <v>694232085.34000003</v>
      </c>
      <c r="AN282" s="11">
        <v>787089227.34000003</v>
      </c>
      <c r="AO282" s="11">
        <v>92857142</v>
      </c>
      <c r="AP282" s="11">
        <v>787089227.34000003</v>
      </c>
      <c r="AQ282" s="11">
        <v>0</v>
      </c>
      <c r="AR282" s="11">
        <v>92857142</v>
      </c>
      <c r="AS282" t="s">
        <v>48</v>
      </c>
      <c r="AT282"/>
    </row>
    <row r="283" spans="1:50" x14ac:dyDescent="0.3">
      <c r="A283">
        <v>2021</v>
      </c>
      <c r="B283">
        <v>307</v>
      </c>
      <c r="C283">
        <v>121301</v>
      </c>
      <c r="D283" s="5">
        <v>1</v>
      </c>
      <c r="E283" s="8" t="s">
        <v>547</v>
      </c>
      <c r="F283">
        <v>121301</v>
      </c>
      <c r="G283" t="s">
        <v>1908</v>
      </c>
      <c r="H283" s="8" t="s">
        <v>459</v>
      </c>
      <c r="I283" t="s">
        <v>47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3491848</v>
      </c>
      <c r="Y283" s="11">
        <v>0</v>
      </c>
      <c r="Z283" s="17">
        <v>3491848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3491848</v>
      </c>
      <c r="AH283" s="11">
        <v>0</v>
      </c>
      <c r="AI283" s="12">
        <v>3491848</v>
      </c>
      <c r="AJ283" s="11">
        <v>3491848</v>
      </c>
      <c r="AK283" s="11">
        <v>0</v>
      </c>
      <c r="AL283" s="11">
        <v>0</v>
      </c>
      <c r="AM283" s="11">
        <v>3491848</v>
      </c>
      <c r="AN283" s="11">
        <v>3491848</v>
      </c>
      <c r="AO283" s="11">
        <v>0</v>
      </c>
      <c r="AP283" s="11">
        <v>3491848</v>
      </c>
      <c r="AQ283" s="11">
        <v>0</v>
      </c>
      <c r="AR283" s="11">
        <v>0</v>
      </c>
      <c r="AS283" t="s">
        <v>64</v>
      </c>
      <c r="AT283" s="4" t="str">
        <f t="shared" ref="AT283:AT288" si="42">+H283</f>
        <v>Reintegros</v>
      </c>
      <c r="AU283" s="7" t="str">
        <f t="shared" ref="AU283:AU292" si="43">+$D283&amp;$AT283&amp;Z283</f>
        <v>1Reintegros3491848</v>
      </c>
      <c r="AV283" t="str">
        <f>+_xlfn.XLOOKUP(AU283,CRUCE!I:I,CRUCE!M:M)</f>
        <v>READY</v>
      </c>
      <c r="AW283" t="s">
        <v>1907</v>
      </c>
      <c r="AX283">
        <f>+SUMIFS(CRUCE!C:C,CRUCE!A:A,D283,CRUCE!B:B,'2021'!H283)</f>
        <v>3491848</v>
      </c>
    </row>
    <row r="284" spans="1:50" x14ac:dyDescent="0.3">
      <c r="A284">
        <v>2021</v>
      </c>
      <c r="B284">
        <v>307</v>
      </c>
      <c r="C284">
        <v>121301</v>
      </c>
      <c r="D284" s="5">
        <v>4</v>
      </c>
      <c r="E284" s="8" t="s">
        <v>548</v>
      </c>
      <c r="F284">
        <v>121301</v>
      </c>
      <c r="G284" t="s">
        <v>1908</v>
      </c>
      <c r="H284" s="8" t="s">
        <v>459</v>
      </c>
      <c r="I284" t="s">
        <v>47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2096027</v>
      </c>
      <c r="Y284" s="11">
        <v>0</v>
      </c>
      <c r="Z284" s="17">
        <v>2096027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2096027</v>
      </c>
      <c r="AH284" s="11">
        <v>0</v>
      </c>
      <c r="AI284" s="12">
        <v>2096027</v>
      </c>
      <c r="AJ284" s="11">
        <v>2096027</v>
      </c>
      <c r="AK284" s="11">
        <v>0</v>
      </c>
      <c r="AL284" s="11">
        <v>0</v>
      </c>
      <c r="AM284" s="11">
        <v>2096027</v>
      </c>
      <c r="AN284" s="11">
        <v>2096027</v>
      </c>
      <c r="AO284" s="11">
        <v>0</v>
      </c>
      <c r="AP284" s="11">
        <v>2096027</v>
      </c>
      <c r="AQ284" s="11">
        <v>0</v>
      </c>
      <c r="AR284" s="11">
        <v>0</v>
      </c>
      <c r="AS284" t="s">
        <v>125</v>
      </c>
      <c r="AT284" s="4" t="str">
        <f t="shared" si="42"/>
        <v>Reintegros</v>
      </c>
      <c r="AU284" s="7" t="str">
        <f t="shared" si="43"/>
        <v>4Reintegros2096027</v>
      </c>
      <c r="AV284" t="str">
        <f>+_xlfn.XLOOKUP(AU284,CRUCE!I:I,CRUCE!M:M)</f>
        <v>READY</v>
      </c>
      <c r="AW284" t="s">
        <v>1907</v>
      </c>
      <c r="AX284">
        <f>+SUMIFS(CRUCE!C:C,CRUCE!A:A,D284,CRUCE!B:B,'2021'!H284)</f>
        <v>2096027</v>
      </c>
    </row>
    <row r="285" spans="1:50" x14ac:dyDescent="0.3">
      <c r="A285">
        <v>2021</v>
      </c>
      <c r="B285">
        <v>307</v>
      </c>
      <c r="C285">
        <v>121301</v>
      </c>
      <c r="D285" s="5">
        <v>6</v>
      </c>
      <c r="E285" s="8" t="s">
        <v>549</v>
      </c>
      <c r="F285">
        <v>121301</v>
      </c>
      <c r="G285" t="s">
        <v>1908</v>
      </c>
      <c r="H285" s="8" t="s">
        <v>459</v>
      </c>
      <c r="I285" t="s">
        <v>47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551405237</v>
      </c>
      <c r="Y285" s="11">
        <v>551405237</v>
      </c>
      <c r="Z285" s="17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1">
        <v>551405237</v>
      </c>
      <c r="AH285" s="11">
        <v>551405237</v>
      </c>
      <c r="AI285" s="12">
        <v>0</v>
      </c>
      <c r="AJ285" s="11">
        <v>0</v>
      </c>
      <c r="AK285" s="11">
        <v>0</v>
      </c>
      <c r="AL285" s="11">
        <v>0</v>
      </c>
      <c r="AM285" s="11">
        <v>551405237</v>
      </c>
      <c r="AN285" s="11">
        <v>551405237</v>
      </c>
      <c r="AO285" s="11">
        <v>0</v>
      </c>
      <c r="AP285" s="11">
        <v>551405237</v>
      </c>
      <c r="AQ285" s="11">
        <v>0</v>
      </c>
      <c r="AR285" s="11">
        <v>0</v>
      </c>
      <c r="AS285" t="s">
        <v>120</v>
      </c>
      <c r="AT285" s="4" t="str">
        <f t="shared" si="42"/>
        <v>Reintegros</v>
      </c>
      <c r="AU285" s="7" t="str">
        <f t="shared" si="43"/>
        <v>6Reintegros0</v>
      </c>
      <c r="AV285" t="str">
        <f>+_xlfn.XLOOKUP(AU285,CRUCE!I:I,CRUCE!M:M)</f>
        <v>READY</v>
      </c>
      <c r="AW285" t="s">
        <v>1907</v>
      </c>
      <c r="AX285">
        <f>+SUMIFS(CRUCE!C:C,CRUCE!A:A,D285,CRUCE!B:B,'2021'!H285)</f>
        <v>0</v>
      </c>
    </row>
    <row r="286" spans="1:50" x14ac:dyDescent="0.3">
      <c r="A286">
        <v>2021</v>
      </c>
      <c r="B286">
        <v>307</v>
      </c>
      <c r="C286">
        <v>121301</v>
      </c>
      <c r="D286" s="5">
        <v>122</v>
      </c>
      <c r="E286" s="8" t="s">
        <v>550</v>
      </c>
      <c r="F286">
        <v>121301</v>
      </c>
      <c r="G286" t="s">
        <v>1908</v>
      </c>
      <c r="H286" s="8" t="s">
        <v>459</v>
      </c>
      <c r="I286" t="s">
        <v>47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1592</v>
      </c>
      <c r="Y286" s="11">
        <v>0</v>
      </c>
      <c r="Z286" s="17">
        <v>1592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1592</v>
      </c>
      <c r="AH286" s="11">
        <v>0</v>
      </c>
      <c r="AI286" s="12">
        <v>1592</v>
      </c>
      <c r="AJ286" s="11">
        <v>1592</v>
      </c>
      <c r="AK286" s="11">
        <v>0</v>
      </c>
      <c r="AL286" s="11">
        <v>0</v>
      </c>
      <c r="AM286" s="11">
        <v>1592</v>
      </c>
      <c r="AN286" s="11">
        <v>1592</v>
      </c>
      <c r="AO286" s="11">
        <v>0</v>
      </c>
      <c r="AP286" s="11">
        <v>1592</v>
      </c>
      <c r="AQ286" s="11">
        <v>0</v>
      </c>
      <c r="AR286" s="11">
        <v>0</v>
      </c>
      <c r="AS286" t="s">
        <v>514</v>
      </c>
      <c r="AT286" s="4" t="str">
        <f t="shared" si="42"/>
        <v>Reintegros</v>
      </c>
      <c r="AU286" s="7" t="str">
        <f t="shared" si="43"/>
        <v>122Reintegros1592</v>
      </c>
      <c r="AV286" t="str">
        <f>+_xlfn.XLOOKUP(AU286,CRUCE!I:I,CRUCE!M:M)</f>
        <v>READY</v>
      </c>
      <c r="AW286" t="s">
        <v>1907</v>
      </c>
      <c r="AX286">
        <f>+SUMIFS(CRUCE!C:C,CRUCE!A:A,D286,CRUCE!B:B,'2021'!H286)</f>
        <v>1592</v>
      </c>
    </row>
    <row r="287" spans="1:50" x14ac:dyDescent="0.3">
      <c r="A287">
        <v>2021</v>
      </c>
      <c r="B287">
        <v>307</v>
      </c>
      <c r="C287">
        <v>121301</v>
      </c>
      <c r="D287" s="5">
        <v>13</v>
      </c>
      <c r="E287" s="8" t="s">
        <v>551</v>
      </c>
      <c r="F287">
        <v>121301</v>
      </c>
      <c r="G287" t="s">
        <v>1908</v>
      </c>
      <c r="H287" s="8" t="s">
        <v>459</v>
      </c>
      <c r="I287" t="s">
        <v>47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1668507</v>
      </c>
      <c r="Y287" s="11">
        <v>0</v>
      </c>
      <c r="Z287" s="17">
        <v>1668507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1668507</v>
      </c>
      <c r="AH287" s="11">
        <v>0</v>
      </c>
      <c r="AI287" s="12">
        <v>1668507</v>
      </c>
      <c r="AJ287" s="11">
        <v>1668507</v>
      </c>
      <c r="AK287" s="11">
        <v>0</v>
      </c>
      <c r="AL287" s="11">
        <v>0</v>
      </c>
      <c r="AM287" s="11">
        <v>1668507</v>
      </c>
      <c r="AN287" s="11">
        <v>1668507</v>
      </c>
      <c r="AO287" s="11">
        <v>0</v>
      </c>
      <c r="AP287" s="11">
        <v>1668507</v>
      </c>
      <c r="AQ287" s="11">
        <v>0</v>
      </c>
      <c r="AR287" s="11">
        <v>0</v>
      </c>
      <c r="AS287" t="s">
        <v>66</v>
      </c>
      <c r="AT287" s="4" t="str">
        <f t="shared" si="42"/>
        <v>Reintegros</v>
      </c>
      <c r="AU287" s="7" t="str">
        <f t="shared" si="43"/>
        <v>13Reintegros1668507</v>
      </c>
      <c r="AV287" t="str">
        <f>+_xlfn.XLOOKUP(AU287,CRUCE!I:I,CRUCE!M:M)</f>
        <v>READY</v>
      </c>
      <c r="AW287" t="s">
        <v>1907</v>
      </c>
      <c r="AX287">
        <f>+SUMIFS(CRUCE!C:C,CRUCE!A:A,D287,CRUCE!B:B,'2021'!H287)</f>
        <v>1668507</v>
      </c>
    </row>
    <row r="288" spans="1:50" x14ac:dyDescent="0.3">
      <c r="A288">
        <v>2021</v>
      </c>
      <c r="B288">
        <v>307</v>
      </c>
      <c r="C288">
        <v>121301</v>
      </c>
      <c r="D288" s="5">
        <v>20</v>
      </c>
      <c r="E288" s="8" t="s">
        <v>552</v>
      </c>
      <c r="F288">
        <v>121301</v>
      </c>
      <c r="G288" t="s">
        <v>1908</v>
      </c>
      <c r="H288" s="8" t="s">
        <v>459</v>
      </c>
      <c r="I288" t="s">
        <v>47</v>
      </c>
      <c r="J288" s="11">
        <v>496029358</v>
      </c>
      <c r="K288" s="11">
        <v>496029358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496029358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192952745</v>
      </c>
      <c r="Y288" s="11">
        <v>95327598</v>
      </c>
      <c r="Z288" s="17">
        <v>97625147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192952745</v>
      </c>
      <c r="AH288" s="11">
        <v>95327598</v>
      </c>
      <c r="AI288" s="12">
        <v>97625147</v>
      </c>
      <c r="AJ288" s="11">
        <v>97625147</v>
      </c>
      <c r="AK288" s="11">
        <v>0</v>
      </c>
      <c r="AL288" s="11">
        <v>0</v>
      </c>
      <c r="AM288" s="11">
        <v>100095603</v>
      </c>
      <c r="AN288" s="11">
        <v>192952745</v>
      </c>
      <c r="AO288" s="11">
        <v>92857142</v>
      </c>
      <c r="AP288" s="11">
        <v>192952745</v>
      </c>
      <c r="AQ288" s="11">
        <v>0</v>
      </c>
      <c r="AR288" s="11">
        <v>92857142</v>
      </c>
      <c r="AS288" t="s">
        <v>57</v>
      </c>
      <c r="AT288" s="4" t="str">
        <f t="shared" si="42"/>
        <v>Reintegros</v>
      </c>
      <c r="AU288" s="7" t="str">
        <f t="shared" si="43"/>
        <v>20Reintegros97625147</v>
      </c>
      <c r="AV288" t="e">
        <f>+_xlfn.XLOOKUP(AU288,CRUCE!I:I,CRUCE!M:M)</f>
        <v>#N/A</v>
      </c>
      <c r="AW288" t="s">
        <v>1907</v>
      </c>
      <c r="AX288">
        <f>+SUMIFS(CRUCE!C:C,CRUCE!A:A,D288,CRUCE!B:B,'2021'!H288)</f>
        <v>97633590.069999993</v>
      </c>
    </row>
    <row r="289" spans="1:50" x14ac:dyDescent="0.3">
      <c r="A289">
        <v>2021</v>
      </c>
      <c r="B289">
        <v>307</v>
      </c>
      <c r="C289">
        <v>121301</v>
      </c>
      <c r="D289" s="5">
        <v>35</v>
      </c>
      <c r="E289" s="8" t="s">
        <v>553</v>
      </c>
      <c r="F289">
        <v>121301</v>
      </c>
      <c r="G289" t="s">
        <v>1908</v>
      </c>
      <c r="H289" s="8" t="s">
        <v>459</v>
      </c>
      <c r="I289" t="s">
        <v>47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1818304</v>
      </c>
      <c r="Y289" s="11">
        <v>0</v>
      </c>
      <c r="Z289" s="17">
        <v>1818304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1818304</v>
      </c>
      <c r="AH289" s="11">
        <v>0</v>
      </c>
      <c r="AI289" s="12">
        <v>1818304</v>
      </c>
      <c r="AJ289" s="11">
        <v>1818304</v>
      </c>
      <c r="AK289" s="11">
        <v>0</v>
      </c>
      <c r="AL289" s="11">
        <v>0</v>
      </c>
      <c r="AM289" s="11">
        <v>1818304</v>
      </c>
      <c r="AN289" s="11">
        <v>1818304</v>
      </c>
      <c r="AO289" s="11">
        <v>0</v>
      </c>
      <c r="AP289" s="11">
        <v>1818304</v>
      </c>
      <c r="AQ289" s="11">
        <v>0</v>
      </c>
      <c r="AR289" s="11">
        <v>0</v>
      </c>
      <c r="AS289" t="s">
        <v>365</v>
      </c>
      <c r="AT289" s="4" t="str">
        <f t="shared" ref="AT289:AT292" si="44">+H289</f>
        <v>Reintegros</v>
      </c>
      <c r="AU289" s="7" t="str">
        <f t="shared" si="43"/>
        <v>35Reintegros1818304</v>
      </c>
      <c r="AV289" t="str">
        <f>+_xlfn.XLOOKUP(AU289,CRUCE!I:I,CRUCE!M:M)</f>
        <v>READY</v>
      </c>
      <c r="AW289" t="s">
        <v>1907</v>
      </c>
      <c r="AX289">
        <f>+SUMIFS(CRUCE!C:C,CRUCE!A:A,D289,CRUCE!B:B,'2021'!H289)</f>
        <v>1818304</v>
      </c>
    </row>
    <row r="290" spans="1:50" x14ac:dyDescent="0.3">
      <c r="A290">
        <v>2021</v>
      </c>
      <c r="B290">
        <v>307</v>
      </c>
      <c r="C290">
        <v>121301</v>
      </c>
      <c r="D290" s="5">
        <v>46</v>
      </c>
      <c r="E290" s="8" t="s">
        <v>554</v>
      </c>
      <c r="F290">
        <v>121301</v>
      </c>
      <c r="G290" t="s">
        <v>1908</v>
      </c>
      <c r="H290" s="8" t="s">
        <v>459</v>
      </c>
      <c r="I290" t="s">
        <v>47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17792615.34</v>
      </c>
      <c r="Y290" s="11">
        <v>0</v>
      </c>
      <c r="Z290" s="17">
        <v>17792615.34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17792615.34</v>
      </c>
      <c r="AH290" s="11">
        <v>0</v>
      </c>
      <c r="AI290" s="12">
        <v>17792615.34</v>
      </c>
      <c r="AJ290" s="11">
        <v>17792615.34</v>
      </c>
      <c r="AK290" s="11">
        <v>0</v>
      </c>
      <c r="AL290" s="11">
        <v>0</v>
      </c>
      <c r="AM290" s="11">
        <v>17792615.34</v>
      </c>
      <c r="AN290" s="11">
        <v>17792615.34</v>
      </c>
      <c r="AO290" s="11">
        <v>0</v>
      </c>
      <c r="AP290" s="11">
        <v>17792615.34</v>
      </c>
      <c r="AQ290" s="11">
        <v>0</v>
      </c>
      <c r="AR290" s="11">
        <v>0</v>
      </c>
      <c r="AS290" t="s">
        <v>469</v>
      </c>
      <c r="AT290" s="4" t="str">
        <f t="shared" si="44"/>
        <v>Reintegros</v>
      </c>
      <c r="AU290" s="7" t="str">
        <f t="shared" si="43"/>
        <v>46Reintegros17792615,34</v>
      </c>
      <c r="AV290" t="e">
        <f>+_xlfn.XLOOKUP(AU290,CRUCE!I:I,CRUCE!M:M)</f>
        <v>#N/A</v>
      </c>
      <c r="AW290" t="s">
        <v>1907</v>
      </c>
      <c r="AX290">
        <f>+SUMIFS(CRUCE!C:C,CRUCE!A:A,D290,CRUCE!B:B,'2021'!H290)</f>
        <v>25627657.93</v>
      </c>
    </row>
    <row r="291" spans="1:50" x14ac:dyDescent="0.3">
      <c r="A291">
        <v>2021</v>
      </c>
      <c r="B291">
        <v>307</v>
      </c>
      <c r="C291">
        <v>121301</v>
      </c>
      <c r="D291" s="5">
        <v>88</v>
      </c>
      <c r="E291" s="8" t="s">
        <v>555</v>
      </c>
      <c r="F291">
        <v>121301</v>
      </c>
      <c r="G291" t="s">
        <v>1908</v>
      </c>
      <c r="H291" s="8" t="s">
        <v>459</v>
      </c>
      <c r="I291" t="s">
        <v>47</v>
      </c>
      <c r="J291" s="11">
        <v>0</v>
      </c>
      <c r="K291" s="11">
        <v>0</v>
      </c>
      <c r="L291" s="11">
        <v>2398965</v>
      </c>
      <c r="M291" s="11">
        <v>0</v>
      </c>
      <c r="N291" s="11">
        <v>2398965</v>
      </c>
      <c r="O291" s="11">
        <v>2398965</v>
      </c>
      <c r="P291" s="11">
        <v>0</v>
      </c>
      <c r="Q291" s="11">
        <v>2398965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15862352</v>
      </c>
      <c r="Y291" s="11">
        <v>0</v>
      </c>
      <c r="Z291" s="17">
        <v>15862352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1">
        <v>15862352</v>
      </c>
      <c r="AH291" s="11">
        <v>0</v>
      </c>
      <c r="AI291" s="12">
        <v>15862352</v>
      </c>
      <c r="AJ291" s="11">
        <v>15862352</v>
      </c>
      <c r="AK291" s="11">
        <v>0</v>
      </c>
      <c r="AL291" s="11">
        <v>0</v>
      </c>
      <c r="AM291" s="11">
        <v>15862352</v>
      </c>
      <c r="AN291" s="11">
        <v>15862352</v>
      </c>
      <c r="AO291" s="11">
        <v>0</v>
      </c>
      <c r="AP291" s="11">
        <v>15862352</v>
      </c>
      <c r="AQ291" s="11">
        <v>0</v>
      </c>
      <c r="AR291" s="11">
        <v>0</v>
      </c>
      <c r="AS291" t="s">
        <v>471</v>
      </c>
      <c r="AT291" s="4" t="str">
        <f t="shared" si="44"/>
        <v>Reintegros</v>
      </c>
      <c r="AU291" s="7" t="str">
        <f t="shared" si="43"/>
        <v>88Reintegros15862352</v>
      </c>
      <c r="AV291" t="e">
        <f>+_xlfn.XLOOKUP(AU291,CRUCE!I:I,CRUCE!M:M)</f>
        <v>#N/A</v>
      </c>
      <c r="AW291" t="s">
        <v>1907</v>
      </c>
      <c r="AX291">
        <f>+SUMIFS(CRUCE!C:C,CRUCE!A:A,D291,CRUCE!B:B,'2021'!H291)</f>
        <v>15863901.92</v>
      </c>
    </row>
    <row r="292" spans="1:50" x14ac:dyDescent="0.3">
      <c r="A292">
        <v>2021</v>
      </c>
      <c r="B292">
        <v>307</v>
      </c>
      <c r="C292">
        <v>121301</v>
      </c>
      <c r="D292" s="5">
        <v>91</v>
      </c>
      <c r="E292" s="8" t="s">
        <v>556</v>
      </c>
      <c r="F292">
        <v>121301</v>
      </c>
      <c r="G292" t="s">
        <v>1908</v>
      </c>
      <c r="H292" s="8" t="s">
        <v>459</v>
      </c>
      <c r="I292" t="s">
        <v>47</v>
      </c>
      <c r="J292" s="11">
        <v>0</v>
      </c>
      <c r="K292" s="11">
        <v>0</v>
      </c>
      <c r="L292" s="11">
        <v>1818304</v>
      </c>
      <c r="M292" s="11">
        <v>0</v>
      </c>
      <c r="N292" s="11">
        <v>1818304</v>
      </c>
      <c r="O292" s="11">
        <v>1818304</v>
      </c>
      <c r="P292" s="11">
        <v>0</v>
      </c>
      <c r="Q292" s="11">
        <v>1818304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7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2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t="s">
        <v>491</v>
      </c>
      <c r="AT292" s="4" t="str">
        <f t="shared" si="44"/>
        <v>Reintegros</v>
      </c>
      <c r="AU292" s="7" t="str">
        <f t="shared" si="43"/>
        <v>91Reintegros0</v>
      </c>
      <c r="AV292" t="str">
        <f>+_xlfn.XLOOKUP(AU292,CRUCE!I:I,CRUCE!M:M)</f>
        <v>READY</v>
      </c>
      <c r="AW292" t="s">
        <v>1907</v>
      </c>
      <c r="AX292">
        <f>+SUMIFS(CRUCE!C:C,CRUCE!A:A,D292,CRUCE!B:B,'2021'!H292)</f>
        <v>0</v>
      </c>
    </row>
    <row r="293" spans="1:50" hidden="1" x14ac:dyDescent="0.3">
      <c r="A293">
        <v>2021</v>
      </c>
      <c r="B293">
        <v>314</v>
      </c>
      <c r="C293">
        <v>1</v>
      </c>
      <c r="D293" s="5" t="s">
        <v>44</v>
      </c>
      <c r="E293" s="8" t="s">
        <v>557</v>
      </c>
      <c r="F293">
        <v>1</v>
      </c>
      <c r="H293" s="8" t="s">
        <v>46</v>
      </c>
      <c r="I293" t="s">
        <v>558</v>
      </c>
      <c r="J293" s="11">
        <v>182020000000</v>
      </c>
      <c r="K293" s="11">
        <v>182020000000</v>
      </c>
      <c r="L293" s="11">
        <v>9749321319.0599995</v>
      </c>
      <c r="M293" s="11">
        <v>9647294131.2600002</v>
      </c>
      <c r="N293" s="11">
        <v>102027187.8</v>
      </c>
      <c r="O293" s="11">
        <v>9749321319.0599995</v>
      </c>
      <c r="P293" s="11">
        <v>9647294131.2600002</v>
      </c>
      <c r="Q293" s="11">
        <v>182122027187.79999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183646123610.73999</v>
      </c>
      <c r="Y293" s="11">
        <v>1523913473.99</v>
      </c>
      <c r="Z293" s="17">
        <v>182122210136.75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183646123610.73999</v>
      </c>
      <c r="AH293" s="11">
        <v>1523913473.99</v>
      </c>
      <c r="AI293" s="12">
        <v>182122210136.75</v>
      </c>
      <c r="AJ293" s="11">
        <v>182122210136.75</v>
      </c>
      <c r="AK293" s="11">
        <v>31742399489.32</v>
      </c>
      <c r="AL293" s="11">
        <v>31742399489.32</v>
      </c>
      <c r="AM293" s="11">
        <v>150553430530.42999</v>
      </c>
      <c r="AN293" s="11">
        <v>151730554238.42001</v>
      </c>
      <c r="AO293" s="11">
        <v>1177123707.99</v>
      </c>
      <c r="AP293" s="11">
        <v>151730554238.42001</v>
      </c>
      <c r="AQ293" s="11">
        <v>0</v>
      </c>
      <c r="AR293" s="11">
        <v>1177123707.99</v>
      </c>
      <c r="AS293" t="s">
        <v>48</v>
      </c>
      <c r="AT293"/>
    </row>
    <row r="294" spans="1:50" hidden="1" x14ac:dyDescent="0.3">
      <c r="A294">
        <v>2021</v>
      </c>
      <c r="B294">
        <v>314</v>
      </c>
      <c r="C294">
        <v>11</v>
      </c>
      <c r="D294" s="5" t="s">
        <v>44</v>
      </c>
      <c r="E294" s="8" t="s">
        <v>559</v>
      </c>
      <c r="F294">
        <v>11</v>
      </c>
      <c r="H294" s="8" t="s">
        <v>50</v>
      </c>
      <c r="I294" t="s">
        <v>558</v>
      </c>
      <c r="J294" s="11">
        <v>181740000000</v>
      </c>
      <c r="K294" s="11">
        <v>181740000000</v>
      </c>
      <c r="L294" s="11">
        <v>5996497233.3999996</v>
      </c>
      <c r="M294" s="11">
        <v>9304991580</v>
      </c>
      <c r="N294" s="11">
        <v>-3308494346.5999999</v>
      </c>
      <c r="O294" s="11">
        <v>5996497233.3999996</v>
      </c>
      <c r="P294" s="11">
        <v>9304991580</v>
      </c>
      <c r="Q294" s="11">
        <v>178431505653.39999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179434877541.67001</v>
      </c>
      <c r="Y294" s="11">
        <v>1003371888.27</v>
      </c>
      <c r="Z294" s="17">
        <v>178431505653.39999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179434877541.67001</v>
      </c>
      <c r="AH294" s="11">
        <v>1003371888.27</v>
      </c>
      <c r="AI294" s="12">
        <v>178431505653.39999</v>
      </c>
      <c r="AJ294" s="11">
        <v>178431505653.39999</v>
      </c>
      <c r="AK294" s="11">
        <v>28315024554</v>
      </c>
      <c r="AL294" s="11">
        <v>28315024554</v>
      </c>
      <c r="AM294" s="11">
        <v>150116481099.39999</v>
      </c>
      <c r="AN294" s="11">
        <v>151119852987.67001</v>
      </c>
      <c r="AO294" s="11">
        <v>1003371888.27</v>
      </c>
      <c r="AP294" s="11">
        <v>151119852987.67001</v>
      </c>
      <c r="AQ294" s="11">
        <v>0</v>
      </c>
      <c r="AR294" s="11">
        <v>1003371888.27</v>
      </c>
      <c r="AS294" t="s">
        <v>48</v>
      </c>
      <c r="AT294"/>
    </row>
    <row r="295" spans="1:50" hidden="1" x14ac:dyDescent="0.3">
      <c r="A295">
        <v>2021</v>
      </c>
      <c r="B295">
        <v>314</v>
      </c>
      <c r="C295">
        <v>1102</v>
      </c>
      <c r="D295" s="5" t="s">
        <v>44</v>
      </c>
      <c r="E295" s="8" t="s">
        <v>560</v>
      </c>
      <c r="F295">
        <v>1102</v>
      </c>
      <c r="H295" s="8" t="s">
        <v>145</v>
      </c>
      <c r="I295" t="s">
        <v>558</v>
      </c>
      <c r="J295" s="11">
        <v>181740000000</v>
      </c>
      <c r="K295" s="11">
        <v>181740000000</v>
      </c>
      <c r="L295" s="11">
        <v>5996497233.3999996</v>
      </c>
      <c r="M295" s="11">
        <v>9304991580</v>
      </c>
      <c r="N295" s="11">
        <v>-3308494346.5999999</v>
      </c>
      <c r="O295" s="11">
        <v>5996497233.3999996</v>
      </c>
      <c r="P295" s="11">
        <v>9304991580</v>
      </c>
      <c r="Q295" s="11">
        <v>178431505653.39999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179434877541.67001</v>
      </c>
      <c r="Y295" s="11">
        <v>1003371888.27</v>
      </c>
      <c r="Z295" s="17">
        <v>178431505653.39999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v>0</v>
      </c>
      <c r="AG295" s="11">
        <v>179434877541.67001</v>
      </c>
      <c r="AH295" s="11">
        <v>1003371888.27</v>
      </c>
      <c r="AI295" s="12">
        <v>178431505653.39999</v>
      </c>
      <c r="AJ295" s="11">
        <v>178431505653.39999</v>
      </c>
      <c r="AK295" s="11">
        <v>28315024554</v>
      </c>
      <c r="AL295" s="11">
        <v>28315024554</v>
      </c>
      <c r="AM295" s="11">
        <v>150116481099.39999</v>
      </c>
      <c r="AN295" s="11">
        <v>151119852987.67001</v>
      </c>
      <c r="AO295" s="11">
        <v>1003371888.27</v>
      </c>
      <c r="AP295" s="11">
        <v>151119852987.67001</v>
      </c>
      <c r="AQ295" s="11">
        <v>0</v>
      </c>
      <c r="AR295" s="11">
        <v>1003371888.27</v>
      </c>
      <c r="AS295" t="s">
        <v>48</v>
      </c>
      <c r="AT295"/>
    </row>
    <row r="296" spans="1:50" hidden="1" x14ac:dyDescent="0.3">
      <c r="A296">
        <v>2021</v>
      </c>
      <c r="B296">
        <v>314</v>
      </c>
      <c r="C296">
        <v>110206</v>
      </c>
      <c r="D296" s="5" t="s">
        <v>44</v>
      </c>
      <c r="E296" s="8" t="s">
        <v>561</v>
      </c>
      <c r="F296">
        <v>110206</v>
      </c>
      <c r="H296" s="8" t="s">
        <v>242</v>
      </c>
      <c r="I296" t="s">
        <v>558</v>
      </c>
      <c r="J296" s="11">
        <v>181740000000</v>
      </c>
      <c r="K296" s="11">
        <v>181740000000</v>
      </c>
      <c r="L296" s="11">
        <v>5996497233.3999996</v>
      </c>
      <c r="M296" s="11">
        <v>9304991580</v>
      </c>
      <c r="N296" s="11">
        <v>-3308494346.5999999</v>
      </c>
      <c r="O296" s="11">
        <v>5996497233.3999996</v>
      </c>
      <c r="P296" s="11">
        <v>9304991580</v>
      </c>
      <c r="Q296" s="11">
        <v>178431505653.39999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179434877541.67001</v>
      </c>
      <c r="Y296" s="11">
        <v>1003371888.27</v>
      </c>
      <c r="Z296" s="17">
        <v>178431505653.39999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1">
        <v>179434877541.67001</v>
      </c>
      <c r="AH296" s="11">
        <v>1003371888.27</v>
      </c>
      <c r="AI296" s="12">
        <v>178431505653.39999</v>
      </c>
      <c r="AJ296" s="11">
        <v>178431505653.39999</v>
      </c>
      <c r="AK296" s="11">
        <v>28315024554</v>
      </c>
      <c r="AL296" s="11">
        <v>28315024554</v>
      </c>
      <c r="AM296" s="11">
        <v>150116481099.39999</v>
      </c>
      <c r="AN296" s="11">
        <v>151119852987.67001</v>
      </c>
      <c r="AO296" s="11">
        <v>1003371888.27</v>
      </c>
      <c r="AP296" s="11">
        <v>151119852987.67001</v>
      </c>
      <c r="AQ296" s="11">
        <v>0</v>
      </c>
      <c r="AR296" s="11">
        <v>1003371888.27</v>
      </c>
      <c r="AS296" t="s">
        <v>48</v>
      </c>
      <c r="AT296"/>
    </row>
    <row r="297" spans="1:50" hidden="1" x14ac:dyDescent="0.3">
      <c r="A297">
        <v>2021</v>
      </c>
      <c r="B297">
        <v>314</v>
      </c>
      <c r="C297">
        <v>110206001</v>
      </c>
      <c r="D297" s="5" t="s">
        <v>44</v>
      </c>
      <c r="E297" s="8" t="s">
        <v>562</v>
      </c>
      <c r="F297">
        <v>110206001</v>
      </c>
      <c r="H297" s="8" t="s">
        <v>244</v>
      </c>
      <c r="I297" t="s">
        <v>558</v>
      </c>
      <c r="J297" s="11">
        <v>168900000000</v>
      </c>
      <c r="K297" s="11">
        <v>168900000000</v>
      </c>
      <c r="L297" s="11">
        <v>3373774978</v>
      </c>
      <c r="M297" s="11">
        <v>6493839366</v>
      </c>
      <c r="N297" s="11">
        <v>-3120064388</v>
      </c>
      <c r="O297" s="11">
        <v>3373774978</v>
      </c>
      <c r="P297" s="11">
        <v>6493839366</v>
      </c>
      <c r="Q297" s="11">
        <v>165779935612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165779935612</v>
      </c>
      <c r="Y297" s="11">
        <v>0</v>
      </c>
      <c r="Z297" s="17">
        <v>165779935612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1">
        <v>165779935612</v>
      </c>
      <c r="AH297" s="11">
        <v>0</v>
      </c>
      <c r="AI297" s="12">
        <v>165779935612</v>
      </c>
      <c r="AJ297" s="11">
        <v>165779935612</v>
      </c>
      <c r="AK297" s="11">
        <v>28315024554</v>
      </c>
      <c r="AL297" s="11">
        <v>28315024554</v>
      </c>
      <c r="AM297" s="11">
        <v>137464911058</v>
      </c>
      <c r="AN297" s="11">
        <v>137464911058</v>
      </c>
      <c r="AO297" s="11">
        <v>0</v>
      </c>
      <c r="AP297" s="11">
        <v>137464911058</v>
      </c>
      <c r="AQ297" s="11">
        <v>0</v>
      </c>
      <c r="AR297" s="11">
        <v>0</v>
      </c>
      <c r="AS297" t="s">
        <v>48</v>
      </c>
      <c r="AT297"/>
    </row>
    <row r="298" spans="1:50" hidden="1" x14ac:dyDescent="0.3">
      <c r="A298">
        <v>2021</v>
      </c>
      <c r="B298">
        <v>314</v>
      </c>
      <c r="C298">
        <v>11020600101</v>
      </c>
      <c r="D298" s="5" t="s">
        <v>44</v>
      </c>
      <c r="E298" s="8" t="s">
        <v>563</v>
      </c>
      <c r="F298">
        <v>11020600101</v>
      </c>
      <c r="H298" s="8" t="s">
        <v>564</v>
      </c>
      <c r="I298" t="s">
        <v>558</v>
      </c>
      <c r="J298" s="11">
        <v>168900000000</v>
      </c>
      <c r="K298" s="11">
        <v>168900000000</v>
      </c>
      <c r="L298" s="11">
        <v>3373774978</v>
      </c>
      <c r="M298" s="11">
        <v>6493839366</v>
      </c>
      <c r="N298" s="11">
        <v>-3120064388</v>
      </c>
      <c r="O298" s="11">
        <v>3373774978</v>
      </c>
      <c r="P298" s="11">
        <v>6493839366</v>
      </c>
      <c r="Q298" s="11">
        <v>165779935612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165779935612</v>
      </c>
      <c r="Y298" s="11">
        <v>0</v>
      </c>
      <c r="Z298" s="17">
        <v>165779935612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165779935612</v>
      </c>
      <c r="AH298" s="11">
        <v>0</v>
      </c>
      <c r="AI298" s="12">
        <v>165779935612</v>
      </c>
      <c r="AJ298" s="11">
        <v>165779935612</v>
      </c>
      <c r="AK298" s="11">
        <v>28315024554</v>
      </c>
      <c r="AL298" s="11">
        <v>28315024554</v>
      </c>
      <c r="AM298" s="11">
        <v>137464911058</v>
      </c>
      <c r="AN298" s="11">
        <v>137464911058</v>
      </c>
      <c r="AO298" s="11">
        <v>0</v>
      </c>
      <c r="AP298" s="11">
        <v>137464911058</v>
      </c>
      <c r="AQ298" s="11">
        <v>0</v>
      </c>
      <c r="AR298" s="11">
        <v>0</v>
      </c>
      <c r="AS298" t="s">
        <v>48</v>
      </c>
      <c r="AT298"/>
    </row>
    <row r="299" spans="1:50" x14ac:dyDescent="0.3">
      <c r="A299">
        <v>2021</v>
      </c>
      <c r="B299">
        <v>314</v>
      </c>
      <c r="C299">
        <v>1102060010101</v>
      </c>
      <c r="D299" s="5">
        <v>25</v>
      </c>
      <c r="E299" s="8" t="s">
        <v>565</v>
      </c>
      <c r="F299">
        <v>1102060010101</v>
      </c>
      <c r="G299" t="s">
        <v>1908</v>
      </c>
      <c r="H299" s="8" t="s">
        <v>566</v>
      </c>
      <c r="I299" t="s">
        <v>558</v>
      </c>
      <c r="J299" s="11">
        <v>143755000000</v>
      </c>
      <c r="K299" s="11">
        <v>143755000000</v>
      </c>
      <c r="L299" s="11">
        <v>0</v>
      </c>
      <c r="M299" s="11">
        <v>6290088942</v>
      </c>
      <c r="N299" s="11">
        <v>-6290088942</v>
      </c>
      <c r="O299" s="11">
        <v>0</v>
      </c>
      <c r="P299" s="11">
        <v>6290088942</v>
      </c>
      <c r="Q299" s="11">
        <v>137464911058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137464911058</v>
      </c>
      <c r="Y299" s="11">
        <v>0</v>
      </c>
      <c r="Z299" s="17">
        <v>137464911058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137464911058</v>
      </c>
      <c r="AH299" s="11">
        <v>0</v>
      </c>
      <c r="AI299" s="12">
        <v>137464911058</v>
      </c>
      <c r="AJ299" s="11">
        <v>137464911058</v>
      </c>
      <c r="AK299" s="11">
        <v>0</v>
      </c>
      <c r="AL299" s="11">
        <v>0</v>
      </c>
      <c r="AM299" s="11">
        <v>137464911058</v>
      </c>
      <c r="AN299" s="11">
        <v>137464911058</v>
      </c>
      <c r="AO299" s="11">
        <v>0</v>
      </c>
      <c r="AP299" s="11">
        <v>137464911058</v>
      </c>
      <c r="AQ299" s="11">
        <v>0</v>
      </c>
      <c r="AR299" s="11">
        <v>0</v>
      </c>
      <c r="AS299" t="s">
        <v>567</v>
      </c>
      <c r="AT299" s="4" t="str">
        <f>+H299</f>
        <v>Prestación de servicio educativo</v>
      </c>
      <c r="AU299" s="7" t="str">
        <f t="shared" ref="AU299:AU300" si="45">+$D299&amp;$AT299&amp;Z299</f>
        <v>25Prestación de servicio educativo137464911058</v>
      </c>
      <c r="AV299" t="str">
        <f>+_xlfn.XLOOKUP(AU299,CRUCE!I:I,CRUCE!M:M)</f>
        <v>READY</v>
      </c>
      <c r="AW299" t="s">
        <v>1907</v>
      </c>
      <c r="AX299">
        <f>+SUMIFS(CRUCE!C:C,CRUCE!A:A,D299,CRUCE!B:B,'2021'!H299)</f>
        <v>137464911058</v>
      </c>
    </row>
    <row r="300" spans="1:50" x14ac:dyDescent="0.3">
      <c r="A300">
        <v>2021</v>
      </c>
      <c r="B300">
        <v>314</v>
      </c>
      <c r="C300">
        <v>1102060010101</v>
      </c>
      <c r="D300" s="5">
        <v>26</v>
      </c>
      <c r="E300" s="8" t="s">
        <v>568</v>
      </c>
      <c r="F300">
        <v>1102060010101</v>
      </c>
      <c r="G300" t="s">
        <v>1908</v>
      </c>
      <c r="H300" s="8" t="s">
        <v>566</v>
      </c>
      <c r="I300" t="s">
        <v>558</v>
      </c>
      <c r="J300" s="11">
        <v>25145000000</v>
      </c>
      <c r="K300" s="11">
        <v>25145000000</v>
      </c>
      <c r="L300" s="11">
        <v>3373774978</v>
      </c>
      <c r="M300" s="11">
        <v>203750424</v>
      </c>
      <c r="N300" s="11">
        <v>3170024554</v>
      </c>
      <c r="O300" s="11">
        <v>3373774978</v>
      </c>
      <c r="P300" s="11">
        <v>203750424</v>
      </c>
      <c r="Q300" s="11">
        <v>28315024554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28315024554</v>
      </c>
      <c r="Y300" s="11">
        <v>0</v>
      </c>
      <c r="Z300" s="17">
        <v>28315024554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28315024554</v>
      </c>
      <c r="AH300" s="11">
        <v>0</v>
      </c>
      <c r="AI300" s="12">
        <v>28315024554</v>
      </c>
      <c r="AJ300" s="11">
        <v>28315024554</v>
      </c>
      <c r="AK300" s="11">
        <v>28315024554</v>
      </c>
      <c r="AL300" s="11">
        <v>28315024554</v>
      </c>
      <c r="AM300" s="11">
        <v>0</v>
      </c>
      <c r="AN300" s="11">
        <v>0</v>
      </c>
      <c r="AO300" s="11">
        <v>0</v>
      </c>
      <c r="AP300" s="11">
        <v>0</v>
      </c>
      <c r="AQ300" s="11">
        <v>0</v>
      </c>
      <c r="AR300" s="11">
        <v>0</v>
      </c>
      <c r="AS300" t="s">
        <v>569</v>
      </c>
      <c r="AT300" s="4" t="str">
        <f>+H300</f>
        <v>Prestación de servicio educativo</v>
      </c>
      <c r="AU300" s="7" t="str">
        <f t="shared" si="45"/>
        <v>26Prestación de servicio educativo28315024554</v>
      </c>
      <c r="AV300" t="str">
        <f>+_xlfn.XLOOKUP(AU300,CRUCE!I:I,CRUCE!M:M)</f>
        <v>READY</v>
      </c>
      <c r="AW300" t="s">
        <v>1907</v>
      </c>
      <c r="AX300">
        <f>+SUMIFS(CRUCE!C:C,CRUCE!A:A,D300,CRUCE!B:B,'2021'!H300)</f>
        <v>28315024554</v>
      </c>
    </row>
    <row r="301" spans="1:50" hidden="1" x14ac:dyDescent="0.3">
      <c r="A301">
        <v>2021</v>
      </c>
      <c r="B301">
        <v>314</v>
      </c>
      <c r="C301">
        <v>110206006</v>
      </c>
      <c r="D301" s="5" t="s">
        <v>44</v>
      </c>
      <c r="E301" s="8" t="s">
        <v>570</v>
      </c>
      <c r="F301">
        <v>110206006</v>
      </c>
      <c r="H301" s="8" t="s">
        <v>267</v>
      </c>
      <c r="I301" t="s">
        <v>558</v>
      </c>
      <c r="J301" s="11">
        <v>12840000000</v>
      </c>
      <c r="K301" s="11">
        <v>12840000000</v>
      </c>
      <c r="L301" s="11">
        <v>2622722255.4000001</v>
      </c>
      <c r="M301" s="11">
        <v>2811152214</v>
      </c>
      <c r="N301" s="11">
        <v>-188429958.59999999</v>
      </c>
      <c r="O301" s="11">
        <v>2622722255.4000001</v>
      </c>
      <c r="P301" s="11">
        <v>2811152214</v>
      </c>
      <c r="Q301" s="11">
        <v>12651570041.4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13654941929.67</v>
      </c>
      <c r="Y301" s="11">
        <v>1003371888.27</v>
      </c>
      <c r="Z301" s="17">
        <v>12651570041.4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v>0</v>
      </c>
      <c r="AG301" s="11">
        <v>13654941929.67</v>
      </c>
      <c r="AH301" s="11">
        <v>1003371888.27</v>
      </c>
      <c r="AI301" s="12">
        <v>12651570041.4</v>
      </c>
      <c r="AJ301" s="11">
        <v>12651570041.4</v>
      </c>
      <c r="AK301" s="11">
        <v>0</v>
      </c>
      <c r="AL301" s="11">
        <v>0</v>
      </c>
      <c r="AM301" s="11">
        <v>12651570041.4</v>
      </c>
      <c r="AN301" s="11">
        <v>13654941929.67</v>
      </c>
      <c r="AO301" s="11">
        <v>1003371888.27</v>
      </c>
      <c r="AP301" s="11">
        <v>13654941929.67</v>
      </c>
      <c r="AQ301" s="11">
        <v>0</v>
      </c>
      <c r="AR301" s="11">
        <v>1003371888.27</v>
      </c>
      <c r="AS301" t="s">
        <v>48</v>
      </c>
      <c r="AT301"/>
    </row>
    <row r="302" spans="1:50" hidden="1" x14ac:dyDescent="0.3">
      <c r="A302">
        <v>2021</v>
      </c>
      <c r="B302">
        <v>314</v>
      </c>
      <c r="C302">
        <v>11020600606</v>
      </c>
      <c r="D302" s="5" t="s">
        <v>44</v>
      </c>
      <c r="E302" s="8" t="s">
        <v>571</v>
      </c>
      <c r="F302">
        <v>11020600606</v>
      </c>
      <c r="H302" s="8" t="s">
        <v>269</v>
      </c>
      <c r="I302" t="s">
        <v>558</v>
      </c>
      <c r="J302" s="11">
        <v>12840000000</v>
      </c>
      <c r="K302" s="11">
        <v>12840000000</v>
      </c>
      <c r="L302" s="11">
        <v>2622722255.4000001</v>
      </c>
      <c r="M302" s="11">
        <v>2811152214</v>
      </c>
      <c r="N302" s="11">
        <v>-188429958.59999999</v>
      </c>
      <c r="O302" s="11">
        <v>2622722255.4000001</v>
      </c>
      <c r="P302" s="11">
        <v>2811152214</v>
      </c>
      <c r="Q302" s="11">
        <v>12651570041.4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13654941929.67</v>
      </c>
      <c r="Y302" s="11">
        <v>1003371888.27</v>
      </c>
      <c r="Z302" s="17">
        <v>12651570041.4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v>0</v>
      </c>
      <c r="AG302" s="11">
        <v>13654941929.67</v>
      </c>
      <c r="AH302" s="11">
        <v>1003371888.27</v>
      </c>
      <c r="AI302" s="12">
        <v>12651570041.4</v>
      </c>
      <c r="AJ302" s="11">
        <v>12651570041.4</v>
      </c>
      <c r="AK302" s="11">
        <v>0</v>
      </c>
      <c r="AL302" s="11">
        <v>0</v>
      </c>
      <c r="AM302" s="11">
        <v>12651570041.4</v>
      </c>
      <c r="AN302" s="11">
        <v>13654941929.67</v>
      </c>
      <c r="AO302" s="11">
        <v>1003371888.27</v>
      </c>
      <c r="AP302" s="11">
        <v>13654941929.67</v>
      </c>
      <c r="AQ302" s="11">
        <v>0</v>
      </c>
      <c r="AR302" s="11">
        <v>1003371888.27</v>
      </c>
      <c r="AS302" t="s">
        <v>48</v>
      </c>
      <c r="AT302"/>
    </row>
    <row r="303" spans="1:50" hidden="1" x14ac:dyDescent="0.3">
      <c r="A303">
        <v>2021</v>
      </c>
      <c r="B303">
        <v>314</v>
      </c>
      <c r="C303">
        <v>1102060060600</v>
      </c>
      <c r="D303" s="5" t="s">
        <v>44</v>
      </c>
      <c r="E303" s="8" t="s">
        <v>572</v>
      </c>
      <c r="F303">
        <v>1102060060600</v>
      </c>
      <c r="H303" s="8" t="s">
        <v>269</v>
      </c>
      <c r="I303" t="s">
        <v>558</v>
      </c>
      <c r="J303" s="11">
        <v>12840000000</v>
      </c>
      <c r="K303" s="11">
        <v>12840000000</v>
      </c>
      <c r="L303" s="11">
        <v>2622722255.4000001</v>
      </c>
      <c r="M303" s="11">
        <v>2811152214</v>
      </c>
      <c r="N303" s="11">
        <v>-188429958.59999999</v>
      </c>
      <c r="O303" s="11">
        <v>2622722255.4000001</v>
      </c>
      <c r="P303" s="11">
        <v>2811152214</v>
      </c>
      <c r="Q303" s="11">
        <v>12651570041.4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13654941929.67</v>
      </c>
      <c r="Y303" s="11">
        <v>1003371888.27</v>
      </c>
      <c r="Z303" s="17">
        <v>12651570041.4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v>0</v>
      </c>
      <c r="AG303" s="11">
        <v>13654941929.67</v>
      </c>
      <c r="AH303" s="11">
        <v>1003371888.27</v>
      </c>
      <c r="AI303" s="12">
        <v>12651570041.4</v>
      </c>
      <c r="AJ303" s="11">
        <v>12651570041.4</v>
      </c>
      <c r="AK303" s="11">
        <v>0</v>
      </c>
      <c r="AL303" s="11">
        <v>0</v>
      </c>
      <c r="AM303" s="11">
        <v>12651570041.4</v>
      </c>
      <c r="AN303" s="11">
        <v>13654941929.67</v>
      </c>
      <c r="AO303" s="11">
        <v>1003371888.27</v>
      </c>
      <c r="AP303" s="11">
        <v>13654941929.67</v>
      </c>
      <c r="AQ303" s="11">
        <v>0</v>
      </c>
      <c r="AR303" s="11">
        <v>1003371888.27</v>
      </c>
      <c r="AS303" t="s">
        <v>48</v>
      </c>
      <c r="AT303"/>
    </row>
    <row r="304" spans="1:50" hidden="1" x14ac:dyDescent="0.3">
      <c r="A304">
        <v>2021</v>
      </c>
      <c r="B304">
        <v>314</v>
      </c>
      <c r="C304">
        <v>110206006060000</v>
      </c>
      <c r="D304" s="5" t="s">
        <v>44</v>
      </c>
      <c r="E304" s="8" t="s">
        <v>573</v>
      </c>
      <c r="F304">
        <v>110206006060000</v>
      </c>
      <c r="H304" s="8" t="s">
        <v>269</v>
      </c>
      <c r="I304" t="s">
        <v>558</v>
      </c>
      <c r="J304" s="11">
        <v>12840000000</v>
      </c>
      <c r="K304" s="11">
        <v>12840000000</v>
      </c>
      <c r="L304" s="11">
        <v>2622722255.4000001</v>
      </c>
      <c r="M304" s="11">
        <v>2811152214</v>
      </c>
      <c r="N304" s="11">
        <v>-188429958.59999999</v>
      </c>
      <c r="O304" s="11">
        <v>2622722255.4000001</v>
      </c>
      <c r="P304" s="11">
        <v>2811152214</v>
      </c>
      <c r="Q304" s="11">
        <v>12651570041.4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13654941929.67</v>
      </c>
      <c r="Y304" s="11">
        <v>1003371888.27</v>
      </c>
      <c r="Z304" s="17">
        <v>12651570041.4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v>0</v>
      </c>
      <c r="AG304" s="11">
        <v>13654941929.67</v>
      </c>
      <c r="AH304" s="11">
        <v>1003371888.27</v>
      </c>
      <c r="AI304" s="12">
        <v>12651570041.4</v>
      </c>
      <c r="AJ304" s="11">
        <v>12651570041.4</v>
      </c>
      <c r="AK304" s="11">
        <v>0</v>
      </c>
      <c r="AL304" s="11">
        <v>0</v>
      </c>
      <c r="AM304" s="11">
        <v>12651570041.4</v>
      </c>
      <c r="AN304" s="11">
        <v>13654941929.67</v>
      </c>
      <c r="AO304" s="11">
        <v>1003371888.27</v>
      </c>
      <c r="AP304" s="11">
        <v>13654941929.67</v>
      </c>
      <c r="AQ304" s="11">
        <v>0</v>
      </c>
      <c r="AR304" s="11">
        <v>1003371888.27</v>
      </c>
      <c r="AS304" t="s">
        <v>48</v>
      </c>
      <c r="AT304"/>
    </row>
    <row r="305" spans="1:50" hidden="1" x14ac:dyDescent="0.3">
      <c r="A305">
        <v>2021</v>
      </c>
      <c r="B305">
        <v>314</v>
      </c>
      <c r="C305">
        <v>1.1020600606E+17</v>
      </c>
      <c r="D305" s="5" t="s">
        <v>44</v>
      </c>
      <c r="E305" s="8" t="s">
        <v>574</v>
      </c>
      <c r="F305">
        <v>1.1020600606E+17</v>
      </c>
      <c r="H305" s="8" t="s">
        <v>269</v>
      </c>
      <c r="I305" t="s">
        <v>558</v>
      </c>
      <c r="J305" s="11">
        <v>12840000000</v>
      </c>
      <c r="K305" s="11">
        <v>12840000000</v>
      </c>
      <c r="L305" s="11">
        <v>2622722255.4000001</v>
      </c>
      <c r="M305" s="11">
        <v>2811152214</v>
      </c>
      <c r="N305" s="11">
        <v>-188429958.59999999</v>
      </c>
      <c r="O305" s="11">
        <v>2622722255.4000001</v>
      </c>
      <c r="P305" s="11">
        <v>2811152214</v>
      </c>
      <c r="Q305" s="11">
        <v>12651570041.4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13654941929.67</v>
      </c>
      <c r="Y305" s="11">
        <v>1003371888.27</v>
      </c>
      <c r="Z305" s="17">
        <v>12651570041.4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v>0</v>
      </c>
      <c r="AG305" s="11">
        <v>13654941929.67</v>
      </c>
      <c r="AH305" s="11">
        <v>1003371888.27</v>
      </c>
      <c r="AI305" s="12">
        <v>12651570041.4</v>
      </c>
      <c r="AJ305" s="11">
        <v>12651570041.4</v>
      </c>
      <c r="AK305" s="11">
        <v>0</v>
      </c>
      <c r="AL305" s="11">
        <v>0</v>
      </c>
      <c r="AM305" s="11">
        <v>12651570041.4</v>
      </c>
      <c r="AN305" s="11">
        <v>13654941929.67</v>
      </c>
      <c r="AO305" s="11">
        <v>1003371888.27</v>
      </c>
      <c r="AP305" s="11">
        <v>13654941929.67</v>
      </c>
      <c r="AQ305" s="11">
        <v>0</v>
      </c>
      <c r="AR305" s="11">
        <v>1003371888.27</v>
      </c>
      <c r="AS305" t="s">
        <v>48</v>
      </c>
      <c r="AT305"/>
    </row>
    <row r="306" spans="1:50" hidden="1" x14ac:dyDescent="0.3">
      <c r="A306">
        <v>2021</v>
      </c>
      <c r="B306">
        <v>314</v>
      </c>
      <c r="C306">
        <v>1.1020600606E+20</v>
      </c>
      <c r="D306" s="5" t="s">
        <v>44</v>
      </c>
      <c r="E306" s="8" t="s">
        <v>575</v>
      </c>
      <c r="F306">
        <v>1.1020600606E+20</v>
      </c>
      <c r="H306" s="8" t="s">
        <v>269</v>
      </c>
      <c r="I306" t="s">
        <v>558</v>
      </c>
      <c r="J306" s="11">
        <v>12840000000</v>
      </c>
      <c r="K306" s="11">
        <v>12840000000</v>
      </c>
      <c r="L306" s="11">
        <v>2622722255.4000001</v>
      </c>
      <c r="M306" s="11">
        <v>2811152214</v>
      </c>
      <c r="N306" s="11">
        <v>-188429958.59999999</v>
      </c>
      <c r="O306" s="11">
        <v>2622722255.4000001</v>
      </c>
      <c r="P306" s="11">
        <v>2811152214</v>
      </c>
      <c r="Q306" s="11">
        <v>12651570041.4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13654941929.67</v>
      </c>
      <c r="Y306" s="11">
        <v>1003371888.27</v>
      </c>
      <c r="Z306" s="17">
        <v>12651570041.4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0</v>
      </c>
      <c r="AG306" s="11">
        <v>13654941929.67</v>
      </c>
      <c r="AH306" s="11">
        <v>1003371888.27</v>
      </c>
      <c r="AI306" s="12">
        <v>12651570041.4</v>
      </c>
      <c r="AJ306" s="11">
        <v>12651570041.4</v>
      </c>
      <c r="AK306" s="11">
        <v>0</v>
      </c>
      <c r="AL306" s="11">
        <v>0</v>
      </c>
      <c r="AM306" s="11">
        <v>12651570041.4</v>
      </c>
      <c r="AN306" s="11">
        <v>13654941929.67</v>
      </c>
      <c r="AO306" s="11">
        <v>1003371888.27</v>
      </c>
      <c r="AP306" s="11">
        <v>13654941929.67</v>
      </c>
      <c r="AQ306" s="11">
        <v>0</v>
      </c>
      <c r="AR306" s="11">
        <v>1003371888.27</v>
      </c>
      <c r="AS306" t="s">
        <v>48</v>
      </c>
      <c r="AT306"/>
    </row>
    <row r="307" spans="1:50" x14ac:dyDescent="0.3">
      <c r="A307">
        <v>2021</v>
      </c>
      <c r="B307">
        <v>314</v>
      </c>
      <c r="C307">
        <v>1.1020600605999999E+35</v>
      </c>
      <c r="D307" s="5">
        <v>173</v>
      </c>
      <c r="E307" s="8" t="s">
        <v>576</v>
      </c>
      <c r="F307">
        <v>1.1020600605999999E+35</v>
      </c>
      <c r="G307" t="s">
        <v>1908</v>
      </c>
      <c r="H307" s="8" t="s">
        <v>577</v>
      </c>
      <c r="I307" t="s">
        <v>558</v>
      </c>
      <c r="J307" s="11">
        <v>0</v>
      </c>
      <c r="K307" s="11">
        <v>0</v>
      </c>
      <c r="L307" s="11">
        <v>1522780551</v>
      </c>
      <c r="M307" s="11">
        <v>0</v>
      </c>
      <c r="N307" s="11">
        <v>1522780551</v>
      </c>
      <c r="O307" s="11">
        <v>1522780551</v>
      </c>
      <c r="P307" s="11">
        <v>0</v>
      </c>
      <c r="Q307" s="11">
        <v>1522780551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1522780551</v>
      </c>
      <c r="Y307" s="11">
        <v>0</v>
      </c>
      <c r="Z307" s="17">
        <v>1522780551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1522780551</v>
      </c>
      <c r="AH307" s="11">
        <v>0</v>
      </c>
      <c r="AI307" s="12">
        <v>1522780551</v>
      </c>
      <c r="AJ307" s="11">
        <v>1522780551</v>
      </c>
      <c r="AK307" s="11">
        <v>0</v>
      </c>
      <c r="AL307" s="11">
        <v>0</v>
      </c>
      <c r="AM307" s="11">
        <v>1522780551</v>
      </c>
      <c r="AN307" s="11">
        <v>1522780551</v>
      </c>
      <c r="AO307" s="11">
        <v>0</v>
      </c>
      <c r="AP307" s="11">
        <v>1522780551</v>
      </c>
      <c r="AQ307" s="11">
        <v>0</v>
      </c>
      <c r="AR307" s="11">
        <v>0</v>
      </c>
      <c r="AS307" t="s">
        <v>578</v>
      </c>
      <c r="AT307" s="4" t="str">
        <f t="shared" ref="AT307:AT319" si="46">+H307</f>
        <v>Ministerio de Educación Nacional</v>
      </c>
      <c r="AU307" s="7" t="str">
        <f t="shared" ref="AU307:AU319" si="47">+$D307&amp;$AT307&amp;Z307</f>
        <v>173Ministerio de Educación Nacional1522780551</v>
      </c>
      <c r="AV307" t="str">
        <f>+_xlfn.XLOOKUP(AU307,CRUCE!I:I,CRUCE!M:M)</f>
        <v>READY</v>
      </c>
      <c r="AW307" t="s">
        <v>1907</v>
      </c>
      <c r="AX307">
        <f>+SUMIFS(CRUCE!C:C,CRUCE!A:A,D307,CRUCE!B:B,'2021'!H307)</f>
        <v>1522780551</v>
      </c>
    </row>
    <row r="308" spans="1:50" x14ac:dyDescent="0.3">
      <c r="A308">
        <v>2021</v>
      </c>
      <c r="B308">
        <v>314</v>
      </c>
      <c r="C308">
        <v>1.1020600605999999E+35</v>
      </c>
      <c r="D308" s="5">
        <v>81</v>
      </c>
      <c r="E308" s="8" t="s">
        <v>579</v>
      </c>
      <c r="F308">
        <v>1.1020600605999999E+35</v>
      </c>
      <c r="G308" t="s">
        <v>1908</v>
      </c>
      <c r="H308" s="8" t="s">
        <v>580</v>
      </c>
      <c r="I308" t="s">
        <v>558</v>
      </c>
      <c r="J308" s="11">
        <v>12840000000</v>
      </c>
      <c r="K308" s="11">
        <v>12840000000</v>
      </c>
      <c r="L308" s="11">
        <v>537539933</v>
      </c>
      <c r="M308" s="11">
        <v>2811152214</v>
      </c>
      <c r="N308" s="11">
        <v>-2273612281</v>
      </c>
      <c r="O308" s="11">
        <v>537539933</v>
      </c>
      <c r="P308" s="11">
        <v>2811152214</v>
      </c>
      <c r="Q308" s="11">
        <v>10566387719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11569759607.27</v>
      </c>
      <c r="Y308" s="11">
        <v>1003371888.27</v>
      </c>
      <c r="Z308" s="17">
        <v>10566387719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11569759607.27</v>
      </c>
      <c r="AH308" s="11">
        <v>1003371888.27</v>
      </c>
      <c r="AI308" s="12">
        <v>10566387719</v>
      </c>
      <c r="AJ308" s="11">
        <v>10566387719</v>
      </c>
      <c r="AK308" s="11">
        <v>0</v>
      </c>
      <c r="AL308" s="11">
        <v>0</v>
      </c>
      <c r="AM308" s="11">
        <v>10566387719</v>
      </c>
      <c r="AN308" s="11">
        <v>11569759607.27</v>
      </c>
      <c r="AO308" s="11">
        <v>1003371888.27</v>
      </c>
      <c r="AP308" s="11">
        <v>11569759607.27</v>
      </c>
      <c r="AQ308" s="11">
        <v>0</v>
      </c>
      <c r="AR308" s="11">
        <v>1003371888.27</v>
      </c>
      <c r="AS308" t="s">
        <v>581</v>
      </c>
      <c r="AT308" s="4" t="str">
        <f t="shared" si="46"/>
        <v>U.A.E. de Alimentación Escolar - Alimentos para Aprender (UAPA)</v>
      </c>
      <c r="AU308" s="7" t="str">
        <f t="shared" si="47"/>
        <v>81U.A.E. de Alimentación Escolar - Alimentos para Aprender (UAPA)10566387719</v>
      </c>
      <c r="AV308" t="str">
        <f>+_xlfn.XLOOKUP(AU308,CRUCE!I:I,CRUCE!M:M)</f>
        <v>READY</v>
      </c>
      <c r="AW308" t="s">
        <v>1907</v>
      </c>
      <c r="AX308">
        <f>+SUMIFS(CRUCE!C:C,CRUCE!A:A,D308,CRUCE!B:B,'2021'!H308)</f>
        <v>10566387719</v>
      </c>
    </row>
    <row r="309" spans="1:50" x14ac:dyDescent="0.3">
      <c r="A309">
        <v>2021</v>
      </c>
      <c r="B309">
        <v>314</v>
      </c>
      <c r="C309">
        <v>1.1020600605999999E+35</v>
      </c>
      <c r="D309" s="5">
        <v>172</v>
      </c>
      <c r="E309" s="8" t="s">
        <v>582</v>
      </c>
      <c r="F309">
        <v>1.1020600605999999E+35</v>
      </c>
      <c r="G309" t="s">
        <v>1908</v>
      </c>
      <c r="H309" s="8" t="s">
        <v>327</v>
      </c>
      <c r="I309" t="s">
        <v>558</v>
      </c>
      <c r="J309" s="11">
        <v>0</v>
      </c>
      <c r="K309" s="11">
        <v>0</v>
      </c>
      <c r="L309" s="11">
        <v>7492204</v>
      </c>
      <c r="M309" s="11">
        <v>0</v>
      </c>
      <c r="N309" s="11">
        <v>7492204</v>
      </c>
      <c r="O309" s="11">
        <v>7492204</v>
      </c>
      <c r="P309" s="11">
        <v>0</v>
      </c>
      <c r="Q309" s="11">
        <v>7492204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7492204</v>
      </c>
      <c r="Y309" s="11">
        <v>0</v>
      </c>
      <c r="Z309" s="17">
        <v>7492204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v>0</v>
      </c>
      <c r="AG309" s="11">
        <v>7492204</v>
      </c>
      <c r="AH309" s="11">
        <v>0</v>
      </c>
      <c r="AI309" s="12">
        <v>7492204</v>
      </c>
      <c r="AJ309" s="11">
        <v>7492204</v>
      </c>
      <c r="AK309" s="11">
        <v>0</v>
      </c>
      <c r="AL309" s="11">
        <v>0</v>
      </c>
      <c r="AM309" s="11">
        <v>7492204</v>
      </c>
      <c r="AN309" s="11">
        <v>7492204</v>
      </c>
      <c r="AO309" s="11">
        <v>0</v>
      </c>
      <c r="AP309" s="11">
        <v>7492204</v>
      </c>
      <c r="AQ309" s="11">
        <v>0</v>
      </c>
      <c r="AR309" s="11">
        <v>0</v>
      </c>
      <c r="AS309" t="s">
        <v>583</v>
      </c>
      <c r="AT309" s="4" t="str">
        <f t="shared" si="46"/>
        <v>Buenavista - Quindío</v>
      </c>
      <c r="AU309" s="7" t="str">
        <f t="shared" si="47"/>
        <v>172Buenavista - Quindío7492204</v>
      </c>
      <c r="AV309" t="str">
        <f>+_xlfn.XLOOKUP(AU309,CRUCE!I:I,CRUCE!M:M)</f>
        <v>READY</v>
      </c>
      <c r="AW309" t="s">
        <v>1907</v>
      </c>
      <c r="AX309">
        <f>+SUMIFS(CRUCE!C:C,CRUCE!A:A,D309,CRUCE!B:B,'2021'!H309)</f>
        <v>7492204</v>
      </c>
    </row>
    <row r="310" spans="1:50" x14ac:dyDescent="0.3">
      <c r="A310">
        <v>2021</v>
      </c>
      <c r="B310">
        <v>314</v>
      </c>
      <c r="C310">
        <v>1.1020600605999999E+35</v>
      </c>
      <c r="D310" s="5">
        <v>172</v>
      </c>
      <c r="E310" s="8" t="s">
        <v>584</v>
      </c>
      <c r="F310">
        <v>1.1020600605999999E+35</v>
      </c>
      <c r="G310" t="s">
        <v>1908</v>
      </c>
      <c r="H310" s="8" t="s">
        <v>585</v>
      </c>
      <c r="I310" t="s">
        <v>558</v>
      </c>
      <c r="J310" s="11">
        <v>0</v>
      </c>
      <c r="K310" s="11">
        <v>0</v>
      </c>
      <c r="L310" s="11">
        <v>136707538</v>
      </c>
      <c r="M310" s="11">
        <v>0</v>
      </c>
      <c r="N310" s="11">
        <v>136707538</v>
      </c>
      <c r="O310" s="11">
        <v>136707538</v>
      </c>
      <c r="P310" s="11">
        <v>0</v>
      </c>
      <c r="Q310" s="11">
        <v>136707538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136707538</v>
      </c>
      <c r="Y310" s="11">
        <v>0</v>
      </c>
      <c r="Z310" s="17">
        <v>136707538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0</v>
      </c>
      <c r="AG310" s="11">
        <v>136707538</v>
      </c>
      <c r="AH310" s="11">
        <v>0</v>
      </c>
      <c r="AI310" s="12">
        <v>136707538</v>
      </c>
      <c r="AJ310" s="11">
        <v>136707538</v>
      </c>
      <c r="AK310" s="11">
        <v>0</v>
      </c>
      <c r="AL310" s="11">
        <v>0</v>
      </c>
      <c r="AM310" s="11">
        <v>136707538</v>
      </c>
      <c r="AN310" s="11">
        <v>136707538</v>
      </c>
      <c r="AO310" s="11">
        <v>0</v>
      </c>
      <c r="AP310" s="11">
        <v>136707538</v>
      </c>
      <c r="AQ310" s="11">
        <v>0</v>
      </c>
      <c r="AR310" s="11">
        <v>0</v>
      </c>
      <c r="AS310" t="s">
        <v>583</v>
      </c>
      <c r="AT310" s="4" t="str">
        <f t="shared" si="46"/>
        <v>Calarcá</v>
      </c>
      <c r="AU310" s="7" t="str">
        <f t="shared" si="47"/>
        <v>172Calarcá136707538</v>
      </c>
      <c r="AV310" t="str">
        <f>+_xlfn.XLOOKUP(AU310,CRUCE!I:I,CRUCE!M:M)</f>
        <v>READY</v>
      </c>
      <c r="AW310" t="s">
        <v>1907</v>
      </c>
      <c r="AX310">
        <f>+SUMIFS(CRUCE!C:C,CRUCE!A:A,D310,CRUCE!B:B,'2021'!H310)</f>
        <v>136707538</v>
      </c>
    </row>
    <row r="311" spans="1:50" x14ac:dyDescent="0.3">
      <c r="A311">
        <v>2021</v>
      </c>
      <c r="B311">
        <v>314</v>
      </c>
      <c r="C311">
        <v>1.1020600605999999E+35</v>
      </c>
      <c r="D311" s="5">
        <v>172</v>
      </c>
      <c r="E311" s="8" t="s">
        <v>586</v>
      </c>
      <c r="F311">
        <v>1.1020600605999999E+35</v>
      </c>
      <c r="G311" t="s">
        <v>1908</v>
      </c>
      <c r="H311" s="8" t="s">
        <v>329</v>
      </c>
      <c r="I311" t="s">
        <v>558</v>
      </c>
      <c r="J311" s="11">
        <v>0</v>
      </c>
      <c r="K311" s="11">
        <v>0</v>
      </c>
      <c r="L311" s="11">
        <v>41940940</v>
      </c>
      <c r="M311" s="11">
        <v>0</v>
      </c>
      <c r="N311" s="11">
        <v>41940940</v>
      </c>
      <c r="O311" s="11">
        <v>41940940</v>
      </c>
      <c r="P311" s="11">
        <v>0</v>
      </c>
      <c r="Q311" s="11">
        <v>41940940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41940940</v>
      </c>
      <c r="Y311" s="11">
        <v>0</v>
      </c>
      <c r="Z311" s="17">
        <v>41940940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0</v>
      </c>
      <c r="AG311" s="11">
        <v>41940940</v>
      </c>
      <c r="AH311" s="11">
        <v>0</v>
      </c>
      <c r="AI311" s="12">
        <v>41940940</v>
      </c>
      <c r="AJ311" s="11">
        <v>41940940</v>
      </c>
      <c r="AK311" s="11">
        <v>0</v>
      </c>
      <c r="AL311" s="11">
        <v>0</v>
      </c>
      <c r="AM311" s="11">
        <v>41940940</v>
      </c>
      <c r="AN311" s="11">
        <v>41940940</v>
      </c>
      <c r="AO311" s="11">
        <v>0</v>
      </c>
      <c r="AP311" s="11">
        <v>41940940</v>
      </c>
      <c r="AQ311" s="11">
        <v>0</v>
      </c>
      <c r="AR311" s="11">
        <v>0</v>
      </c>
      <c r="AS311" t="s">
        <v>583</v>
      </c>
      <c r="AT311" s="4" t="str">
        <f t="shared" si="46"/>
        <v>Circasia</v>
      </c>
      <c r="AU311" s="7" t="str">
        <f t="shared" si="47"/>
        <v>172Circasia41940940</v>
      </c>
      <c r="AV311" t="str">
        <f>+_xlfn.XLOOKUP(AU311,CRUCE!I:I,CRUCE!M:M)</f>
        <v>READY</v>
      </c>
      <c r="AW311" t="s">
        <v>1907</v>
      </c>
      <c r="AX311">
        <f>+SUMIFS(CRUCE!C:C,CRUCE!A:A,D311,CRUCE!B:B,'2021'!H311)</f>
        <v>41940940</v>
      </c>
    </row>
    <row r="312" spans="1:50" x14ac:dyDescent="0.3">
      <c r="A312">
        <v>2021</v>
      </c>
      <c r="B312">
        <v>314</v>
      </c>
      <c r="C312">
        <v>1.1020600605999999E+35</v>
      </c>
      <c r="D312" s="5">
        <v>172</v>
      </c>
      <c r="E312" s="8" t="s">
        <v>587</v>
      </c>
      <c r="F312">
        <v>1.1020600605999999E+35</v>
      </c>
      <c r="G312" t="s">
        <v>1908</v>
      </c>
      <c r="H312" s="8" t="s">
        <v>588</v>
      </c>
      <c r="I312" t="s">
        <v>558</v>
      </c>
      <c r="J312" s="11">
        <v>0</v>
      </c>
      <c r="K312" s="11">
        <v>0</v>
      </c>
      <c r="L312" s="11">
        <v>15127097</v>
      </c>
      <c r="M312" s="11">
        <v>0</v>
      </c>
      <c r="N312" s="11">
        <v>15127097</v>
      </c>
      <c r="O312" s="11">
        <v>15127097</v>
      </c>
      <c r="P312" s="11">
        <v>0</v>
      </c>
      <c r="Q312" s="11">
        <v>15127097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15127097</v>
      </c>
      <c r="Y312" s="11">
        <v>0</v>
      </c>
      <c r="Z312" s="17">
        <v>15127097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0</v>
      </c>
      <c r="AG312" s="11">
        <v>15127097</v>
      </c>
      <c r="AH312" s="11">
        <v>0</v>
      </c>
      <c r="AI312" s="12">
        <v>15127097</v>
      </c>
      <c r="AJ312" s="11">
        <v>15127097</v>
      </c>
      <c r="AK312" s="11">
        <v>0</v>
      </c>
      <c r="AL312" s="11">
        <v>0</v>
      </c>
      <c r="AM312" s="11">
        <v>15127097</v>
      </c>
      <c r="AN312" s="11">
        <v>15127097</v>
      </c>
      <c r="AO312" s="11">
        <v>0</v>
      </c>
      <c r="AP312" s="11">
        <v>15127097</v>
      </c>
      <c r="AQ312" s="11">
        <v>0</v>
      </c>
      <c r="AR312" s="11">
        <v>0</v>
      </c>
      <c r="AS312" t="s">
        <v>583</v>
      </c>
      <c r="AT312" s="4" t="str">
        <f t="shared" si="46"/>
        <v>Córdoba - Quindío</v>
      </c>
      <c r="AU312" s="7" t="str">
        <f t="shared" si="47"/>
        <v>172Córdoba - Quindío15127097</v>
      </c>
      <c r="AV312" t="str">
        <f>+_xlfn.XLOOKUP(AU312,CRUCE!I:I,CRUCE!M:M)</f>
        <v>READY</v>
      </c>
      <c r="AW312" t="s">
        <v>1907</v>
      </c>
      <c r="AX312">
        <f>+SUMIFS(CRUCE!C:C,CRUCE!A:A,D312,CRUCE!B:B,'2021'!H312)</f>
        <v>15127097</v>
      </c>
    </row>
    <row r="313" spans="1:50" x14ac:dyDescent="0.3">
      <c r="A313">
        <v>2021</v>
      </c>
      <c r="B313">
        <v>314</v>
      </c>
      <c r="C313">
        <v>1.1020600605999999E+35</v>
      </c>
      <c r="D313" s="5">
        <v>172</v>
      </c>
      <c r="E313" s="8" t="s">
        <v>589</v>
      </c>
      <c r="F313">
        <v>1.1020600605999999E+35</v>
      </c>
      <c r="G313" t="s">
        <v>1908</v>
      </c>
      <c r="H313" s="8" t="s">
        <v>331</v>
      </c>
      <c r="I313" t="s">
        <v>558</v>
      </c>
      <c r="J313" s="11">
        <v>0</v>
      </c>
      <c r="K313" s="11">
        <v>0</v>
      </c>
      <c r="L313" s="11">
        <v>33169977</v>
      </c>
      <c r="M313" s="11">
        <v>0</v>
      </c>
      <c r="N313" s="11">
        <v>33169977</v>
      </c>
      <c r="O313" s="11">
        <v>33169977</v>
      </c>
      <c r="P313" s="11">
        <v>0</v>
      </c>
      <c r="Q313" s="11">
        <v>33169977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33169977</v>
      </c>
      <c r="Y313" s="11">
        <v>0</v>
      </c>
      <c r="Z313" s="17">
        <v>33169977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1">
        <v>33169977</v>
      </c>
      <c r="AH313" s="11">
        <v>0</v>
      </c>
      <c r="AI313" s="12">
        <v>33169977</v>
      </c>
      <c r="AJ313" s="11">
        <v>33169977</v>
      </c>
      <c r="AK313" s="11">
        <v>0</v>
      </c>
      <c r="AL313" s="11">
        <v>0</v>
      </c>
      <c r="AM313" s="11">
        <v>33169977</v>
      </c>
      <c r="AN313" s="11">
        <v>33169977</v>
      </c>
      <c r="AO313" s="11">
        <v>0</v>
      </c>
      <c r="AP313" s="11">
        <v>33169977</v>
      </c>
      <c r="AQ313" s="11">
        <v>0</v>
      </c>
      <c r="AR313" s="11">
        <v>0</v>
      </c>
      <c r="AS313" t="s">
        <v>583</v>
      </c>
      <c r="AT313" s="4" t="str">
        <f t="shared" si="46"/>
        <v>Filandia</v>
      </c>
      <c r="AU313" s="7" t="str">
        <f t="shared" si="47"/>
        <v>172Filandia33169977</v>
      </c>
      <c r="AV313" t="str">
        <f>+_xlfn.XLOOKUP(AU313,CRUCE!I:I,CRUCE!M:M)</f>
        <v>READY</v>
      </c>
      <c r="AW313" t="s">
        <v>1907</v>
      </c>
      <c r="AX313">
        <f>+SUMIFS(CRUCE!C:C,CRUCE!A:A,D313,CRUCE!B:B,'2021'!H313)</f>
        <v>33169977</v>
      </c>
    </row>
    <row r="314" spans="1:50" x14ac:dyDescent="0.3">
      <c r="A314">
        <v>2021</v>
      </c>
      <c r="B314">
        <v>314</v>
      </c>
      <c r="C314">
        <v>1.1020600605999999E+35</v>
      </c>
      <c r="D314" s="5">
        <v>172</v>
      </c>
      <c r="E314" s="8" t="s">
        <v>590</v>
      </c>
      <c r="F314">
        <v>1.1020600605999999E+35</v>
      </c>
      <c r="G314" t="s">
        <v>1908</v>
      </c>
      <c r="H314" s="8" t="s">
        <v>333</v>
      </c>
      <c r="I314" t="s">
        <v>558</v>
      </c>
      <c r="J314" s="11">
        <v>0</v>
      </c>
      <c r="K314" s="11">
        <v>0</v>
      </c>
      <c r="L314" s="11">
        <v>23113168</v>
      </c>
      <c r="M314" s="11">
        <v>0</v>
      </c>
      <c r="N314" s="11">
        <v>23113168</v>
      </c>
      <c r="O314" s="11">
        <v>23113168</v>
      </c>
      <c r="P314" s="11">
        <v>0</v>
      </c>
      <c r="Q314" s="11">
        <v>23113168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23113168</v>
      </c>
      <c r="Y314" s="11">
        <v>0</v>
      </c>
      <c r="Z314" s="17">
        <v>23113168</v>
      </c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11">
        <v>0</v>
      </c>
      <c r="AG314" s="11">
        <v>23113168</v>
      </c>
      <c r="AH314" s="11">
        <v>0</v>
      </c>
      <c r="AI314" s="12">
        <v>23113168</v>
      </c>
      <c r="AJ314" s="11">
        <v>23113168</v>
      </c>
      <c r="AK314" s="11">
        <v>0</v>
      </c>
      <c r="AL314" s="11">
        <v>0</v>
      </c>
      <c r="AM314" s="11">
        <v>23113168</v>
      </c>
      <c r="AN314" s="11">
        <v>23113168</v>
      </c>
      <c r="AO314" s="11">
        <v>0</v>
      </c>
      <c r="AP314" s="11">
        <v>23113168</v>
      </c>
      <c r="AQ314" s="11">
        <v>0</v>
      </c>
      <c r="AR314" s="11">
        <v>0</v>
      </c>
      <c r="AS314" t="s">
        <v>583</v>
      </c>
      <c r="AT314" s="4" t="str">
        <f t="shared" si="46"/>
        <v>Génova</v>
      </c>
      <c r="AU314" s="7" t="str">
        <f t="shared" si="47"/>
        <v>172Génova23113168</v>
      </c>
      <c r="AV314" t="str">
        <f>+_xlfn.XLOOKUP(AU314,CRUCE!I:I,CRUCE!M:M)</f>
        <v>READY</v>
      </c>
      <c r="AW314" t="s">
        <v>1907</v>
      </c>
      <c r="AX314">
        <f>+SUMIFS(CRUCE!C:C,CRUCE!A:A,D314,CRUCE!B:B,'2021'!H314)</f>
        <v>23113168</v>
      </c>
    </row>
    <row r="315" spans="1:50" x14ac:dyDescent="0.3">
      <c r="A315">
        <v>2021</v>
      </c>
      <c r="B315">
        <v>314</v>
      </c>
      <c r="C315">
        <v>1.1020600605999999E+35</v>
      </c>
      <c r="D315" s="5">
        <v>172</v>
      </c>
      <c r="E315" s="8" t="s">
        <v>591</v>
      </c>
      <c r="F315">
        <v>1.1020600605999999E+35</v>
      </c>
      <c r="G315" t="s">
        <v>1908</v>
      </c>
      <c r="H315" s="8" t="s">
        <v>592</v>
      </c>
      <c r="I315" t="s">
        <v>558</v>
      </c>
      <c r="J315" s="11">
        <v>0</v>
      </c>
      <c r="K315" s="11">
        <v>0</v>
      </c>
      <c r="L315" s="11">
        <v>92275623.200000003</v>
      </c>
      <c r="M315" s="11">
        <v>0</v>
      </c>
      <c r="N315" s="11">
        <v>92275623.200000003</v>
      </c>
      <c r="O315" s="11">
        <v>92275623.200000003</v>
      </c>
      <c r="P315" s="11">
        <v>0</v>
      </c>
      <c r="Q315" s="11">
        <v>92275623.200000003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92275623.200000003</v>
      </c>
      <c r="Y315" s="11">
        <v>0</v>
      </c>
      <c r="Z315" s="17">
        <v>92275623.200000003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92275623.200000003</v>
      </c>
      <c r="AH315" s="11">
        <v>0</v>
      </c>
      <c r="AI315" s="12">
        <v>92275623.200000003</v>
      </c>
      <c r="AJ315" s="11">
        <v>92275623.200000003</v>
      </c>
      <c r="AK315" s="11">
        <v>0</v>
      </c>
      <c r="AL315" s="11">
        <v>0</v>
      </c>
      <c r="AM315" s="11">
        <v>92275623.200000003</v>
      </c>
      <c r="AN315" s="11">
        <v>92275623.200000003</v>
      </c>
      <c r="AO315" s="11">
        <v>0</v>
      </c>
      <c r="AP315" s="11">
        <v>92275623.200000003</v>
      </c>
      <c r="AQ315" s="11">
        <v>0</v>
      </c>
      <c r="AR315" s="11">
        <v>0</v>
      </c>
      <c r="AS315" t="s">
        <v>583</v>
      </c>
      <c r="AT315" s="4" t="str">
        <f t="shared" si="46"/>
        <v>La Tebaida</v>
      </c>
      <c r="AU315" s="7" t="str">
        <f t="shared" si="47"/>
        <v>172La Tebaida92275623,2</v>
      </c>
      <c r="AV315" t="str">
        <f>+_xlfn.XLOOKUP(AU315,CRUCE!I:I,CRUCE!M:M)</f>
        <v>READY</v>
      </c>
      <c r="AW315" t="s">
        <v>1907</v>
      </c>
      <c r="AX315">
        <f>+SUMIFS(CRUCE!C:C,CRUCE!A:A,D315,CRUCE!B:B,'2021'!H315)</f>
        <v>92275623.200000003</v>
      </c>
    </row>
    <row r="316" spans="1:50" x14ac:dyDescent="0.3">
      <c r="A316">
        <v>2021</v>
      </c>
      <c r="B316">
        <v>314</v>
      </c>
      <c r="C316">
        <v>1.1020600605999999E+35</v>
      </c>
      <c r="D316" s="5">
        <v>172</v>
      </c>
      <c r="E316" s="8" t="s">
        <v>593</v>
      </c>
      <c r="F316">
        <v>1.1020600605999999E+35</v>
      </c>
      <c r="G316" t="s">
        <v>1908</v>
      </c>
      <c r="H316" s="8" t="s">
        <v>335</v>
      </c>
      <c r="I316" t="s">
        <v>558</v>
      </c>
      <c r="J316" s="11">
        <v>0</v>
      </c>
      <c r="K316" s="11">
        <v>0</v>
      </c>
      <c r="L316" s="11">
        <v>110049971</v>
      </c>
      <c r="M316" s="11">
        <v>0</v>
      </c>
      <c r="N316" s="11">
        <v>110049971</v>
      </c>
      <c r="O316" s="11">
        <v>110049971</v>
      </c>
      <c r="P316" s="11">
        <v>0</v>
      </c>
      <c r="Q316" s="11">
        <v>110049971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110049971</v>
      </c>
      <c r="Y316" s="11">
        <v>0</v>
      </c>
      <c r="Z316" s="17">
        <v>110049971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110049971</v>
      </c>
      <c r="AH316" s="11">
        <v>0</v>
      </c>
      <c r="AI316" s="12">
        <v>110049971</v>
      </c>
      <c r="AJ316" s="11">
        <v>110049971</v>
      </c>
      <c r="AK316" s="11">
        <v>0</v>
      </c>
      <c r="AL316" s="11">
        <v>0</v>
      </c>
      <c r="AM316" s="11">
        <v>110049971</v>
      </c>
      <c r="AN316" s="11">
        <v>110049971</v>
      </c>
      <c r="AO316" s="11">
        <v>0</v>
      </c>
      <c r="AP316" s="11">
        <v>110049971</v>
      </c>
      <c r="AQ316" s="11">
        <v>0</v>
      </c>
      <c r="AR316" s="11">
        <v>0</v>
      </c>
      <c r="AS316" t="s">
        <v>583</v>
      </c>
      <c r="AT316" s="4" t="str">
        <f t="shared" si="46"/>
        <v>Montenegro</v>
      </c>
      <c r="AU316" s="7" t="str">
        <f t="shared" si="47"/>
        <v>172Montenegro110049971</v>
      </c>
      <c r="AV316" t="str">
        <f>+_xlfn.XLOOKUP(AU316,CRUCE!I:I,CRUCE!M:M)</f>
        <v>READY</v>
      </c>
      <c r="AW316" t="s">
        <v>1907</v>
      </c>
      <c r="AX316">
        <f>+SUMIFS(CRUCE!C:C,CRUCE!A:A,D316,CRUCE!B:B,'2021'!H316)</f>
        <v>110049971</v>
      </c>
    </row>
    <row r="317" spans="1:50" x14ac:dyDescent="0.3">
      <c r="A317">
        <v>2021</v>
      </c>
      <c r="B317">
        <v>314</v>
      </c>
      <c r="C317">
        <v>1.1020600605999999E+35</v>
      </c>
      <c r="D317" s="5">
        <v>172</v>
      </c>
      <c r="E317" s="8" t="s">
        <v>594</v>
      </c>
      <c r="F317">
        <v>1.1020600605999999E+35</v>
      </c>
      <c r="G317" t="s">
        <v>1908</v>
      </c>
      <c r="H317" s="8" t="s">
        <v>595</v>
      </c>
      <c r="I317" t="s">
        <v>558</v>
      </c>
      <c r="J317" s="11">
        <v>0</v>
      </c>
      <c r="K317" s="11">
        <v>0</v>
      </c>
      <c r="L317" s="11">
        <v>18876411.199999999</v>
      </c>
      <c r="M317" s="11">
        <v>0</v>
      </c>
      <c r="N317" s="11">
        <v>18876411.199999999</v>
      </c>
      <c r="O317" s="11">
        <v>18876411.199999999</v>
      </c>
      <c r="P317" s="11">
        <v>0</v>
      </c>
      <c r="Q317" s="11">
        <v>18876411.199999999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18876411.199999999</v>
      </c>
      <c r="Y317" s="11">
        <v>0</v>
      </c>
      <c r="Z317" s="17">
        <v>18876411.199999999</v>
      </c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11">
        <v>0</v>
      </c>
      <c r="AG317" s="11">
        <v>18876411.199999999</v>
      </c>
      <c r="AH317" s="11">
        <v>0</v>
      </c>
      <c r="AI317" s="12">
        <v>18876411.199999999</v>
      </c>
      <c r="AJ317" s="11">
        <v>18876411.199999999</v>
      </c>
      <c r="AK317" s="11">
        <v>0</v>
      </c>
      <c r="AL317" s="11">
        <v>0</v>
      </c>
      <c r="AM317" s="11">
        <v>18876411.199999999</v>
      </c>
      <c r="AN317" s="11">
        <v>18876411.199999999</v>
      </c>
      <c r="AO317" s="11">
        <v>0</v>
      </c>
      <c r="AP317" s="11">
        <v>18876411.199999999</v>
      </c>
      <c r="AQ317" s="11">
        <v>0</v>
      </c>
      <c r="AR317" s="11">
        <v>0</v>
      </c>
      <c r="AS317" t="s">
        <v>583</v>
      </c>
      <c r="AT317" s="4" t="str">
        <f t="shared" si="46"/>
        <v>Pijao</v>
      </c>
      <c r="AU317" s="7" t="str">
        <f t="shared" si="47"/>
        <v>172Pijao18876411,2</v>
      </c>
      <c r="AV317" t="str">
        <f>+_xlfn.XLOOKUP(AU317,CRUCE!I:I,CRUCE!M:M)</f>
        <v>READY</v>
      </c>
      <c r="AW317" t="s">
        <v>1907</v>
      </c>
      <c r="AX317">
        <f>+SUMIFS(CRUCE!C:C,CRUCE!A:A,D317,CRUCE!B:B,'2021'!H317)</f>
        <v>18876411.199999999</v>
      </c>
    </row>
    <row r="318" spans="1:50" x14ac:dyDescent="0.3">
      <c r="A318">
        <v>2021</v>
      </c>
      <c r="B318">
        <v>314</v>
      </c>
      <c r="C318">
        <v>1.1020600605999999E+35</v>
      </c>
      <c r="D318" s="5">
        <v>172</v>
      </c>
      <c r="E318" s="8" t="s">
        <v>596</v>
      </c>
      <c r="F318">
        <v>1.1020600605999999E+35</v>
      </c>
      <c r="G318" t="s">
        <v>1908</v>
      </c>
      <c r="H318" s="8" t="s">
        <v>337</v>
      </c>
      <c r="I318" t="s">
        <v>558</v>
      </c>
      <c r="J318" s="11">
        <v>0</v>
      </c>
      <c r="K318" s="11">
        <v>0</v>
      </c>
      <c r="L318" s="11">
        <v>69158842</v>
      </c>
      <c r="M318" s="11">
        <v>0</v>
      </c>
      <c r="N318" s="11">
        <v>69158842</v>
      </c>
      <c r="O318" s="11">
        <v>69158842</v>
      </c>
      <c r="P318" s="11">
        <v>0</v>
      </c>
      <c r="Q318" s="11">
        <v>69158842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69158842</v>
      </c>
      <c r="Y318" s="11">
        <v>0</v>
      </c>
      <c r="Z318" s="17">
        <v>69158842</v>
      </c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1">
        <v>69158842</v>
      </c>
      <c r="AH318" s="11">
        <v>0</v>
      </c>
      <c r="AI318" s="12">
        <v>69158842</v>
      </c>
      <c r="AJ318" s="11">
        <v>69158842</v>
      </c>
      <c r="AK318" s="11">
        <v>0</v>
      </c>
      <c r="AL318" s="11">
        <v>0</v>
      </c>
      <c r="AM318" s="11">
        <v>69158842</v>
      </c>
      <c r="AN318" s="11">
        <v>69158842</v>
      </c>
      <c r="AO318" s="11">
        <v>0</v>
      </c>
      <c r="AP318" s="11">
        <v>69158842</v>
      </c>
      <c r="AQ318" s="11">
        <v>0</v>
      </c>
      <c r="AR318" s="11">
        <v>0</v>
      </c>
      <c r="AS318" t="s">
        <v>583</v>
      </c>
      <c r="AT318" s="4" t="str">
        <f t="shared" si="46"/>
        <v>Quimbaya</v>
      </c>
      <c r="AU318" s="7" t="str">
        <f t="shared" si="47"/>
        <v>172Quimbaya69158842</v>
      </c>
      <c r="AV318" t="str">
        <f>+_xlfn.XLOOKUP(AU318,CRUCE!I:I,CRUCE!M:M)</f>
        <v>READY</v>
      </c>
      <c r="AW318" t="s">
        <v>1907</v>
      </c>
      <c r="AX318">
        <f>+SUMIFS(CRUCE!C:C,CRUCE!A:A,D318,CRUCE!B:B,'2021'!H318)</f>
        <v>69158842</v>
      </c>
    </row>
    <row r="319" spans="1:50" x14ac:dyDescent="0.3">
      <c r="A319">
        <v>2021</v>
      </c>
      <c r="B319">
        <v>314</v>
      </c>
      <c r="C319">
        <v>1.1020600605999999E+35</v>
      </c>
      <c r="D319" s="5">
        <v>172</v>
      </c>
      <c r="E319" s="8" t="s">
        <v>597</v>
      </c>
      <c r="F319">
        <v>1.1020600605999999E+35</v>
      </c>
      <c r="G319" t="s">
        <v>1908</v>
      </c>
      <c r="H319" s="8" t="s">
        <v>598</v>
      </c>
      <c r="I319" t="s">
        <v>558</v>
      </c>
      <c r="J319" s="11">
        <v>0</v>
      </c>
      <c r="K319" s="11">
        <v>0</v>
      </c>
      <c r="L319" s="11">
        <v>14490000</v>
      </c>
      <c r="M319" s="11">
        <v>0</v>
      </c>
      <c r="N319" s="11">
        <v>14490000</v>
      </c>
      <c r="O319" s="11">
        <v>14490000</v>
      </c>
      <c r="P319" s="11">
        <v>0</v>
      </c>
      <c r="Q319" s="11">
        <v>14490000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14490000</v>
      </c>
      <c r="Y319" s="11">
        <v>0</v>
      </c>
      <c r="Z319" s="17">
        <v>14490000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v>0</v>
      </c>
      <c r="AG319" s="11">
        <v>14490000</v>
      </c>
      <c r="AH319" s="11">
        <v>0</v>
      </c>
      <c r="AI319" s="12">
        <v>14490000</v>
      </c>
      <c r="AJ319" s="11">
        <v>14490000</v>
      </c>
      <c r="AK319" s="11">
        <v>0</v>
      </c>
      <c r="AL319" s="11">
        <v>0</v>
      </c>
      <c r="AM319" s="11">
        <v>14490000</v>
      </c>
      <c r="AN319" s="11">
        <v>14490000</v>
      </c>
      <c r="AO319" s="11">
        <v>0</v>
      </c>
      <c r="AP319" s="11">
        <v>14490000</v>
      </c>
      <c r="AQ319" s="11">
        <v>0</v>
      </c>
      <c r="AR319" s="11">
        <v>0</v>
      </c>
      <c r="AS319" t="s">
        <v>583</v>
      </c>
      <c r="AT319" s="4" t="str">
        <f t="shared" si="46"/>
        <v>Salento</v>
      </c>
      <c r="AU319" s="7" t="str">
        <f t="shared" si="47"/>
        <v>172Salento14490000</v>
      </c>
      <c r="AV319" t="str">
        <f>+_xlfn.XLOOKUP(AU319,CRUCE!I:I,CRUCE!M:M)</f>
        <v>READY</v>
      </c>
      <c r="AW319" t="s">
        <v>1907</v>
      </c>
      <c r="AX319">
        <f>+SUMIFS(CRUCE!C:C,CRUCE!A:A,D319,CRUCE!B:B,'2021'!H319)</f>
        <v>14490000</v>
      </c>
    </row>
    <row r="320" spans="1:50" hidden="1" x14ac:dyDescent="0.3">
      <c r="A320">
        <v>2021</v>
      </c>
      <c r="B320">
        <v>314</v>
      </c>
      <c r="C320">
        <v>12</v>
      </c>
      <c r="D320" s="5" t="s">
        <v>44</v>
      </c>
      <c r="E320" s="8" t="s">
        <v>599</v>
      </c>
      <c r="F320">
        <v>12</v>
      </c>
      <c r="H320" s="8" t="s">
        <v>367</v>
      </c>
      <c r="I320" t="s">
        <v>558</v>
      </c>
      <c r="J320" s="11">
        <v>280000000</v>
      </c>
      <c r="K320" s="11">
        <v>280000000</v>
      </c>
      <c r="L320" s="11">
        <v>3752824085.6599998</v>
      </c>
      <c r="M320" s="11">
        <v>342302551.25999999</v>
      </c>
      <c r="N320" s="11">
        <v>3410521534.4000001</v>
      </c>
      <c r="O320" s="11">
        <v>3752824085.6599998</v>
      </c>
      <c r="P320" s="11">
        <v>342302551.25999999</v>
      </c>
      <c r="Q320" s="11">
        <v>3690521534.4000001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4211246069.0700002</v>
      </c>
      <c r="Y320" s="11">
        <v>520541585.72000003</v>
      </c>
      <c r="Z320" s="17">
        <v>3690704483.3499999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1">
        <v>4211246069.0700002</v>
      </c>
      <c r="AH320" s="11">
        <v>520541585.72000003</v>
      </c>
      <c r="AI320" s="12">
        <v>3690704483.3499999</v>
      </c>
      <c r="AJ320" s="11">
        <v>3690704483.3499999</v>
      </c>
      <c r="AK320" s="11">
        <v>3427374935.3200002</v>
      </c>
      <c r="AL320" s="11">
        <v>3427374935.3200002</v>
      </c>
      <c r="AM320" s="11">
        <v>436949431.02999997</v>
      </c>
      <c r="AN320" s="11">
        <v>610701250.75</v>
      </c>
      <c r="AO320" s="11">
        <v>173751819.72</v>
      </c>
      <c r="AP320" s="11">
        <v>610701250.75</v>
      </c>
      <c r="AQ320" s="11">
        <v>0</v>
      </c>
      <c r="AR320" s="11">
        <v>173751819.72</v>
      </c>
      <c r="AS320" t="s">
        <v>48</v>
      </c>
      <c r="AT320"/>
    </row>
    <row r="321" spans="1:50" hidden="1" x14ac:dyDescent="0.3">
      <c r="A321">
        <v>2021</v>
      </c>
      <c r="B321">
        <v>314</v>
      </c>
      <c r="C321">
        <v>1205</v>
      </c>
      <c r="D321" s="5" t="s">
        <v>44</v>
      </c>
      <c r="E321" s="8" t="s">
        <v>600</v>
      </c>
      <c r="F321">
        <v>1205</v>
      </c>
      <c r="H321" s="8" t="s">
        <v>379</v>
      </c>
      <c r="I321" t="s">
        <v>558</v>
      </c>
      <c r="J321" s="11">
        <v>200000000</v>
      </c>
      <c r="K321" s="11">
        <v>200000000</v>
      </c>
      <c r="L321" s="11">
        <v>151829267.34</v>
      </c>
      <c r="M321" s="11">
        <v>342302551.25999999</v>
      </c>
      <c r="N321" s="11">
        <v>-190473283.91999999</v>
      </c>
      <c r="O321" s="11">
        <v>151829267.34</v>
      </c>
      <c r="P321" s="11">
        <v>342302551.25999999</v>
      </c>
      <c r="Q321" s="11">
        <v>9526716.0800000001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10291601.75</v>
      </c>
      <c r="Y321" s="11">
        <v>581936.72</v>
      </c>
      <c r="Z321" s="17">
        <v>9709665.0299999993</v>
      </c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11">
        <v>0</v>
      </c>
      <c r="AG321" s="11">
        <v>10291601.75</v>
      </c>
      <c r="AH321" s="11">
        <v>581936.72</v>
      </c>
      <c r="AI321" s="12">
        <v>9709665.0299999993</v>
      </c>
      <c r="AJ321" s="11">
        <v>9709665.0299999993</v>
      </c>
      <c r="AK321" s="11">
        <v>0</v>
      </c>
      <c r="AL321" s="11">
        <v>0</v>
      </c>
      <c r="AM321" s="11">
        <v>9709665.0299999993</v>
      </c>
      <c r="AN321" s="11">
        <v>10291601.75</v>
      </c>
      <c r="AO321" s="11">
        <v>581936.72</v>
      </c>
      <c r="AP321" s="11">
        <v>10291601.75</v>
      </c>
      <c r="AQ321" s="11">
        <v>0</v>
      </c>
      <c r="AR321" s="11">
        <v>581936.72</v>
      </c>
      <c r="AS321" t="s">
        <v>48</v>
      </c>
      <c r="AT321"/>
    </row>
    <row r="322" spans="1:50" hidden="1" x14ac:dyDescent="0.3">
      <c r="A322">
        <v>2021</v>
      </c>
      <c r="B322">
        <v>314</v>
      </c>
      <c r="C322">
        <v>120502</v>
      </c>
      <c r="D322" s="5" t="s">
        <v>44</v>
      </c>
      <c r="E322" s="8" t="s">
        <v>601</v>
      </c>
      <c r="F322">
        <v>120502</v>
      </c>
      <c r="H322" s="8" t="s">
        <v>381</v>
      </c>
      <c r="I322" t="s">
        <v>558</v>
      </c>
      <c r="J322" s="11">
        <v>200000000</v>
      </c>
      <c r="K322" s="11">
        <v>200000000</v>
      </c>
      <c r="L322" s="11">
        <v>151829267.34</v>
      </c>
      <c r="M322" s="11">
        <v>342302551.25999999</v>
      </c>
      <c r="N322" s="11">
        <v>-190473283.91999999</v>
      </c>
      <c r="O322" s="11">
        <v>151829267.34</v>
      </c>
      <c r="P322" s="11">
        <v>342302551.25999999</v>
      </c>
      <c r="Q322" s="11">
        <v>9526716.0800000001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10291601.75</v>
      </c>
      <c r="Y322" s="11">
        <v>581936.72</v>
      </c>
      <c r="Z322" s="17">
        <v>9709665.0299999993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10291601.75</v>
      </c>
      <c r="AH322" s="11">
        <v>581936.72</v>
      </c>
      <c r="AI322" s="12">
        <v>9709665.0299999993</v>
      </c>
      <c r="AJ322" s="11">
        <v>9709665.0299999993</v>
      </c>
      <c r="AK322" s="11">
        <v>0</v>
      </c>
      <c r="AL322" s="11">
        <v>0</v>
      </c>
      <c r="AM322" s="11">
        <v>9709665.0299999993</v>
      </c>
      <c r="AN322" s="11">
        <v>10291601.75</v>
      </c>
      <c r="AO322" s="11">
        <v>581936.72</v>
      </c>
      <c r="AP322" s="11">
        <v>10291601.75</v>
      </c>
      <c r="AQ322" s="11">
        <v>0</v>
      </c>
      <c r="AR322" s="11">
        <v>581936.72</v>
      </c>
      <c r="AS322" t="s">
        <v>48</v>
      </c>
      <c r="AT322"/>
    </row>
    <row r="323" spans="1:50" hidden="1" x14ac:dyDescent="0.3">
      <c r="A323">
        <v>2021</v>
      </c>
      <c r="B323">
        <v>314</v>
      </c>
      <c r="C323">
        <v>120502001</v>
      </c>
      <c r="D323" s="5" t="s">
        <v>44</v>
      </c>
      <c r="E323" s="8" t="s">
        <v>602</v>
      </c>
      <c r="F323">
        <v>120502001</v>
      </c>
      <c r="H323" s="8" t="s">
        <v>46</v>
      </c>
      <c r="I323" t="s">
        <v>558</v>
      </c>
      <c r="J323" s="11">
        <v>200000000</v>
      </c>
      <c r="K323" s="11">
        <v>200000000</v>
      </c>
      <c r="L323" s="11">
        <v>151829267.34</v>
      </c>
      <c r="M323" s="11">
        <v>342302551.25999999</v>
      </c>
      <c r="N323" s="11">
        <v>-190473283.91999999</v>
      </c>
      <c r="O323" s="11">
        <v>151829267.34</v>
      </c>
      <c r="P323" s="11">
        <v>342302551.25999999</v>
      </c>
      <c r="Q323" s="11">
        <v>9526716.0800000001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10291601.75</v>
      </c>
      <c r="Y323" s="11">
        <v>581936.72</v>
      </c>
      <c r="Z323" s="17">
        <v>9709665.0299999993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10291601.75</v>
      </c>
      <c r="AH323" s="11">
        <v>581936.72</v>
      </c>
      <c r="AI323" s="12">
        <v>9709665.0299999993</v>
      </c>
      <c r="AJ323" s="11">
        <v>9709665.0299999993</v>
      </c>
      <c r="AK323" s="11">
        <v>0</v>
      </c>
      <c r="AL323" s="11">
        <v>0</v>
      </c>
      <c r="AM323" s="11">
        <v>9709665.0299999993</v>
      </c>
      <c r="AN323" s="11">
        <v>10291601.75</v>
      </c>
      <c r="AO323" s="11">
        <v>581936.72</v>
      </c>
      <c r="AP323" s="11">
        <v>10291601.75</v>
      </c>
      <c r="AQ323" s="11">
        <v>0</v>
      </c>
      <c r="AR323" s="11">
        <v>581936.72</v>
      </c>
      <c r="AS323" t="s">
        <v>48</v>
      </c>
      <c r="AT323"/>
    </row>
    <row r="324" spans="1:50" hidden="1" x14ac:dyDescent="0.3">
      <c r="A324">
        <v>2021</v>
      </c>
      <c r="B324">
        <v>314</v>
      </c>
      <c r="C324">
        <v>12050200101</v>
      </c>
      <c r="D324" s="5" t="s">
        <v>44</v>
      </c>
      <c r="E324" s="8" t="s">
        <v>603</v>
      </c>
      <c r="F324">
        <v>12050200101</v>
      </c>
      <c r="H324" s="8" t="s">
        <v>50</v>
      </c>
      <c r="I324" t="s">
        <v>558</v>
      </c>
      <c r="J324" s="11">
        <v>200000000</v>
      </c>
      <c r="K324" s="11">
        <v>200000000</v>
      </c>
      <c r="L324" s="11">
        <v>151829267.34</v>
      </c>
      <c r="M324" s="11">
        <v>342302551.25999999</v>
      </c>
      <c r="N324" s="11">
        <v>-190473283.91999999</v>
      </c>
      <c r="O324" s="11">
        <v>151829267.34</v>
      </c>
      <c r="P324" s="11">
        <v>342302551.25999999</v>
      </c>
      <c r="Q324" s="11">
        <v>9526716.0800000001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10291601.75</v>
      </c>
      <c r="Y324" s="11">
        <v>581936.72</v>
      </c>
      <c r="Z324" s="17">
        <v>9709665.0299999993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10291601.75</v>
      </c>
      <c r="AH324" s="11">
        <v>581936.72</v>
      </c>
      <c r="AI324" s="12">
        <v>9709665.0299999993</v>
      </c>
      <c r="AJ324" s="11">
        <v>9709665.0299999993</v>
      </c>
      <c r="AK324" s="11">
        <v>0</v>
      </c>
      <c r="AL324" s="11">
        <v>0</v>
      </c>
      <c r="AM324" s="11">
        <v>9709665.0299999993</v>
      </c>
      <c r="AN324" s="11">
        <v>10291601.75</v>
      </c>
      <c r="AO324" s="11">
        <v>581936.72</v>
      </c>
      <c r="AP324" s="11">
        <v>10291601.75</v>
      </c>
      <c r="AQ324" s="11">
        <v>0</v>
      </c>
      <c r="AR324" s="11">
        <v>581936.72</v>
      </c>
      <c r="AS324" t="s">
        <v>48</v>
      </c>
      <c r="AT324"/>
    </row>
    <row r="325" spans="1:50" hidden="1" x14ac:dyDescent="0.3">
      <c r="A325">
        <v>2021</v>
      </c>
      <c r="B325">
        <v>314</v>
      </c>
      <c r="C325">
        <v>1205020010102</v>
      </c>
      <c r="D325" s="5" t="s">
        <v>44</v>
      </c>
      <c r="E325" s="8" t="s">
        <v>604</v>
      </c>
      <c r="F325">
        <v>1205020010102</v>
      </c>
      <c r="H325" s="8" t="s">
        <v>145</v>
      </c>
      <c r="I325" t="s">
        <v>558</v>
      </c>
      <c r="J325" s="11">
        <v>200000000</v>
      </c>
      <c r="K325" s="11">
        <v>200000000</v>
      </c>
      <c r="L325" s="11">
        <v>151829267.34</v>
      </c>
      <c r="M325" s="11">
        <v>342302551.25999999</v>
      </c>
      <c r="N325" s="11">
        <v>-190473283.91999999</v>
      </c>
      <c r="O325" s="11">
        <v>151829267.34</v>
      </c>
      <c r="P325" s="11">
        <v>342302551.25999999</v>
      </c>
      <c r="Q325" s="11">
        <v>9526716.0800000001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10291601.75</v>
      </c>
      <c r="Y325" s="11">
        <v>581936.72</v>
      </c>
      <c r="Z325" s="17">
        <v>9709665.0299999993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10291601.75</v>
      </c>
      <c r="AH325" s="11">
        <v>581936.72</v>
      </c>
      <c r="AI325" s="12">
        <v>9709665.0299999993</v>
      </c>
      <c r="AJ325" s="11">
        <v>9709665.0299999993</v>
      </c>
      <c r="AK325" s="11">
        <v>0</v>
      </c>
      <c r="AL325" s="11">
        <v>0</v>
      </c>
      <c r="AM325" s="11">
        <v>9709665.0299999993</v>
      </c>
      <c r="AN325" s="11">
        <v>10291601.75</v>
      </c>
      <c r="AO325" s="11">
        <v>581936.72</v>
      </c>
      <c r="AP325" s="11">
        <v>10291601.75</v>
      </c>
      <c r="AQ325" s="11">
        <v>0</v>
      </c>
      <c r="AR325" s="11">
        <v>581936.72</v>
      </c>
      <c r="AS325" t="s">
        <v>48</v>
      </c>
      <c r="AT325"/>
    </row>
    <row r="326" spans="1:50" hidden="1" x14ac:dyDescent="0.3">
      <c r="A326">
        <v>2021</v>
      </c>
      <c r="B326">
        <v>314</v>
      </c>
      <c r="C326">
        <v>120502001010206</v>
      </c>
      <c r="D326" s="5" t="s">
        <v>44</v>
      </c>
      <c r="E326" s="8" t="s">
        <v>605</v>
      </c>
      <c r="F326">
        <v>120502001010206</v>
      </c>
      <c r="H326" s="8" t="s">
        <v>242</v>
      </c>
      <c r="I326" t="s">
        <v>558</v>
      </c>
      <c r="J326" s="11">
        <v>200000000</v>
      </c>
      <c r="K326" s="11">
        <v>200000000</v>
      </c>
      <c r="L326" s="11">
        <v>151829267.34</v>
      </c>
      <c r="M326" s="11">
        <v>342302551.25999999</v>
      </c>
      <c r="N326" s="11">
        <v>-190473283.91999999</v>
      </c>
      <c r="O326" s="11">
        <v>151829267.34</v>
      </c>
      <c r="P326" s="11">
        <v>342302551.25999999</v>
      </c>
      <c r="Q326" s="11">
        <v>9526716.0800000001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10291601.75</v>
      </c>
      <c r="Y326" s="11">
        <v>581936.72</v>
      </c>
      <c r="Z326" s="17">
        <v>9709665.0299999993</v>
      </c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11">
        <v>0</v>
      </c>
      <c r="AG326" s="11">
        <v>10291601.75</v>
      </c>
      <c r="AH326" s="11">
        <v>581936.72</v>
      </c>
      <c r="AI326" s="12">
        <v>9709665.0299999993</v>
      </c>
      <c r="AJ326" s="11">
        <v>9709665.0299999993</v>
      </c>
      <c r="AK326" s="11">
        <v>0</v>
      </c>
      <c r="AL326" s="11">
        <v>0</v>
      </c>
      <c r="AM326" s="11">
        <v>9709665.0299999993</v>
      </c>
      <c r="AN326" s="11">
        <v>10291601.75</v>
      </c>
      <c r="AO326" s="11">
        <v>581936.72</v>
      </c>
      <c r="AP326" s="11">
        <v>10291601.75</v>
      </c>
      <c r="AQ326" s="11">
        <v>0</v>
      </c>
      <c r="AR326" s="11">
        <v>581936.72</v>
      </c>
      <c r="AS326" t="s">
        <v>48</v>
      </c>
      <c r="AT326"/>
    </row>
    <row r="327" spans="1:50" hidden="1" x14ac:dyDescent="0.3">
      <c r="A327">
        <v>2021</v>
      </c>
      <c r="B327">
        <v>314</v>
      </c>
      <c r="C327">
        <v>1.20502001010206E+17</v>
      </c>
      <c r="D327" s="5" t="s">
        <v>44</v>
      </c>
      <c r="E327" s="8" t="s">
        <v>606</v>
      </c>
      <c r="F327">
        <v>1.20502001010206E+17</v>
      </c>
      <c r="H327" s="8" t="s">
        <v>244</v>
      </c>
      <c r="I327" t="s">
        <v>558</v>
      </c>
      <c r="J327" s="11">
        <v>200000000</v>
      </c>
      <c r="K327" s="11">
        <v>200000000</v>
      </c>
      <c r="L327" s="11">
        <v>0</v>
      </c>
      <c r="M327" s="11">
        <v>196713532.19999999</v>
      </c>
      <c r="N327" s="11">
        <v>-196713532.19999999</v>
      </c>
      <c r="O327" s="11">
        <v>0</v>
      </c>
      <c r="P327" s="11">
        <v>196713532.19999999</v>
      </c>
      <c r="Q327" s="11">
        <v>3286467.8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3868404.52</v>
      </c>
      <c r="Y327" s="11">
        <v>581936.72</v>
      </c>
      <c r="Z327" s="17">
        <v>3286467.8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0</v>
      </c>
      <c r="AG327" s="11">
        <v>3868404.52</v>
      </c>
      <c r="AH327" s="11">
        <v>581936.72</v>
      </c>
      <c r="AI327" s="12">
        <v>3286467.8</v>
      </c>
      <c r="AJ327" s="11">
        <v>3286467.8</v>
      </c>
      <c r="AK327" s="11">
        <v>0</v>
      </c>
      <c r="AL327" s="11">
        <v>0</v>
      </c>
      <c r="AM327" s="11">
        <v>3286467.8</v>
      </c>
      <c r="AN327" s="11">
        <v>3868404.52</v>
      </c>
      <c r="AO327" s="11">
        <v>581936.72</v>
      </c>
      <c r="AP327" s="11">
        <v>3868404.52</v>
      </c>
      <c r="AQ327" s="11">
        <v>0</v>
      </c>
      <c r="AR327" s="11">
        <v>581936.72</v>
      </c>
      <c r="AS327" t="s">
        <v>48</v>
      </c>
      <c r="AT327"/>
    </row>
    <row r="328" spans="1:50" x14ac:dyDescent="0.3">
      <c r="A328">
        <v>2021</v>
      </c>
      <c r="B328">
        <v>314</v>
      </c>
      <c r="C328">
        <v>1.20502001010206E+20</v>
      </c>
      <c r="D328" s="5">
        <v>21</v>
      </c>
      <c r="E328" s="8" t="s">
        <v>607</v>
      </c>
      <c r="F328">
        <v>1.20502001010206E+20</v>
      </c>
      <c r="G328" t="s">
        <v>1909</v>
      </c>
      <c r="H328" s="8" t="s">
        <v>608</v>
      </c>
      <c r="I328" t="s">
        <v>558</v>
      </c>
      <c r="J328" s="11">
        <v>50000000</v>
      </c>
      <c r="K328" s="11">
        <v>50000000</v>
      </c>
      <c r="L328" s="11">
        <v>0</v>
      </c>
      <c r="M328" s="11">
        <v>46713532.200000003</v>
      </c>
      <c r="N328" s="11">
        <v>-46713532.200000003</v>
      </c>
      <c r="O328" s="11">
        <v>0</v>
      </c>
      <c r="P328" s="11">
        <v>46713532.200000003</v>
      </c>
      <c r="Q328" s="11">
        <v>3286467.8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3584075.88</v>
      </c>
      <c r="Y328" s="11">
        <v>297608.08</v>
      </c>
      <c r="Z328" s="17">
        <v>3286467.8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3584075.88</v>
      </c>
      <c r="AH328" s="11">
        <v>297608.08</v>
      </c>
      <c r="AI328" s="12">
        <v>3286467.8</v>
      </c>
      <c r="AJ328" s="11">
        <v>3286467.8</v>
      </c>
      <c r="AK328" s="11">
        <v>0</v>
      </c>
      <c r="AL328" s="11">
        <v>0</v>
      </c>
      <c r="AM328" s="11">
        <v>3286467.8</v>
      </c>
      <c r="AN328" s="11">
        <v>3584075.88</v>
      </c>
      <c r="AO328" s="11">
        <v>297608.08</v>
      </c>
      <c r="AP328" s="11">
        <v>3584075.88</v>
      </c>
      <c r="AQ328" s="11">
        <v>0</v>
      </c>
      <c r="AR328" s="11">
        <v>297608.08</v>
      </c>
      <c r="AS328" t="s">
        <v>609</v>
      </c>
      <c r="AT328" s="4" t="str">
        <f>+H328</f>
        <v>Rendimientos Prestacion de Servicio educativo</v>
      </c>
      <c r="AU328" s="7" t="str">
        <f t="shared" ref="AU328:AU329" si="48">+$D328&amp;$AT328&amp;Z328</f>
        <v>21Rendimientos Prestacion de Servicio educativo3286467,8</v>
      </c>
      <c r="AV328" t="str">
        <f>+_xlfn.XLOOKUP(AU328,CRUCE!I:I,CRUCE!M:M)</f>
        <v>READY</v>
      </c>
      <c r="AW328" t="s">
        <v>1907</v>
      </c>
      <c r="AX328">
        <f>+SUMIFS(CRUCE!C:C,CRUCE!A:A,D328,CRUCE!B:B,'2021'!H328)</f>
        <v>3286467.8</v>
      </c>
    </row>
    <row r="329" spans="1:50" x14ac:dyDescent="0.3">
      <c r="A329">
        <v>2021</v>
      </c>
      <c r="B329">
        <v>314</v>
      </c>
      <c r="C329">
        <v>1.20502001010206E+20</v>
      </c>
      <c r="D329" s="5">
        <v>81</v>
      </c>
      <c r="E329" s="8" t="s">
        <v>610</v>
      </c>
      <c r="F329">
        <v>1.20502001010206E+20</v>
      </c>
      <c r="G329" t="s">
        <v>1909</v>
      </c>
      <c r="H329" s="8" t="s">
        <v>611</v>
      </c>
      <c r="I329" t="s">
        <v>558</v>
      </c>
      <c r="J329" s="11">
        <v>150000000</v>
      </c>
      <c r="K329" s="11">
        <v>150000000</v>
      </c>
      <c r="L329" s="11">
        <v>0</v>
      </c>
      <c r="M329" s="11">
        <v>150000000</v>
      </c>
      <c r="N329" s="11">
        <v>-150000000</v>
      </c>
      <c r="O329" s="11">
        <v>0</v>
      </c>
      <c r="P329" s="11">
        <v>150000000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284328.64</v>
      </c>
      <c r="Y329" s="11">
        <v>284328.64</v>
      </c>
      <c r="Z329" s="17">
        <v>0</v>
      </c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11">
        <v>0</v>
      </c>
      <c r="AG329" s="11">
        <v>284328.64</v>
      </c>
      <c r="AH329" s="11">
        <v>284328.64</v>
      </c>
      <c r="AI329" s="12">
        <v>0</v>
      </c>
      <c r="AJ329" s="11">
        <v>0</v>
      </c>
      <c r="AK329" s="11">
        <v>0</v>
      </c>
      <c r="AL329" s="11">
        <v>0</v>
      </c>
      <c r="AM329" s="11">
        <v>0</v>
      </c>
      <c r="AN329" s="11">
        <v>284328.64</v>
      </c>
      <c r="AO329" s="11">
        <v>284328.64</v>
      </c>
      <c r="AP329" s="11">
        <v>284328.64</v>
      </c>
      <c r="AQ329" s="11">
        <v>0</v>
      </c>
      <c r="AR329" s="11">
        <v>284328.64</v>
      </c>
      <c r="AS329" t="s">
        <v>581</v>
      </c>
      <c r="AT329" s="4" t="str">
        <f>+H329</f>
        <v>Rendimientos PAE</v>
      </c>
      <c r="AU329" s="7" t="str">
        <f t="shared" si="48"/>
        <v>81Rendimientos PAE0</v>
      </c>
      <c r="AV329" t="str">
        <f>+_xlfn.XLOOKUP(AU329,CRUCE!I:I,CRUCE!M:M)</f>
        <v>READY</v>
      </c>
      <c r="AW329" t="s">
        <v>1907</v>
      </c>
      <c r="AX329">
        <f>+SUMIFS(CRUCE!C:C,CRUCE!A:A,D329,CRUCE!B:B,'2021'!H329)</f>
        <v>0</v>
      </c>
    </row>
    <row r="330" spans="1:50" hidden="1" x14ac:dyDescent="0.3">
      <c r="A330">
        <v>2021</v>
      </c>
      <c r="B330">
        <v>314</v>
      </c>
      <c r="C330">
        <v>1.20502001010206E+17</v>
      </c>
      <c r="D330" s="5" t="s">
        <v>44</v>
      </c>
      <c r="E330" s="8" t="s">
        <v>612</v>
      </c>
      <c r="F330">
        <v>1.20502001010206E+17</v>
      </c>
      <c r="H330" s="8" t="s">
        <v>267</v>
      </c>
      <c r="I330" t="s">
        <v>558</v>
      </c>
      <c r="J330" s="11">
        <v>0</v>
      </c>
      <c r="K330" s="11">
        <v>0</v>
      </c>
      <c r="L330" s="11">
        <v>151829267.34</v>
      </c>
      <c r="M330" s="11">
        <v>145589019.06</v>
      </c>
      <c r="N330" s="11">
        <v>6240248.2800000003</v>
      </c>
      <c r="O330" s="11">
        <v>151829267.34</v>
      </c>
      <c r="P330" s="11">
        <v>145589019.06</v>
      </c>
      <c r="Q330" s="11">
        <v>6240248.2800000003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6423197.2300000004</v>
      </c>
      <c r="Y330" s="11">
        <v>0</v>
      </c>
      <c r="Z330" s="17">
        <v>6423197.2300000004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6423197.2300000004</v>
      </c>
      <c r="AH330" s="11">
        <v>0</v>
      </c>
      <c r="AI330" s="12">
        <v>6423197.2300000004</v>
      </c>
      <c r="AJ330" s="11">
        <v>6423197.2300000004</v>
      </c>
      <c r="AK330" s="11">
        <v>0</v>
      </c>
      <c r="AL330" s="11">
        <v>0</v>
      </c>
      <c r="AM330" s="11">
        <v>6423197.2300000004</v>
      </c>
      <c r="AN330" s="11">
        <v>6423197.2300000004</v>
      </c>
      <c r="AO330" s="11">
        <v>0</v>
      </c>
      <c r="AP330" s="11">
        <v>6423197.2300000004</v>
      </c>
      <c r="AQ330" s="11">
        <v>0</v>
      </c>
      <c r="AR330" s="11">
        <v>0</v>
      </c>
      <c r="AS330" t="s">
        <v>48</v>
      </c>
      <c r="AT330"/>
    </row>
    <row r="331" spans="1:50" hidden="1" x14ac:dyDescent="0.3">
      <c r="A331">
        <v>2021</v>
      </c>
      <c r="B331">
        <v>314</v>
      </c>
      <c r="C331">
        <v>1.20502001010206E+20</v>
      </c>
      <c r="D331" s="5" t="s">
        <v>44</v>
      </c>
      <c r="E331" s="8" t="s">
        <v>613</v>
      </c>
      <c r="F331">
        <v>1.20502001010206E+20</v>
      </c>
      <c r="H331" s="8" t="s">
        <v>614</v>
      </c>
      <c r="I331" t="s">
        <v>558</v>
      </c>
      <c r="J331" s="11">
        <v>0</v>
      </c>
      <c r="K331" s="11">
        <v>0</v>
      </c>
      <c r="L331" s="11">
        <v>1829267.34</v>
      </c>
      <c r="M331" s="11">
        <v>0</v>
      </c>
      <c r="N331" s="11">
        <v>1829267.34</v>
      </c>
      <c r="O331" s="11">
        <v>1829267.34</v>
      </c>
      <c r="P331" s="11">
        <v>0</v>
      </c>
      <c r="Q331" s="11">
        <v>1829267.34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2012216.29</v>
      </c>
      <c r="Y331" s="11">
        <v>0</v>
      </c>
      <c r="Z331" s="17">
        <v>2012216.29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2012216.29</v>
      </c>
      <c r="AH331" s="11">
        <v>0</v>
      </c>
      <c r="AI331" s="12">
        <v>2012216.29</v>
      </c>
      <c r="AJ331" s="11">
        <v>2012216.29</v>
      </c>
      <c r="AK331" s="11">
        <v>0</v>
      </c>
      <c r="AL331" s="11">
        <v>0</v>
      </c>
      <c r="AM331" s="11">
        <v>2012216.29</v>
      </c>
      <c r="AN331" s="11">
        <v>2012216.29</v>
      </c>
      <c r="AO331" s="11">
        <v>0</v>
      </c>
      <c r="AP331" s="11">
        <v>2012216.29</v>
      </c>
      <c r="AQ331" s="11">
        <v>0</v>
      </c>
      <c r="AR331" s="11">
        <v>0</v>
      </c>
      <c r="AS331" t="s">
        <v>48</v>
      </c>
      <c r="AT331"/>
    </row>
    <row r="332" spans="1:50" x14ac:dyDescent="0.3">
      <c r="A332">
        <v>2021</v>
      </c>
      <c r="B332">
        <v>314</v>
      </c>
      <c r="C332">
        <v>1.20502001010206E+35</v>
      </c>
      <c r="D332" s="5">
        <v>173</v>
      </c>
      <c r="E332" s="8" t="s">
        <v>615</v>
      </c>
      <c r="F332">
        <v>1.20502001010206E+35</v>
      </c>
      <c r="G332" t="s">
        <v>1909</v>
      </c>
      <c r="H332" s="8" t="s">
        <v>616</v>
      </c>
      <c r="I332" t="s">
        <v>558</v>
      </c>
      <c r="J332" s="11">
        <v>0</v>
      </c>
      <c r="K332" s="11">
        <v>0</v>
      </c>
      <c r="L332" s="11">
        <v>1829267.34</v>
      </c>
      <c r="M332" s="11">
        <v>0</v>
      </c>
      <c r="N332" s="11">
        <v>1829267.34</v>
      </c>
      <c r="O332" s="11">
        <v>1829267.34</v>
      </c>
      <c r="P332" s="11">
        <v>0</v>
      </c>
      <c r="Q332" s="11">
        <v>1829267.34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2012216.29</v>
      </c>
      <c r="Y332" s="11">
        <v>0</v>
      </c>
      <c r="Z332" s="17">
        <v>2012216.29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0</v>
      </c>
      <c r="AG332" s="11">
        <v>2012216.29</v>
      </c>
      <c r="AH332" s="11">
        <v>0</v>
      </c>
      <c r="AI332" s="12">
        <v>2012216.29</v>
      </c>
      <c r="AJ332" s="11">
        <v>2012216.29</v>
      </c>
      <c r="AK332" s="11">
        <v>0</v>
      </c>
      <c r="AL332" s="11">
        <v>0</v>
      </c>
      <c r="AM332" s="11">
        <v>2012216.29</v>
      </c>
      <c r="AN332" s="11">
        <v>2012216.29</v>
      </c>
      <c r="AO332" s="11">
        <v>0</v>
      </c>
      <c r="AP332" s="11">
        <v>2012216.29</v>
      </c>
      <c r="AQ332" s="11">
        <v>0</v>
      </c>
      <c r="AR332" s="11">
        <v>0</v>
      </c>
      <c r="AS332" t="s">
        <v>578</v>
      </c>
      <c r="AT332" s="4" t="str">
        <f>+H332</f>
        <v>Rendimientos Financieros FOME</v>
      </c>
      <c r="AU332" s="7" t="str">
        <f>+$D332&amp;$AT332&amp;Z332</f>
        <v>173Rendimientos Financieros FOME2012216,29</v>
      </c>
      <c r="AV332" t="str">
        <f>+_xlfn.XLOOKUP(AU332,CRUCE!I:I,CRUCE!M:M)</f>
        <v>READY</v>
      </c>
      <c r="AW332" t="s">
        <v>1907</v>
      </c>
      <c r="AX332">
        <f>+SUMIFS(CRUCE!C:C,CRUCE!A:A,D332,CRUCE!B:B,'2021'!H332)</f>
        <v>2012216.29</v>
      </c>
    </row>
    <row r="333" spans="1:50" hidden="1" x14ac:dyDescent="0.3">
      <c r="A333">
        <v>2021</v>
      </c>
      <c r="B333">
        <v>314</v>
      </c>
      <c r="C333">
        <v>1.20502001010206E+20</v>
      </c>
      <c r="D333" s="5" t="s">
        <v>44</v>
      </c>
      <c r="E333" s="8" t="s">
        <v>617</v>
      </c>
      <c r="F333">
        <v>1.20502001010206E+20</v>
      </c>
      <c r="H333" s="8" t="s">
        <v>269</v>
      </c>
      <c r="I333" t="s">
        <v>558</v>
      </c>
      <c r="J333" s="11">
        <v>0</v>
      </c>
      <c r="K333" s="11">
        <v>0</v>
      </c>
      <c r="L333" s="11">
        <v>150000000</v>
      </c>
      <c r="M333" s="11">
        <v>145589019.06</v>
      </c>
      <c r="N333" s="11">
        <v>4410980.9400000004</v>
      </c>
      <c r="O333" s="11">
        <v>150000000</v>
      </c>
      <c r="P333" s="11">
        <v>145589019.06</v>
      </c>
      <c r="Q333" s="11">
        <v>4410980.9400000004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4410980.9400000004</v>
      </c>
      <c r="Y333" s="11">
        <v>0</v>
      </c>
      <c r="Z333" s="17">
        <v>4410980.9400000004</v>
      </c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11">
        <v>0</v>
      </c>
      <c r="AG333" s="11">
        <v>4410980.9400000004</v>
      </c>
      <c r="AH333" s="11">
        <v>0</v>
      </c>
      <c r="AI333" s="12">
        <v>4410980.9400000004</v>
      </c>
      <c r="AJ333" s="11">
        <v>4410980.9400000004</v>
      </c>
      <c r="AK333" s="11">
        <v>0</v>
      </c>
      <c r="AL333" s="11">
        <v>0</v>
      </c>
      <c r="AM333" s="11">
        <v>4410980.9400000004</v>
      </c>
      <c r="AN333" s="11">
        <v>4410980.9400000004</v>
      </c>
      <c r="AO333" s="11">
        <v>0</v>
      </c>
      <c r="AP333" s="11">
        <v>4410980.9400000004</v>
      </c>
      <c r="AQ333" s="11">
        <v>0</v>
      </c>
      <c r="AR333" s="11">
        <v>0</v>
      </c>
      <c r="AS333" t="s">
        <v>48</v>
      </c>
      <c r="AT333"/>
    </row>
    <row r="334" spans="1:50" x14ac:dyDescent="0.3">
      <c r="A334">
        <v>2021</v>
      </c>
      <c r="B334">
        <v>314</v>
      </c>
      <c r="C334">
        <v>1.20502001010206E+35</v>
      </c>
      <c r="D334" s="5">
        <v>81</v>
      </c>
      <c r="E334" s="8" t="s">
        <v>618</v>
      </c>
      <c r="F334">
        <v>1.20502001010206E+35</v>
      </c>
      <c r="G334" t="s">
        <v>1909</v>
      </c>
      <c r="H334" s="8" t="s">
        <v>619</v>
      </c>
      <c r="I334" t="s">
        <v>558</v>
      </c>
      <c r="J334" s="11">
        <v>0</v>
      </c>
      <c r="K334" s="11">
        <v>0</v>
      </c>
      <c r="L334" s="11">
        <v>150000000</v>
      </c>
      <c r="M334" s="11">
        <v>145589019.06</v>
      </c>
      <c r="N334" s="11">
        <v>4410980.9400000004</v>
      </c>
      <c r="O334" s="11">
        <v>150000000</v>
      </c>
      <c r="P334" s="11">
        <v>145589019.06</v>
      </c>
      <c r="Q334" s="11">
        <v>4410980.9400000004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4410980.9400000004</v>
      </c>
      <c r="Y334" s="11">
        <v>0</v>
      </c>
      <c r="Z334" s="17">
        <v>4410980.9400000004</v>
      </c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11">
        <v>0</v>
      </c>
      <c r="AG334" s="11">
        <v>4410980.9400000004</v>
      </c>
      <c r="AH334" s="11">
        <v>0</v>
      </c>
      <c r="AI334" s="12">
        <v>4410980.9400000004</v>
      </c>
      <c r="AJ334" s="11">
        <v>4410980.9400000004</v>
      </c>
      <c r="AK334" s="11">
        <v>0</v>
      </c>
      <c r="AL334" s="11">
        <v>0</v>
      </c>
      <c r="AM334" s="11">
        <v>4410980.9400000004</v>
      </c>
      <c r="AN334" s="11">
        <v>4410980.9400000004</v>
      </c>
      <c r="AO334" s="11">
        <v>0</v>
      </c>
      <c r="AP334" s="11">
        <v>4410980.9400000004</v>
      </c>
      <c r="AQ334" s="11">
        <v>0</v>
      </c>
      <c r="AR334" s="11">
        <v>0</v>
      </c>
      <c r="AS334" t="s">
        <v>581</v>
      </c>
      <c r="AT334" s="4" t="str">
        <f>+H334</f>
        <v>Rendimientos Financieros PAE</v>
      </c>
      <c r="AU334" s="7" t="str">
        <f>+$D334&amp;$AT334&amp;Z334</f>
        <v>81Rendimientos Financieros PAE4410980,94</v>
      </c>
      <c r="AV334" t="str">
        <f>+_xlfn.XLOOKUP(AU334,CRUCE!I:I,CRUCE!M:M)</f>
        <v>READY</v>
      </c>
      <c r="AW334" t="s">
        <v>1907</v>
      </c>
      <c r="AX334">
        <f>+SUMIFS(CRUCE!C:C,CRUCE!A:A,D334,CRUCE!B:B,'2021'!H334)</f>
        <v>4410980.9400000004</v>
      </c>
    </row>
    <row r="335" spans="1:50" hidden="1" x14ac:dyDescent="0.3">
      <c r="A335">
        <v>2021</v>
      </c>
      <c r="B335">
        <v>314</v>
      </c>
      <c r="C335">
        <v>1210</v>
      </c>
      <c r="D335" s="5" t="s">
        <v>44</v>
      </c>
      <c r="E335" s="8" t="s">
        <v>620</v>
      </c>
      <c r="F335">
        <v>1210</v>
      </c>
      <c r="H335" s="8" t="s">
        <v>474</v>
      </c>
      <c r="I335" t="s">
        <v>558</v>
      </c>
      <c r="J335" s="11">
        <v>0</v>
      </c>
      <c r="K335" s="11">
        <v>0</v>
      </c>
      <c r="L335" s="11">
        <v>3427374935.3200002</v>
      </c>
      <c r="M335" s="11">
        <v>0</v>
      </c>
      <c r="N335" s="11">
        <v>3427374935.3200002</v>
      </c>
      <c r="O335" s="11">
        <v>3427374935.3200002</v>
      </c>
      <c r="P335" s="11">
        <v>0</v>
      </c>
      <c r="Q335" s="11">
        <v>3427374935.3200002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3427374935.3200002</v>
      </c>
      <c r="Y335" s="11">
        <v>0</v>
      </c>
      <c r="Z335" s="17">
        <v>3427374935.3200002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3427374935.3200002</v>
      </c>
      <c r="AH335" s="11">
        <v>0</v>
      </c>
      <c r="AI335" s="12">
        <v>3427374935.3200002</v>
      </c>
      <c r="AJ335" s="11">
        <v>3427374935.3200002</v>
      </c>
      <c r="AK335" s="11">
        <v>3427374935.3200002</v>
      </c>
      <c r="AL335" s="11">
        <v>3427374935.3200002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t="s">
        <v>48</v>
      </c>
      <c r="AT335"/>
    </row>
    <row r="336" spans="1:50" hidden="1" x14ac:dyDescent="0.3">
      <c r="A336">
        <v>2021</v>
      </c>
      <c r="B336">
        <v>314</v>
      </c>
      <c r="C336">
        <v>121002</v>
      </c>
      <c r="D336" s="5" t="s">
        <v>44</v>
      </c>
      <c r="E336" s="8" t="s">
        <v>621</v>
      </c>
      <c r="F336">
        <v>121002</v>
      </c>
      <c r="H336" s="8" t="s">
        <v>476</v>
      </c>
      <c r="I336" t="s">
        <v>558</v>
      </c>
      <c r="J336" s="11">
        <v>0</v>
      </c>
      <c r="K336" s="11">
        <v>0</v>
      </c>
      <c r="L336" s="11">
        <v>3427374935.3200002</v>
      </c>
      <c r="M336" s="11">
        <v>0</v>
      </c>
      <c r="N336" s="11">
        <v>3427374935.3200002</v>
      </c>
      <c r="O336" s="11">
        <v>3427374935.3200002</v>
      </c>
      <c r="P336" s="11">
        <v>0</v>
      </c>
      <c r="Q336" s="11">
        <v>3427374935.3200002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3427374935.3200002</v>
      </c>
      <c r="Y336" s="11">
        <v>0</v>
      </c>
      <c r="Z336" s="17">
        <v>3427374935.3200002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3427374935.3200002</v>
      </c>
      <c r="AH336" s="11">
        <v>0</v>
      </c>
      <c r="AI336" s="12">
        <v>3427374935.3200002</v>
      </c>
      <c r="AJ336" s="11">
        <v>3427374935.3200002</v>
      </c>
      <c r="AK336" s="11">
        <v>3427374935.3200002</v>
      </c>
      <c r="AL336" s="11">
        <v>3427374935.3200002</v>
      </c>
      <c r="AM336" s="11">
        <v>0</v>
      </c>
      <c r="AN336" s="11">
        <v>0</v>
      </c>
      <c r="AO336" s="11">
        <v>0</v>
      </c>
      <c r="AP336" s="11">
        <v>0</v>
      </c>
      <c r="AQ336" s="11">
        <v>0</v>
      </c>
      <c r="AR336" s="11">
        <v>0</v>
      </c>
      <c r="AS336" t="s">
        <v>48</v>
      </c>
      <c r="AT336"/>
    </row>
    <row r="337" spans="1:50" hidden="1" x14ac:dyDescent="0.3">
      <c r="A337">
        <v>2021</v>
      </c>
      <c r="B337">
        <v>314</v>
      </c>
      <c r="C337">
        <v>121002002</v>
      </c>
      <c r="D337" s="5" t="s">
        <v>44</v>
      </c>
      <c r="E337" s="8" t="s">
        <v>622</v>
      </c>
      <c r="F337">
        <v>121002002</v>
      </c>
      <c r="H337" s="8" t="s">
        <v>482</v>
      </c>
      <c r="I337" t="s">
        <v>558</v>
      </c>
      <c r="J337" s="11">
        <v>0</v>
      </c>
      <c r="K337" s="11">
        <v>0</v>
      </c>
      <c r="L337" s="11">
        <v>3427374935.3200002</v>
      </c>
      <c r="M337" s="11">
        <v>0</v>
      </c>
      <c r="N337" s="11">
        <v>3427374935.3200002</v>
      </c>
      <c r="O337" s="11">
        <v>3427374935.3200002</v>
      </c>
      <c r="P337" s="11">
        <v>0</v>
      </c>
      <c r="Q337" s="11">
        <v>3427374935.3200002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3427374935.3200002</v>
      </c>
      <c r="Y337" s="11">
        <v>0</v>
      </c>
      <c r="Z337" s="17">
        <v>3427374935.3200002</v>
      </c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3427374935.3200002</v>
      </c>
      <c r="AH337" s="11">
        <v>0</v>
      </c>
      <c r="AI337" s="12">
        <v>3427374935.3200002</v>
      </c>
      <c r="AJ337" s="11">
        <v>3427374935.3200002</v>
      </c>
      <c r="AK337" s="11">
        <v>3427374935.3200002</v>
      </c>
      <c r="AL337" s="11">
        <v>3427374935.3200002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t="s">
        <v>48</v>
      </c>
      <c r="AT337"/>
    </row>
    <row r="338" spans="1:50" x14ac:dyDescent="0.3">
      <c r="A338">
        <v>2021</v>
      </c>
      <c r="B338">
        <v>314</v>
      </c>
      <c r="C338">
        <v>12100200205</v>
      </c>
      <c r="D338" s="5">
        <v>9</v>
      </c>
      <c r="E338" s="8" t="s">
        <v>623</v>
      </c>
      <c r="F338">
        <v>12100200205</v>
      </c>
      <c r="G338" t="s">
        <v>1910</v>
      </c>
      <c r="H338" s="8" t="s">
        <v>624</v>
      </c>
      <c r="I338" t="s">
        <v>558</v>
      </c>
      <c r="J338" s="11">
        <v>0</v>
      </c>
      <c r="K338" s="11">
        <v>0</v>
      </c>
      <c r="L338" s="11">
        <v>207017358.94</v>
      </c>
      <c r="M338" s="11">
        <v>0</v>
      </c>
      <c r="N338" s="11">
        <v>207017358.94</v>
      </c>
      <c r="O338" s="11">
        <v>207017358.94</v>
      </c>
      <c r="P338" s="11">
        <v>0</v>
      </c>
      <c r="Q338" s="11">
        <v>207017358.94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207017358.94</v>
      </c>
      <c r="Y338" s="11">
        <v>0</v>
      </c>
      <c r="Z338" s="17">
        <v>207017358.94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207017358.94</v>
      </c>
      <c r="AH338" s="11">
        <v>0</v>
      </c>
      <c r="AI338" s="12">
        <v>207017358.94</v>
      </c>
      <c r="AJ338" s="11">
        <v>207017358.94</v>
      </c>
      <c r="AK338" s="11">
        <v>207017358.94</v>
      </c>
      <c r="AL338" s="11">
        <v>207017358.94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t="s">
        <v>625</v>
      </c>
      <c r="AT338" s="4" t="s">
        <v>624</v>
      </c>
      <c r="AU338" s="7" t="str">
        <f t="shared" ref="AU338:AU342" si="49">+$D338&amp;$AT338&amp;Z338</f>
        <v>9Superávit S.G.P. Educación207017358,94</v>
      </c>
      <c r="AV338" t="str">
        <f>+_xlfn.XLOOKUP(AU338,CRUCE!I:I,CRUCE!M:M)</f>
        <v>READY</v>
      </c>
      <c r="AW338" t="s">
        <v>1907</v>
      </c>
      <c r="AX338">
        <f>+SUMIFS(CRUCE!C:C,CRUCE!A:A,D338,CRUCE!B:B,'2021'!H338)</f>
        <v>207017358.94</v>
      </c>
    </row>
    <row r="339" spans="1:50" x14ac:dyDescent="0.3">
      <c r="A339">
        <v>2021</v>
      </c>
      <c r="B339">
        <v>314</v>
      </c>
      <c r="C339">
        <v>12100200210</v>
      </c>
      <c r="D339" s="5">
        <v>137</v>
      </c>
      <c r="E339" s="8" t="s">
        <v>626</v>
      </c>
      <c r="F339">
        <v>12100200210</v>
      </c>
      <c r="G339" t="s">
        <v>1910</v>
      </c>
      <c r="H339" s="8" t="s">
        <v>627</v>
      </c>
      <c r="I339" t="s">
        <v>558</v>
      </c>
      <c r="J339" s="11">
        <v>0</v>
      </c>
      <c r="K339" s="11">
        <v>0</v>
      </c>
      <c r="L339" s="11">
        <v>1411366447.05</v>
      </c>
      <c r="M339" s="11">
        <v>0</v>
      </c>
      <c r="N339" s="11">
        <v>1411366447.05</v>
      </c>
      <c r="O339" s="11">
        <v>1411366447.05</v>
      </c>
      <c r="P339" s="11">
        <v>0</v>
      </c>
      <c r="Q339" s="11">
        <v>1411366447.05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1411366447.05</v>
      </c>
      <c r="Y339" s="11">
        <v>0</v>
      </c>
      <c r="Z339" s="17">
        <v>1411366447.05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1411366447.05</v>
      </c>
      <c r="AH339" s="11">
        <v>0</v>
      </c>
      <c r="AI339" s="12">
        <v>1411366447.05</v>
      </c>
      <c r="AJ339" s="11">
        <v>1411366447.05</v>
      </c>
      <c r="AK339" s="11">
        <v>1411366447.05</v>
      </c>
      <c r="AL339" s="11">
        <v>1411366447.05</v>
      </c>
      <c r="AM339" s="11">
        <v>0</v>
      </c>
      <c r="AN339" s="11">
        <v>0</v>
      </c>
      <c r="AO339" s="11">
        <v>0</v>
      </c>
      <c r="AP339" s="11">
        <v>0</v>
      </c>
      <c r="AQ339" s="11">
        <v>0</v>
      </c>
      <c r="AR339" s="11">
        <v>0</v>
      </c>
      <c r="AS339" t="s">
        <v>628</v>
      </c>
      <c r="AT339" s="4" t="str">
        <f t="shared" ref="AT339:AT342" si="50">+H339</f>
        <v>Superávit PAE Educación</v>
      </c>
      <c r="AU339" s="7" t="str">
        <f t="shared" si="49"/>
        <v>137Superávit PAE Educación1411366447,05</v>
      </c>
      <c r="AV339" t="e">
        <f>+_xlfn.XLOOKUP(AU339,CRUCE!I:I,CRUCE!M:M)</f>
        <v>#N/A</v>
      </c>
      <c r="AW339" t="s">
        <v>1907</v>
      </c>
      <c r="AX339">
        <f>+SUMIFS(CRUCE!C:C,CRUCE!A:A,D339,CRUCE!B:B,'2021'!H339)</f>
        <v>1506571158.05</v>
      </c>
    </row>
    <row r="340" spans="1:50" x14ac:dyDescent="0.3">
      <c r="A340">
        <v>2021</v>
      </c>
      <c r="B340">
        <v>314</v>
      </c>
      <c r="C340">
        <v>12100200214</v>
      </c>
      <c r="D340" s="5">
        <v>188</v>
      </c>
      <c r="E340" s="8" t="s">
        <v>629</v>
      </c>
      <c r="F340">
        <v>12100200214</v>
      </c>
      <c r="G340" t="s">
        <v>1910</v>
      </c>
      <c r="H340" s="8" t="s">
        <v>630</v>
      </c>
      <c r="I340" t="s">
        <v>558</v>
      </c>
      <c r="J340" s="11">
        <v>0</v>
      </c>
      <c r="K340" s="11">
        <v>0</v>
      </c>
      <c r="L340" s="11">
        <v>3120000</v>
      </c>
      <c r="M340" s="11">
        <v>0</v>
      </c>
      <c r="N340" s="11">
        <v>3120000</v>
      </c>
      <c r="O340" s="11">
        <v>3120000</v>
      </c>
      <c r="P340" s="11">
        <v>0</v>
      </c>
      <c r="Q340" s="11">
        <v>3120000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3120000</v>
      </c>
      <c r="Y340" s="11">
        <v>0</v>
      </c>
      <c r="Z340" s="17">
        <v>3120000</v>
      </c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11">
        <v>0</v>
      </c>
      <c r="AG340" s="11">
        <v>3120000</v>
      </c>
      <c r="AH340" s="11">
        <v>0</v>
      </c>
      <c r="AI340" s="12">
        <v>3120000</v>
      </c>
      <c r="AJ340" s="11">
        <v>3120000</v>
      </c>
      <c r="AK340" s="11">
        <v>3120000</v>
      </c>
      <c r="AL340" s="11">
        <v>3120000</v>
      </c>
      <c r="AM340" s="11">
        <v>0</v>
      </c>
      <c r="AN340" s="11">
        <v>0</v>
      </c>
      <c r="AO340" s="11">
        <v>0</v>
      </c>
      <c r="AP340" s="11">
        <v>0</v>
      </c>
      <c r="AQ340" s="11">
        <v>0</v>
      </c>
      <c r="AR340" s="11">
        <v>0</v>
      </c>
      <c r="AS340" t="s">
        <v>631</v>
      </c>
      <c r="AT340" s="4" t="str">
        <f t="shared" si="50"/>
        <v>Exigibilidades SGP Educación</v>
      </c>
      <c r="AU340" s="7" t="str">
        <f t="shared" si="49"/>
        <v>188Exigibilidades SGP Educación3120000</v>
      </c>
      <c r="AV340" t="str">
        <f>+_xlfn.XLOOKUP(AU340,CRUCE!I:I,CRUCE!M:M)</f>
        <v>READY</v>
      </c>
      <c r="AW340" t="s">
        <v>1907</v>
      </c>
      <c r="AX340">
        <f>+SUMIFS(CRUCE!C:C,CRUCE!A:A,D340,CRUCE!B:B,'2021'!H340)</f>
        <v>3120000</v>
      </c>
    </row>
    <row r="341" spans="1:50" x14ac:dyDescent="0.3">
      <c r="A341">
        <v>2021</v>
      </c>
      <c r="B341">
        <v>314</v>
      </c>
      <c r="C341">
        <v>12100200215</v>
      </c>
      <c r="D341" s="5">
        <v>187</v>
      </c>
      <c r="E341" s="8" t="s">
        <v>632</v>
      </c>
      <c r="F341">
        <v>12100200215</v>
      </c>
      <c r="G341" t="s">
        <v>1910</v>
      </c>
      <c r="H341" s="8" t="s">
        <v>633</v>
      </c>
      <c r="I341" t="s">
        <v>558</v>
      </c>
      <c r="J341" s="11">
        <v>0</v>
      </c>
      <c r="K341" s="11">
        <v>0</v>
      </c>
      <c r="L341" s="11">
        <v>1792032472.8499999</v>
      </c>
      <c r="M341" s="11">
        <v>0</v>
      </c>
      <c r="N341" s="11">
        <v>1792032472.8499999</v>
      </c>
      <c r="O341" s="11">
        <v>1792032472.8499999</v>
      </c>
      <c r="P341" s="11">
        <v>0</v>
      </c>
      <c r="Q341" s="11">
        <v>1792032472.8499999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1792032472.8499999</v>
      </c>
      <c r="Y341" s="11">
        <v>0</v>
      </c>
      <c r="Z341" s="17">
        <v>1792032472.8499999</v>
      </c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  <c r="AG341" s="11">
        <v>1792032472.8499999</v>
      </c>
      <c r="AH341" s="11">
        <v>0</v>
      </c>
      <c r="AI341" s="12">
        <v>1792032472.8499999</v>
      </c>
      <c r="AJ341" s="11">
        <v>1792032472.8499999</v>
      </c>
      <c r="AK341" s="11">
        <v>1792032472.8499999</v>
      </c>
      <c r="AL341" s="11">
        <v>1792032472.8499999</v>
      </c>
      <c r="AM341" s="11">
        <v>0</v>
      </c>
      <c r="AN341" s="11">
        <v>0</v>
      </c>
      <c r="AO341" s="11">
        <v>0</v>
      </c>
      <c r="AP341" s="11">
        <v>0</v>
      </c>
      <c r="AQ341" s="11">
        <v>0</v>
      </c>
      <c r="AR341" s="11">
        <v>0</v>
      </c>
      <c r="AS341" t="s">
        <v>634</v>
      </c>
      <c r="AT341" s="4" t="s">
        <v>1218</v>
      </c>
      <c r="AU341" s="7" t="str">
        <f t="shared" si="49"/>
        <v>187Superávit  Transferencias Nacion FOME1792032472,85</v>
      </c>
      <c r="AV341" t="str">
        <f>+_xlfn.XLOOKUP(AU341,CRUCE!I:I,CRUCE!M:M)</f>
        <v>READY</v>
      </c>
      <c r="AW341" t="s">
        <v>1907</v>
      </c>
      <c r="AX341">
        <f>+SUMIFS(CRUCE!C:C,CRUCE!A:A,D341,CRUCE!B:B,'2021'!H341)</f>
        <v>0</v>
      </c>
    </row>
    <row r="342" spans="1:50" x14ac:dyDescent="0.3">
      <c r="A342">
        <v>2021</v>
      </c>
      <c r="B342">
        <v>314</v>
      </c>
      <c r="C342">
        <v>12100200216</v>
      </c>
      <c r="D342" s="5">
        <v>189</v>
      </c>
      <c r="E342" s="8" t="s">
        <v>635</v>
      </c>
      <c r="F342">
        <v>12100200216</v>
      </c>
      <c r="G342" t="s">
        <v>1910</v>
      </c>
      <c r="H342" s="8" t="s">
        <v>636</v>
      </c>
      <c r="I342" t="s">
        <v>558</v>
      </c>
      <c r="J342" s="11">
        <v>0</v>
      </c>
      <c r="K342" s="11">
        <v>0</v>
      </c>
      <c r="L342" s="11">
        <v>13838656.48</v>
      </c>
      <c r="M342" s="11">
        <v>0</v>
      </c>
      <c r="N342" s="11">
        <v>13838656.48</v>
      </c>
      <c r="O342" s="11">
        <v>13838656.48</v>
      </c>
      <c r="P342" s="11">
        <v>0</v>
      </c>
      <c r="Q342" s="11">
        <v>13838656.48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13838656.48</v>
      </c>
      <c r="Y342" s="11">
        <v>0</v>
      </c>
      <c r="Z342" s="17">
        <v>13838656.48</v>
      </c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13838656.48</v>
      </c>
      <c r="AH342" s="11">
        <v>0</v>
      </c>
      <c r="AI342" s="12">
        <v>13838656.48</v>
      </c>
      <c r="AJ342" s="11">
        <v>13838656.48</v>
      </c>
      <c r="AK342" s="11">
        <v>13838656.48</v>
      </c>
      <c r="AL342" s="11">
        <v>13838656.48</v>
      </c>
      <c r="AM342" s="11">
        <v>0</v>
      </c>
      <c r="AN342" s="11">
        <v>0</v>
      </c>
      <c r="AO342" s="11">
        <v>0</v>
      </c>
      <c r="AP342" s="11">
        <v>0</v>
      </c>
      <c r="AQ342" s="11">
        <v>0</v>
      </c>
      <c r="AR342" s="11">
        <v>0</v>
      </c>
      <c r="AS342" t="s">
        <v>637</v>
      </c>
      <c r="AT342" s="4" t="str">
        <f t="shared" si="50"/>
        <v>Superávit Rendimientos Financieros S.G.P. Educación</v>
      </c>
      <c r="AU342" s="7" t="str">
        <f t="shared" si="49"/>
        <v>189Superávit Rendimientos Financieros S.G.P. Educación13838656,48</v>
      </c>
      <c r="AV342" t="str">
        <f>+_xlfn.XLOOKUP(AU342,CRUCE!I:I,CRUCE!M:M)</f>
        <v>READY</v>
      </c>
      <c r="AW342" t="s">
        <v>1907</v>
      </c>
      <c r="AX342">
        <f>+SUMIFS(CRUCE!C:C,CRUCE!A:A,D342,CRUCE!B:B,'2021'!H342)</f>
        <v>13838656.48</v>
      </c>
    </row>
    <row r="343" spans="1:50" hidden="1" x14ac:dyDescent="0.3">
      <c r="A343">
        <v>2021</v>
      </c>
      <c r="B343">
        <v>314</v>
      </c>
      <c r="C343">
        <v>1213</v>
      </c>
      <c r="D343" s="5" t="s">
        <v>44</v>
      </c>
      <c r="E343" s="8" t="s">
        <v>638</v>
      </c>
      <c r="F343">
        <v>1213</v>
      </c>
      <c r="H343" s="8" t="s">
        <v>546</v>
      </c>
      <c r="I343" t="s">
        <v>558</v>
      </c>
      <c r="J343" s="11">
        <v>80000000</v>
      </c>
      <c r="K343" s="11">
        <v>80000000</v>
      </c>
      <c r="L343" s="11">
        <v>173619883</v>
      </c>
      <c r="M343" s="11">
        <v>0</v>
      </c>
      <c r="N343" s="11">
        <v>173619883</v>
      </c>
      <c r="O343" s="11">
        <v>173619883</v>
      </c>
      <c r="P343" s="11">
        <v>0</v>
      </c>
      <c r="Q343" s="11">
        <v>253619883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773579532</v>
      </c>
      <c r="Y343" s="11">
        <v>519959649</v>
      </c>
      <c r="Z343" s="17">
        <v>253619883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773579532</v>
      </c>
      <c r="AH343" s="11">
        <v>519959649</v>
      </c>
      <c r="AI343" s="12">
        <v>253619883</v>
      </c>
      <c r="AJ343" s="11">
        <v>253619883</v>
      </c>
      <c r="AK343" s="11">
        <v>0</v>
      </c>
      <c r="AL343" s="11">
        <v>0</v>
      </c>
      <c r="AM343" s="11">
        <v>427239766</v>
      </c>
      <c r="AN343" s="11">
        <v>600409649</v>
      </c>
      <c r="AO343" s="11">
        <v>173169883</v>
      </c>
      <c r="AP343" s="11">
        <v>600409649</v>
      </c>
      <c r="AQ343" s="11">
        <v>0</v>
      </c>
      <c r="AR343" s="11">
        <v>173169883</v>
      </c>
      <c r="AS343" t="s">
        <v>48</v>
      </c>
      <c r="AT343"/>
    </row>
    <row r="344" spans="1:50" x14ac:dyDescent="0.3">
      <c r="A344">
        <v>2021</v>
      </c>
      <c r="B344">
        <v>314</v>
      </c>
      <c r="C344">
        <v>121301</v>
      </c>
      <c r="D344" s="5">
        <v>9</v>
      </c>
      <c r="E344" s="8" t="s">
        <v>639</v>
      </c>
      <c r="F344">
        <v>121301</v>
      </c>
      <c r="G344" t="s">
        <v>1908</v>
      </c>
      <c r="H344" s="8" t="s">
        <v>459</v>
      </c>
      <c r="I344" t="s">
        <v>558</v>
      </c>
      <c r="J344" s="11">
        <v>80000000</v>
      </c>
      <c r="K344" s="11">
        <v>80000000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80000000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426789766</v>
      </c>
      <c r="Y344" s="11">
        <v>346789766</v>
      </c>
      <c r="Z344" s="17">
        <v>80000000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426789766</v>
      </c>
      <c r="AH344" s="11">
        <v>346789766</v>
      </c>
      <c r="AI344" s="12">
        <v>80000000</v>
      </c>
      <c r="AJ344" s="11">
        <v>80000000</v>
      </c>
      <c r="AK344" s="11">
        <v>0</v>
      </c>
      <c r="AL344" s="11">
        <v>0</v>
      </c>
      <c r="AM344" s="11">
        <v>253619883</v>
      </c>
      <c r="AN344" s="11">
        <v>253619883</v>
      </c>
      <c r="AO344" s="11">
        <v>0</v>
      </c>
      <c r="AP344" s="11">
        <v>253619883</v>
      </c>
      <c r="AQ344" s="11">
        <v>0</v>
      </c>
      <c r="AR344" s="11">
        <v>0</v>
      </c>
      <c r="AS344" t="s">
        <v>625</v>
      </c>
      <c r="AT344" s="4" t="str">
        <f>+H344</f>
        <v>Reintegros</v>
      </c>
      <c r="AU344" s="7" t="str">
        <f t="shared" ref="AU344:AU345" si="51">+$D344&amp;$AT344&amp;Z344</f>
        <v>9Reintegros80000000</v>
      </c>
      <c r="AV344" t="str">
        <f>+_xlfn.XLOOKUP(AU344,CRUCE!I:I,CRUCE!M:M)</f>
        <v>READY</v>
      </c>
      <c r="AW344" t="s">
        <v>1907</v>
      </c>
      <c r="AX344">
        <f>+SUMIFS(CRUCE!C:C,CRUCE!A:A,D344,CRUCE!B:B,'2021'!H344)</f>
        <v>80000000</v>
      </c>
    </row>
    <row r="345" spans="1:50" x14ac:dyDescent="0.3">
      <c r="A345">
        <v>2021</v>
      </c>
      <c r="B345">
        <v>314</v>
      </c>
      <c r="C345">
        <v>121301</v>
      </c>
      <c r="D345" s="5">
        <v>204</v>
      </c>
      <c r="E345" s="8" t="s">
        <v>640</v>
      </c>
      <c r="F345">
        <v>121301</v>
      </c>
      <c r="G345" t="s">
        <v>1908</v>
      </c>
      <c r="H345" s="8" t="s">
        <v>459</v>
      </c>
      <c r="I345" t="s">
        <v>558</v>
      </c>
      <c r="J345" s="11">
        <v>0</v>
      </c>
      <c r="K345" s="11">
        <v>0</v>
      </c>
      <c r="L345" s="11">
        <v>173619883</v>
      </c>
      <c r="M345" s="11">
        <v>0</v>
      </c>
      <c r="N345" s="11">
        <v>173619883</v>
      </c>
      <c r="O345" s="11">
        <v>173619883</v>
      </c>
      <c r="P345" s="11">
        <v>0</v>
      </c>
      <c r="Q345" s="11">
        <v>173619883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346789766</v>
      </c>
      <c r="Y345" s="11">
        <v>173169883</v>
      </c>
      <c r="Z345" s="17">
        <v>173619883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346789766</v>
      </c>
      <c r="AH345" s="11">
        <v>173169883</v>
      </c>
      <c r="AI345" s="12">
        <v>173619883</v>
      </c>
      <c r="AJ345" s="11">
        <v>173619883</v>
      </c>
      <c r="AK345" s="11">
        <v>0</v>
      </c>
      <c r="AL345" s="11">
        <v>0</v>
      </c>
      <c r="AM345" s="11">
        <v>173619883</v>
      </c>
      <c r="AN345" s="11">
        <v>346789766</v>
      </c>
      <c r="AO345" s="11">
        <v>173169883</v>
      </c>
      <c r="AP345" s="11">
        <v>346789766</v>
      </c>
      <c r="AQ345" s="11">
        <v>0</v>
      </c>
      <c r="AR345" s="11">
        <v>173169883</v>
      </c>
      <c r="AS345" t="s">
        <v>641</v>
      </c>
      <c r="AT345" s="4" t="str">
        <f>+H345</f>
        <v>Reintegros</v>
      </c>
      <c r="AU345" s="7" t="str">
        <f t="shared" si="51"/>
        <v>204Reintegros173619883</v>
      </c>
      <c r="AV345" t="str">
        <f>+_xlfn.XLOOKUP(AU345,CRUCE!I:I,CRUCE!M:M)</f>
        <v>READY</v>
      </c>
      <c r="AW345" t="s">
        <v>1907</v>
      </c>
      <c r="AX345">
        <f>+SUMIFS(CRUCE!C:C,CRUCE!A:A,D345,CRUCE!B:B,'2021'!H345)</f>
        <v>173619883</v>
      </c>
    </row>
    <row r="346" spans="1:50" hidden="1" x14ac:dyDescent="0.3">
      <c r="A346">
        <v>2021</v>
      </c>
      <c r="B346">
        <v>318</v>
      </c>
      <c r="C346">
        <v>1</v>
      </c>
      <c r="D346" s="5" t="s">
        <v>44</v>
      </c>
      <c r="E346" s="8" t="s">
        <v>642</v>
      </c>
      <c r="F346">
        <v>1</v>
      </c>
      <c r="H346" s="8" t="s">
        <v>46</v>
      </c>
      <c r="I346" t="s">
        <v>643</v>
      </c>
      <c r="J346" s="11">
        <v>50740342810</v>
      </c>
      <c r="K346" s="11">
        <v>50740342810</v>
      </c>
      <c r="L346" s="11">
        <v>29444946283.830002</v>
      </c>
      <c r="M346" s="11">
        <v>9250563140</v>
      </c>
      <c r="N346" s="11">
        <v>20194383143.830002</v>
      </c>
      <c r="O346" s="11">
        <v>29444946283.830002</v>
      </c>
      <c r="P346" s="11">
        <v>9250563140</v>
      </c>
      <c r="Q346" s="11">
        <v>70934725953.830002</v>
      </c>
      <c r="R346" s="11">
        <v>914354303.67999995</v>
      </c>
      <c r="S346" s="11">
        <v>42728560.57</v>
      </c>
      <c r="T346" s="11">
        <v>871625743.11000001</v>
      </c>
      <c r="U346" s="11">
        <v>0</v>
      </c>
      <c r="V346" s="11">
        <v>0</v>
      </c>
      <c r="W346" s="11">
        <v>0</v>
      </c>
      <c r="X346" s="11">
        <v>93542780425.789993</v>
      </c>
      <c r="Y346" s="11">
        <v>17436315785.240002</v>
      </c>
      <c r="Z346" s="17">
        <v>76106464640.550003</v>
      </c>
      <c r="AA346" s="11">
        <v>914354303.67999995</v>
      </c>
      <c r="AB346" s="11">
        <v>42728560.57</v>
      </c>
      <c r="AC346" s="11">
        <v>871625743.11000001</v>
      </c>
      <c r="AD346" s="11">
        <v>0</v>
      </c>
      <c r="AE346" s="11">
        <v>0</v>
      </c>
      <c r="AF346" s="11">
        <v>0</v>
      </c>
      <c r="AG346" s="11">
        <v>93542780425.789993</v>
      </c>
      <c r="AH346" s="11">
        <v>17436315785.240002</v>
      </c>
      <c r="AI346" s="12">
        <v>76106464640.550003</v>
      </c>
      <c r="AJ346" s="11">
        <v>76106464640.550003</v>
      </c>
      <c r="AK346" s="11">
        <v>24414684142.560001</v>
      </c>
      <c r="AL346" s="11">
        <v>24414684142.560001</v>
      </c>
      <c r="AM346" s="11">
        <v>61966445395.989998</v>
      </c>
      <c r="AN346" s="11">
        <v>63768310304.010002</v>
      </c>
      <c r="AO346" s="11">
        <v>1801864908.02</v>
      </c>
      <c r="AP346" s="11">
        <v>63768310304.010002</v>
      </c>
      <c r="AQ346" s="11">
        <v>0</v>
      </c>
      <c r="AR346" s="11">
        <v>1801864908.02</v>
      </c>
      <c r="AS346" t="s">
        <v>48</v>
      </c>
      <c r="AT346"/>
    </row>
    <row r="347" spans="1:50" hidden="1" x14ac:dyDescent="0.3">
      <c r="A347">
        <v>2021</v>
      </c>
      <c r="B347">
        <v>318</v>
      </c>
      <c r="C347">
        <v>11</v>
      </c>
      <c r="D347" s="5" t="s">
        <v>44</v>
      </c>
      <c r="E347" s="8" t="s">
        <v>644</v>
      </c>
      <c r="F347">
        <v>11</v>
      </c>
      <c r="H347" s="8" t="s">
        <v>50</v>
      </c>
      <c r="I347" t="s">
        <v>643</v>
      </c>
      <c r="J347" s="11">
        <v>50119196013</v>
      </c>
      <c r="K347" s="11">
        <v>50119196013</v>
      </c>
      <c r="L347" s="11">
        <v>14068593445.1</v>
      </c>
      <c r="M347" s="11">
        <v>548075535</v>
      </c>
      <c r="N347" s="11">
        <v>13520517910.1</v>
      </c>
      <c r="O347" s="11">
        <v>14068593445.1</v>
      </c>
      <c r="P347" s="11">
        <v>548075535</v>
      </c>
      <c r="Q347" s="11">
        <v>63639713923.099998</v>
      </c>
      <c r="R347" s="11">
        <v>914354303.67999995</v>
      </c>
      <c r="S347" s="11">
        <v>42728560.57</v>
      </c>
      <c r="T347" s="11">
        <v>871625743.11000001</v>
      </c>
      <c r="U347" s="11">
        <v>0</v>
      </c>
      <c r="V347" s="11">
        <v>0</v>
      </c>
      <c r="W347" s="11">
        <v>0</v>
      </c>
      <c r="X347" s="11">
        <v>76118976086.830002</v>
      </c>
      <c r="Y347" s="11">
        <v>8494702474.2399998</v>
      </c>
      <c r="Z347" s="17">
        <v>67624273612.589996</v>
      </c>
      <c r="AA347" s="11">
        <v>914354303.67999995</v>
      </c>
      <c r="AB347" s="11">
        <v>42728560.57</v>
      </c>
      <c r="AC347" s="11">
        <v>871625743.11000001</v>
      </c>
      <c r="AD347" s="11">
        <v>0</v>
      </c>
      <c r="AE347" s="11">
        <v>0</v>
      </c>
      <c r="AF347" s="11">
        <v>0</v>
      </c>
      <c r="AG347" s="11">
        <v>76118976086.830002</v>
      </c>
      <c r="AH347" s="11">
        <v>8494702474.2399998</v>
      </c>
      <c r="AI347" s="12">
        <v>67624273612.589996</v>
      </c>
      <c r="AJ347" s="11">
        <v>67624273612.589996</v>
      </c>
      <c r="AK347" s="11">
        <v>18002075270.299999</v>
      </c>
      <c r="AL347" s="11">
        <v>18002075270.299999</v>
      </c>
      <c r="AM347" s="11">
        <v>51194347075.290001</v>
      </c>
      <c r="AN347" s="11">
        <v>52996211983.309998</v>
      </c>
      <c r="AO347" s="11">
        <v>1801864908.02</v>
      </c>
      <c r="AP347" s="11">
        <v>52996211983.309998</v>
      </c>
      <c r="AQ347" s="11">
        <v>0</v>
      </c>
      <c r="AR347" s="11">
        <v>1801864908.02</v>
      </c>
      <c r="AS347" t="s">
        <v>48</v>
      </c>
      <c r="AT347"/>
    </row>
    <row r="348" spans="1:50" hidden="1" x14ac:dyDescent="0.3">
      <c r="A348">
        <v>2021</v>
      </c>
      <c r="B348">
        <v>318</v>
      </c>
      <c r="C348">
        <v>1101</v>
      </c>
      <c r="D348" s="5" t="s">
        <v>44</v>
      </c>
      <c r="E348" s="8" t="s">
        <v>645</v>
      </c>
      <c r="F348">
        <v>1101</v>
      </c>
      <c r="H348" s="8" t="s">
        <v>52</v>
      </c>
      <c r="I348" t="s">
        <v>643</v>
      </c>
      <c r="J348" s="11">
        <v>24969356399</v>
      </c>
      <c r="K348" s="11">
        <v>24969356399</v>
      </c>
      <c r="L348" s="11">
        <v>3249295760.6300001</v>
      </c>
      <c r="M348" s="11">
        <v>54899687</v>
      </c>
      <c r="N348" s="11">
        <v>3194396073.6300001</v>
      </c>
      <c r="O348" s="11">
        <v>3249295760.6300001</v>
      </c>
      <c r="P348" s="11">
        <v>54899687</v>
      </c>
      <c r="Q348" s="11">
        <v>28163752472.630001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35969093349.480003</v>
      </c>
      <c r="Y348" s="11">
        <v>5332483522.8999996</v>
      </c>
      <c r="Z348" s="17">
        <v>30636609826.580002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35969093349.480003</v>
      </c>
      <c r="AH348" s="11">
        <v>5332483522.8999996</v>
      </c>
      <c r="AI348" s="12">
        <v>30636609826.580002</v>
      </c>
      <c r="AJ348" s="11">
        <v>30636609826.580002</v>
      </c>
      <c r="AK348" s="11">
        <v>9965200365.2999992</v>
      </c>
      <c r="AL348" s="11">
        <v>9965200365.2999992</v>
      </c>
      <c r="AM348" s="11">
        <v>20671409461.279999</v>
      </c>
      <c r="AN348" s="11">
        <v>22089400383.959999</v>
      </c>
      <c r="AO348" s="11">
        <v>1417990922.6800001</v>
      </c>
      <c r="AP348" s="11">
        <v>22089400383.959999</v>
      </c>
      <c r="AQ348" s="11">
        <v>0</v>
      </c>
      <c r="AR348" s="11">
        <v>1417990922.6800001</v>
      </c>
      <c r="AS348" t="s">
        <v>48</v>
      </c>
      <c r="AT348"/>
    </row>
    <row r="349" spans="1:50" hidden="1" x14ac:dyDescent="0.3">
      <c r="A349">
        <v>2021</v>
      </c>
      <c r="B349">
        <v>318</v>
      </c>
      <c r="C349">
        <v>110101</v>
      </c>
      <c r="D349" s="5" t="s">
        <v>44</v>
      </c>
      <c r="E349" s="8" t="s">
        <v>646</v>
      </c>
      <c r="F349">
        <v>110101</v>
      </c>
      <c r="H349" s="8" t="s">
        <v>54</v>
      </c>
      <c r="I349" t="s">
        <v>643</v>
      </c>
      <c r="J349" s="11">
        <v>668014036</v>
      </c>
      <c r="K349" s="11">
        <v>668014036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668014036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1263613829.72</v>
      </c>
      <c r="Y349" s="11">
        <v>523952320.72000003</v>
      </c>
      <c r="Z349" s="17">
        <v>739661509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1">
        <v>1263613829.72</v>
      </c>
      <c r="AH349" s="11">
        <v>523952320.72000003</v>
      </c>
      <c r="AI349" s="12">
        <v>739661509</v>
      </c>
      <c r="AJ349" s="11">
        <v>739661509</v>
      </c>
      <c r="AK349" s="11">
        <v>554842737</v>
      </c>
      <c r="AL349" s="11">
        <v>554842737</v>
      </c>
      <c r="AM349" s="11">
        <v>184818772</v>
      </c>
      <c r="AN349" s="11">
        <v>184818772</v>
      </c>
      <c r="AO349" s="11">
        <v>0</v>
      </c>
      <c r="AP349" s="11">
        <v>184818772</v>
      </c>
      <c r="AQ349" s="11">
        <v>0</v>
      </c>
      <c r="AR349" s="11">
        <v>0</v>
      </c>
      <c r="AS349" t="s">
        <v>48</v>
      </c>
      <c r="AT349"/>
    </row>
    <row r="350" spans="1:50" hidden="1" x14ac:dyDescent="0.3">
      <c r="A350">
        <v>2021</v>
      </c>
      <c r="B350">
        <v>318</v>
      </c>
      <c r="C350">
        <v>110101101</v>
      </c>
      <c r="D350" s="5" t="s">
        <v>44</v>
      </c>
      <c r="E350" s="8" t="s">
        <v>647</v>
      </c>
      <c r="F350">
        <v>110101101</v>
      </c>
      <c r="H350" s="8" t="s">
        <v>648</v>
      </c>
      <c r="I350" t="s">
        <v>643</v>
      </c>
      <c r="J350" s="11">
        <v>668014036</v>
      </c>
      <c r="K350" s="11">
        <v>668014036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668014036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1263613829.72</v>
      </c>
      <c r="Y350" s="11">
        <v>523952320.72000003</v>
      </c>
      <c r="Z350" s="17">
        <v>739661509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1263613829.72</v>
      </c>
      <c r="AH350" s="11">
        <v>523952320.72000003</v>
      </c>
      <c r="AI350" s="12">
        <v>739661509</v>
      </c>
      <c r="AJ350" s="11">
        <v>739661509</v>
      </c>
      <c r="AK350" s="11">
        <v>554842737</v>
      </c>
      <c r="AL350" s="11">
        <v>554842737</v>
      </c>
      <c r="AM350" s="11">
        <v>184818772</v>
      </c>
      <c r="AN350" s="11">
        <v>184818772</v>
      </c>
      <c r="AO350" s="11">
        <v>0</v>
      </c>
      <c r="AP350" s="11">
        <v>184818772</v>
      </c>
      <c r="AQ350" s="11">
        <v>0</v>
      </c>
      <c r="AR350" s="11">
        <v>0</v>
      </c>
      <c r="AS350" t="s">
        <v>48</v>
      </c>
      <c r="AT350"/>
    </row>
    <row r="351" spans="1:50" x14ac:dyDescent="0.3">
      <c r="A351">
        <v>2021</v>
      </c>
      <c r="B351">
        <v>318</v>
      </c>
      <c r="C351">
        <v>11010110101</v>
      </c>
      <c r="D351" s="5">
        <v>154</v>
      </c>
      <c r="E351" s="8" t="s">
        <v>649</v>
      </c>
      <c r="F351">
        <v>11010110101</v>
      </c>
      <c r="G351" t="s">
        <v>1908</v>
      </c>
      <c r="H351" s="8" t="s">
        <v>650</v>
      </c>
      <c r="I351" t="s">
        <v>643</v>
      </c>
      <c r="J351" s="11">
        <v>45424955</v>
      </c>
      <c r="K351" s="11">
        <v>45424955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45424955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502707056</v>
      </c>
      <c r="Y351" s="11">
        <v>437355138.72000003</v>
      </c>
      <c r="Z351" s="17">
        <v>65351917.280000001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502707056</v>
      </c>
      <c r="AH351" s="11">
        <v>437355138.72000003</v>
      </c>
      <c r="AI351" s="12">
        <v>65351917.280000001</v>
      </c>
      <c r="AJ351" s="11">
        <v>65351917.280000001</v>
      </c>
      <c r="AK351" s="11">
        <v>65351917.280000001</v>
      </c>
      <c r="AL351" s="11">
        <v>65351917.280000001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t="s">
        <v>651</v>
      </c>
      <c r="AT351" s="4" t="str">
        <f t="shared" ref="AT351:AT356" si="52">+H351</f>
        <v>Impuesto a Ganadores Sorteo Extraordinario  68%</v>
      </c>
      <c r="AU351" s="7" t="str">
        <f t="shared" ref="AU351:AU356" si="53">+$D351&amp;$AT351&amp;Z351</f>
        <v>154Impuesto a Ganadores Sorteo Extraordinario  68%65351917,28</v>
      </c>
      <c r="AV351" t="str">
        <f>+_xlfn.XLOOKUP(AU351,CRUCE!I:I,CRUCE!M:M)</f>
        <v>READY</v>
      </c>
      <c r="AW351" t="s">
        <v>1907</v>
      </c>
      <c r="AX351">
        <f>+SUMIFS(CRUCE!C:C,CRUCE!A:A,D351,CRUCE!B:B,'2021'!H351)</f>
        <v>65351917.280000001</v>
      </c>
    </row>
    <row r="352" spans="1:50" x14ac:dyDescent="0.3">
      <c r="A352">
        <v>2021</v>
      </c>
      <c r="B352">
        <v>318</v>
      </c>
      <c r="C352">
        <v>11010110102</v>
      </c>
      <c r="D352" s="5">
        <v>154</v>
      </c>
      <c r="E352" s="8" t="s">
        <v>652</v>
      </c>
      <c r="F352">
        <v>11010110102</v>
      </c>
      <c r="G352" t="s">
        <v>1908</v>
      </c>
      <c r="H352" s="8" t="s">
        <v>653</v>
      </c>
      <c r="I352" t="s">
        <v>643</v>
      </c>
      <c r="J352" s="11">
        <v>408824590</v>
      </c>
      <c r="K352" s="11">
        <v>408824590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408824590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523952320.72000003</v>
      </c>
      <c r="Y352" s="11">
        <v>86597182</v>
      </c>
      <c r="Z352" s="17">
        <v>437355138.72000003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523952320.72000003</v>
      </c>
      <c r="AH352" s="11">
        <v>86597182</v>
      </c>
      <c r="AI352" s="12">
        <v>437355138.72000003</v>
      </c>
      <c r="AJ352" s="11">
        <v>437355138.72000003</v>
      </c>
      <c r="AK352" s="11">
        <v>437355138.72000003</v>
      </c>
      <c r="AL352" s="11">
        <v>437355138.72000003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t="s">
        <v>651</v>
      </c>
      <c r="AT352" s="4" t="str">
        <f t="shared" si="52"/>
        <v>Impuestos a Ganadores Sorteo Ordinario 68%</v>
      </c>
      <c r="AU352" s="7" t="str">
        <f t="shared" si="53"/>
        <v>154Impuestos a Ganadores Sorteo Ordinario 68%437355138,72</v>
      </c>
      <c r="AV352" t="str">
        <f>+_xlfn.XLOOKUP(AU352,CRUCE!I:I,CRUCE!M:M)</f>
        <v>READY</v>
      </c>
      <c r="AW352" t="s">
        <v>1907</v>
      </c>
      <c r="AX352">
        <f>+SUMIFS(CRUCE!C:C,CRUCE!A:A,D352,CRUCE!B:B,'2021'!H352)</f>
        <v>437355138.72000003</v>
      </c>
    </row>
    <row r="353" spans="1:50" x14ac:dyDescent="0.3">
      <c r="A353">
        <v>2021</v>
      </c>
      <c r="B353">
        <v>318</v>
      </c>
      <c r="C353">
        <v>11010110103</v>
      </c>
      <c r="D353" s="5">
        <v>72</v>
      </c>
      <c r="E353" s="8" t="s">
        <v>654</v>
      </c>
      <c r="F353">
        <v>11010110103</v>
      </c>
      <c r="G353" t="s">
        <v>1908</v>
      </c>
      <c r="H353" s="8" t="s">
        <v>655</v>
      </c>
      <c r="I353" t="s">
        <v>643</v>
      </c>
      <c r="J353" s="11">
        <v>16700351</v>
      </c>
      <c r="K353" s="11">
        <v>16700351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16700351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22850251</v>
      </c>
      <c r="Y353" s="11">
        <v>0</v>
      </c>
      <c r="Z353" s="17">
        <v>22850251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22850251</v>
      </c>
      <c r="AH353" s="11">
        <v>0</v>
      </c>
      <c r="AI353" s="12">
        <v>22850251</v>
      </c>
      <c r="AJ353" s="11">
        <v>22850251</v>
      </c>
      <c r="AK353" s="11">
        <v>0</v>
      </c>
      <c r="AL353" s="11">
        <v>0</v>
      </c>
      <c r="AM353" s="11">
        <v>22850251</v>
      </c>
      <c r="AN353" s="11">
        <v>22850251</v>
      </c>
      <c r="AO353" s="11">
        <v>0</v>
      </c>
      <c r="AP353" s="11">
        <v>22850251</v>
      </c>
      <c r="AQ353" s="11">
        <v>0</v>
      </c>
      <c r="AR353" s="11">
        <v>0</v>
      </c>
      <c r="AS353" t="s">
        <v>656</v>
      </c>
      <c r="AT353" s="4" t="str">
        <f t="shared" si="52"/>
        <v>Impuesto a Ganadores Sorteo Extraordinario 25%</v>
      </c>
      <c r="AU353" s="7" t="str">
        <f t="shared" si="53"/>
        <v>72Impuesto a Ganadores Sorteo Extraordinario 25%22850251</v>
      </c>
      <c r="AV353" t="str">
        <f>+_xlfn.XLOOKUP(AU353,CRUCE!I:I,CRUCE!M:M)</f>
        <v>READY</v>
      </c>
      <c r="AW353" t="s">
        <v>1907</v>
      </c>
      <c r="AX353">
        <f>+SUMIFS(CRUCE!C:C,CRUCE!A:A,D353,CRUCE!B:B,'2021'!H353)</f>
        <v>22850251</v>
      </c>
    </row>
    <row r="354" spans="1:50" x14ac:dyDescent="0.3">
      <c r="A354">
        <v>2021</v>
      </c>
      <c r="B354">
        <v>318</v>
      </c>
      <c r="C354">
        <v>11010110104</v>
      </c>
      <c r="D354" s="5">
        <v>72</v>
      </c>
      <c r="E354" s="8" t="s">
        <v>657</v>
      </c>
      <c r="F354">
        <v>11010110104</v>
      </c>
      <c r="G354" t="s">
        <v>1908</v>
      </c>
      <c r="H354" s="8" t="s">
        <v>658</v>
      </c>
      <c r="I354" t="s">
        <v>643</v>
      </c>
      <c r="J354" s="11">
        <v>150303158</v>
      </c>
      <c r="K354" s="11">
        <v>150303158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150303158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161968521</v>
      </c>
      <c r="Y354" s="11">
        <v>0</v>
      </c>
      <c r="Z354" s="17">
        <v>161968521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161968521</v>
      </c>
      <c r="AH354" s="11">
        <v>0</v>
      </c>
      <c r="AI354" s="12">
        <v>161968521</v>
      </c>
      <c r="AJ354" s="11">
        <v>161968521</v>
      </c>
      <c r="AK354" s="11">
        <v>0</v>
      </c>
      <c r="AL354" s="11">
        <v>0</v>
      </c>
      <c r="AM354" s="11">
        <v>161968521</v>
      </c>
      <c r="AN354" s="11">
        <v>161968521</v>
      </c>
      <c r="AO354" s="11">
        <v>0</v>
      </c>
      <c r="AP354" s="11">
        <v>161968521</v>
      </c>
      <c r="AQ354" s="11">
        <v>0</v>
      </c>
      <c r="AR354" s="11">
        <v>0</v>
      </c>
      <c r="AS354" t="s">
        <v>656</v>
      </c>
      <c r="AT354" s="4" t="str">
        <f t="shared" si="52"/>
        <v>Impuesto a Ganadores Sorteo Ordinario 25%</v>
      </c>
      <c r="AU354" s="7" t="str">
        <f t="shared" si="53"/>
        <v>72Impuesto a Ganadores Sorteo Ordinario 25%161968521</v>
      </c>
      <c r="AV354" t="str">
        <f>+_xlfn.XLOOKUP(AU354,CRUCE!I:I,CRUCE!M:M)</f>
        <v>READY</v>
      </c>
      <c r="AW354" t="s">
        <v>1907</v>
      </c>
      <c r="AX354">
        <f>+SUMIFS(CRUCE!C:C,CRUCE!A:A,D354,CRUCE!B:B,'2021'!H354)</f>
        <v>161968521</v>
      </c>
    </row>
    <row r="355" spans="1:50" x14ac:dyDescent="0.3">
      <c r="A355">
        <v>2021</v>
      </c>
      <c r="B355">
        <v>318</v>
      </c>
      <c r="C355">
        <v>11010110105</v>
      </c>
      <c r="D355" s="5">
        <v>181</v>
      </c>
      <c r="E355" s="8" t="s">
        <v>659</v>
      </c>
      <c r="F355">
        <v>11010110105</v>
      </c>
      <c r="G355" t="s">
        <v>1908</v>
      </c>
      <c r="H355" s="8" t="s">
        <v>660</v>
      </c>
      <c r="I355" t="s">
        <v>643</v>
      </c>
      <c r="J355" s="11">
        <v>4676098</v>
      </c>
      <c r="K355" s="11">
        <v>4676098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4676098</v>
      </c>
      <c r="R355" s="11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0</v>
      </c>
      <c r="X355" s="11">
        <v>2973319</v>
      </c>
      <c r="Y355" s="11">
        <v>0</v>
      </c>
      <c r="Z355" s="17">
        <v>2973319</v>
      </c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11">
        <v>0</v>
      </c>
      <c r="AG355" s="11">
        <v>2973319</v>
      </c>
      <c r="AH355" s="11">
        <v>0</v>
      </c>
      <c r="AI355" s="12">
        <v>2973319</v>
      </c>
      <c r="AJ355" s="11">
        <v>2973319</v>
      </c>
      <c r="AK355" s="11">
        <v>2973319</v>
      </c>
      <c r="AL355" s="11">
        <v>2973319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s="11">
        <v>0</v>
      </c>
      <c r="AS355" t="s">
        <v>661</v>
      </c>
      <c r="AT355" s="4" t="str">
        <f t="shared" si="52"/>
        <v>Colciencias 7% Impuesto a Ganadores Sorteo Extraordinario</v>
      </c>
      <c r="AU355" s="7" t="str">
        <f t="shared" si="53"/>
        <v>181Colciencias 7% Impuesto a Ganadores Sorteo Extraordinario2973319</v>
      </c>
      <c r="AV355" t="str">
        <f>+_xlfn.XLOOKUP(AU355,CRUCE!I:I,CRUCE!M:M)</f>
        <v>READY</v>
      </c>
      <c r="AW355" t="s">
        <v>1907</v>
      </c>
      <c r="AX355">
        <f>+SUMIFS(CRUCE!C:C,CRUCE!A:A,D355,CRUCE!B:B,'2021'!H355)</f>
        <v>2973319</v>
      </c>
    </row>
    <row r="356" spans="1:50" x14ac:dyDescent="0.3">
      <c r="A356">
        <v>2021</v>
      </c>
      <c r="B356">
        <v>318</v>
      </c>
      <c r="C356">
        <v>11010110106</v>
      </c>
      <c r="D356" s="5">
        <v>181</v>
      </c>
      <c r="E356" s="8" t="s">
        <v>662</v>
      </c>
      <c r="F356">
        <v>11010110106</v>
      </c>
      <c r="G356" t="s">
        <v>1908</v>
      </c>
      <c r="H356" s="8" t="s">
        <v>663</v>
      </c>
      <c r="I356" t="s">
        <v>643</v>
      </c>
      <c r="J356" s="11">
        <v>42084884</v>
      </c>
      <c r="K356" s="11">
        <v>42084884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42084884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49162362</v>
      </c>
      <c r="Y356" s="11">
        <v>0</v>
      </c>
      <c r="Z356" s="17">
        <v>49162362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49162362</v>
      </c>
      <c r="AH356" s="11">
        <v>0</v>
      </c>
      <c r="AI356" s="12">
        <v>49162362</v>
      </c>
      <c r="AJ356" s="11">
        <v>49162362</v>
      </c>
      <c r="AK356" s="11">
        <v>49162362</v>
      </c>
      <c r="AL356" s="11">
        <v>49162362</v>
      </c>
      <c r="AM356" s="11">
        <v>0</v>
      </c>
      <c r="AN356" s="11">
        <v>0</v>
      </c>
      <c r="AO356" s="11">
        <v>0</v>
      </c>
      <c r="AP356" s="11">
        <v>0</v>
      </c>
      <c r="AQ356" s="11">
        <v>0</v>
      </c>
      <c r="AR356" s="11">
        <v>0</v>
      </c>
      <c r="AS356" t="s">
        <v>661</v>
      </c>
      <c r="AT356" s="4" t="str">
        <f t="shared" si="52"/>
        <v>Colciencias 7% Impuesto a Ganadores Sorteo ordinario</v>
      </c>
      <c r="AU356" s="7" t="str">
        <f t="shared" si="53"/>
        <v>181Colciencias 7% Impuesto a Ganadores Sorteo ordinario49162362</v>
      </c>
      <c r="AV356" t="str">
        <f>+_xlfn.XLOOKUP(AU356,CRUCE!I:I,CRUCE!M:M)</f>
        <v>READY</v>
      </c>
      <c r="AW356" t="s">
        <v>1907</v>
      </c>
      <c r="AX356">
        <f>+SUMIFS(CRUCE!C:C,CRUCE!A:A,D356,CRUCE!B:B,'2021'!H356)</f>
        <v>49162362</v>
      </c>
    </row>
    <row r="357" spans="1:50" hidden="1" x14ac:dyDescent="0.3">
      <c r="A357">
        <v>2021</v>
      </c>
      <c r="B357">
        <v>318</v>
      </c>
      <c r="C357">
        <v>110102</v>
      </c>
      <c r="D357" s="5" t="s">
        <v>44</v>
      </c>
      <c r="E357" s="8" t="s">
        <v>664</v>
      </c>
      <c r="F357">
        <v>110102</v>
      </c>
      <c r="H357" s="8" t="s">
        <v>59</v>
      </c>
      <c r="I357" t="s">
        <v>643</v>
      </c>
      <c r="J357" s="11">
        <v>24301342363</v>
      </c>
      <c r="K357" s="11">
        <v>24301342363</v>
      </c>
      <c r="L357" s="11">
        <v>3249295760.6300001</v>
      </c>
      <c r="M357" s="11">
        <v>54899687</v>
      </c>
      <c r="N357" s="11">
        <v>3194396073.6300001</v>
      </c>
      <c r="O357" s="11">
        <v>3249295760.6300001</v>
      </c>
      <c r="P357" s="11">
        <v>54899687</v>
      </c>
      <c r="Q357" s="11">
        <v>27495738436.630001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0</v>
      </c>
      <c r="X357" s="11">
        <v>34705479519.760002</v>
      </c>
      <c r="Y357" s="11">
        <v>4808531202.1800003</v>
      </c>
      <c r="Z357" s="17">
        <v>29896948317.580002</v>
      </c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11">
        <v>0</v>
      </c>
      <c r="AG357" s="11">
        <v>34705479519.760002</v>
      </c>
      <c r="AH357" s="11">
        <v>4808531202.1800003</v>
      </c>
      <c r="AI357" s="12">
        <v>29896948317.580002</v>
      </c>
      <c r="AJ357" s="11">
        <v>29896948317.580002</v>
      </c>
      <c r="AK357" s="11">
        <v>9410357628.2999992</v>
      </c>
      <c r="AL357" s="11">
        <v>9410357628.2999992</v>
      </c>
      <c r="AM357" s="11">
        <v>20486590689.279999</v>
      </c>
      <c r="AN357" s="11">
        <v>21904581611.959999</v>
      </c>
      <c r="AO357" s="11">
        <v>1417990922.6800001</v>
      </c>
      <c r="AP357" s="11">
        <v>21904581611.959999</v>
      </c>
      <c r="AQ357" s="11">
        <v>0</v>
      </c>
      <c r="AR357" s="11">
        <v>1417990922.6800001</v>
      </c>
      <c r="AS357" t="s">
        <v>48</v>
      </c>
      <c r="AT357"/>
    </row>
    <row r="358" spans="1:50" hidden="1" x14ac:dyDescent="0.3">
      <c r="A358">
        <v>2021</v>
      </c>
      <c r="B358">
        <v>318</v>
      </c>
      <c r="C358">
        <v>110102101</v>
      </c>
      <c r="D358" s="5" t="s">
        <v>44</v>
      </c>
      <c r="E358" s="8" t="s">
        <v>665</v>
      </c>
      <c r="F358">
        <v>110102101</v>
      </c>
      <c r="H358" s="8" t="s">
        <v>666</v>
      </c>
      <c r="I358" t="s">
        <v>643</v>
      </c>
      <c r="J358" s="11">
        <v>653627697</v>
      </c>
      <c r="K358" s="11">
        <v>653627697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653627697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759570644.79999995</v>
      </c>
      <c r="Y358" s="11">
        <v>37251792</v>
      </c>
      <c r="Z358" s="17">
        <v>722318852.79999995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759570644.79999995</v>
      </c>
      <c r="AH358" s="11">
        <v>37251792</v>
      </c>
      <c r="AI358" s="12">
        <v>722318852.79999995</v>
      </c>
      <c r="AJ358" s="11">
        <v>722318852.79999995</v>
      </c>
      <c r="AK358" s="11">
        <v>529088526.30000001</v>
      </c>
      <c r="AL358" s="11">
        <v>529088526.30000001</v>
      </c>
      <c r="AM358" s="11">
        <v>193230326.5</v>
      </c>
      <c r="AN358" s="11">
        <v>230482118.5</v>
      </c>
      <c r="AO358" s="11">
        <v>37251792</v>
      </c>
      <c r="AP358" s="11">
        <v>230482118.5</v>
      </c>
      <c r="AQ358" s="11">
        <v>0</v>
      </c>
      <c r="AR358" s="11">
        <v>37251792</v>
      </c>
      <c r="AS358" t="s">
        <v>48</v>
      </c>
      <c r="AT358"/>
    </row>
    <row r="359" spans="1:50" x14ac:dyDescent="0.3">
      <c r="A359">
        <v>2021</v>
      </c>
      <c r="B359">
        <v>318</v>
      </c>
      <c r="C359">
        <v>11010210101</v>
      </c>
      <c r="D359" s="5">
        <v>154</v>
      </c>
      <c r="E359" s="8" t="s">
        <v>667</v>
      </c>
      <c r="F359">
        <v>11010210101</v>
      </c>
      <c r="G359" t="s">
        <v>1908</v>
      </c>
      <c r="H359" s="8" t="s">
        <v>668</v>
      </c>
      <c r="I359" t="s">
        <v>643</v>
      </c>
      <c r="J359" s="11">
        <v>444466834</v>
      </c>
      <c r="K359" s="11">
        <v>444466834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444466834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490817036.80000001</v>
      </c>
      <c r="Y359" s="11">
        <v>0</v>
      </c>
      <c r="Z359" s="17">
        <v>490817036.80000001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490817036.80000001</v>
      </c>
      <c r="AH359" s="11">
        <v>0</v>
      </c>
      <c r="AI359" s="12">
        <v>490817036.80000001</v>
      </c>
      <c r="AJ359" s="11">
        <v>490817036.80000001</v>
      </c>
      <c r="AK359" s="11">
        <v>490817036.80000001</v>
      </c>
      <c r="AL359" s="11">
        <v>490817036.80000001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s="11">
        <v>0</v>
      </c>
      <c r="AS359" t="s">
        <v>651</v>
      </c>
      <c r="AT359" s="4" t="str">
        <f t="shared" ref="AT359:AT362" si="54">+H359</f>
        <v>Loterias foraneas 68%</v>
      </c>
      <c r="AU359" s="7" t="str">
        <f t="shared" ref="AU359:AU362" si="55">+$D359&amp;$AT359&amp;Z359</f>
        <v>154Loterias foraneas 68%490817036,8</v>
      </c>
      <c r="AV359" t="str">
        <f>+_xlfn.XLOOKUP(AU359,CRUCE!I:I,CRUCE!M:M)</f>
        <v>READY</v>
      </c>
      <c r="AW359" t="s">
        <v>1907</v>
      </c>
      <c r="AX359">
        <f>+SUMIFS(CRUCE!C:C,CRUCE!A:A,D359,CRUCE!B:B,'2021'!H359)</f>
        <v>490817036.80000001</v>
      </c>
    </row>
    <row r="360" spans="1:50" x14ac:dyDescent="0.3">
      <c r="A360">
        <v>2021</v>
      </c>
      <c r="B360">
        <v>318</v>
      </c>
      <c r="C360">
        <v>11010210102</v>
      </c>
      <c r="D360" s="5">
        <v>72</v>
      </c>
      <c r="E360" s="8" t="s">
        <v>669</v>
      </c>
      <c r="F360">
        <v>11010210102</v>
      </c>
      <c r="G360" t="s">
        <v>1908</v>
      </c>
      <c r="H360" s="8" t="s">
        <v>670</v>
      </c>
      <c r="I360" t="s">
        <v>643</v>
      </c>
      <c r="J360" s="11">
        <v>163406924</v>
      </c>
      <c r="K360" s="11">
        <v>163406924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163406924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216532956</v>
      </c>
      <c r="Y360" s="11">
        <v>37166821</v>
      </c>
      <c r="Z360" s="17">
        <v>179366135</v>
      </c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216532956</v>
      </c>
      <c r="AH360" s="11">
        <v>37166821</v>
      </c>
      <c r="AI360" s="12">
        <v>179366135</v>
      </c>
      <c r="AJ360" s="11">
        <v>179366135</v>
      </c>
      <c r="AK360" s="11">
        <v>0</v>
      </c>
      <c r="AL360" s="11">
        <v>0</v>
      </c>
      <c r="AM360" s="11">
        <v>179366135</v>
      </c>
      <c r="AN360" s="11">
        <v>216532956</v>
      </c>
      <c r="AO360" s="11">
        <v>37166821</v>
      </c>
      <c r="AP360" s="11">
        <v>216532956</v>
      </c>
      <c r="AQ360" s="11">
        <v>0</v>
      </c>
      <c r="AR360" s="11">
        <v>37166821</v>
      </c>
      <c r="AS360" t="s">
        <v>656</v>
      </c>
      <c r="AT360" s="4" t="str">
        <f t="shared" si="54"/>
        <v>Loterias Foráneas 25%</v>
      </c>
      <c r="AU360" s="7" t="str">
        <f t="shared" si="55"/>
        <v>72Loterias Foráneas 25%179366135</v>
      </c>
      <c r="AV360" t="str">
        <f>+_xlfn.XLOOKUP(AU360,CRUCE!I:I,CRUCE!M:M)</f>
        <v>READY</v>
      </c>
      <c r="AW360" t="s">
        <v>1907</v>
      </c>
      <c r="AX360">
        <f>+SUMIFS(CRUCE!C:C,CRUCE!A:A,D360,CRUCE!B:B,'2021'!H360)</f>
        <v>179366135</v>
      </c>
    </row>
    <row r="361" spans="1:50" x14ac:dyDescent="0.3">
      <c r="A361">
        <v>2021</v>
      </c>
      <c r="B361">
        <v>318</v>
      </c>
      <c r="C361">
        <v>11010210103</v>
      </c>
      <c r="D361" s="5">
        <v>181</v>
      </c>
      <c r="E361" s="8" t="s">
        <v>671</v>
      </c>
      <c r="F361">
        <v>11010210103</v>
      </c>
      <c r="G361" t="s">
        <v>1908</v>
      </c>
      <c r="H361" s="8" t="s">
        <v>672</v>
      </c>
      <c r="I361" t="s">
        <v>643</v>
      </c>
      <c r="J361" s="11">
        <v>24707127</v>
      </c>
      <c r="K361" s="11">
        <v>24707127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24707127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38271489.5</v>
      </c>
      <c r="Y361" s="11">
        <v>0</v>
      </c>
      <c r="Z361" s="17">
        <v>38271489.5</v>
      </c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11">
        <v>0</v>
      </c>
      <c r="AG361" s="11">
        <v>38271489.5</v>
      </c>
      <c r="AH361" s="11">
        <v>0</v>
      </c>
      <c r="AI361" s="12">
        <v>38271489.5</v>
      </c>
      <c r="AJ361" s="11">
        <v>38271489.5</v>
      </c>
      <c r="AK361" s="11">
        <v>38271489.5</v>
      </c>
      <c r="AL361" s="11">
        <v>38271489.5</v>
      </c>
      <c r="AM361" s="11">
        <v>0</v>
      </c>
      <c r="AN361" s="11">
        <v>0</v>
      </c>
      <c r="AO361" s="11">
        <v>0</v>
      </c>
      <c r="AP361" s="11">
        <v>0</v>
      </c>
      <c r="AQ361" s="11">
        <v>0</v>
      </c>
      <c r="AR361" s="11">
        <v>0</v>
      </c>
      <c r="AS361" t="s">
        <v>661</v>
      </c>
      <c r="AT361" s="4" t="str">
        <f t="shared" si="54"/>
        <v>Colciencias 7% Loterias Foraneas</v>
      </c>
      <c r="AU361" s="7" t="str">
        <f t="shared" si="55"/>
        <v>181Colciencias 7% Loterias Foraneas38271489,5</v>
      </c>
      <c r="AV361" t="str">
        <f>+_xlfn.XLOOKUP(AU361,CRUCE!I:I,CRUCE!M:M)</f>
        <v>READY</v>
      </c>
      <c r="AW361" t="s">
        <v>1907</v>
      </c>
      <c r="AX361">
        <f>+SUMIFS(CRUCE!C:C,CRUCE!A:A,D361,CRUCE!B:B,'2021'!H361)</f>
        <v>38271489.5</v>
      </c>
    </row>
    <row r="362" spans="1:50" x14ac:dyDescent="0.3">
      <c r="A362">
        <v>2021</v>
      </c>
      <c r="B362">
        <v>318</v>
      </c>
      <c r="C362">
        <v>11010210104</v>
      </c>
      <c r="D362" s="5">
        <v>182</v>
      </c>
      <c r="E362" s="8" t="s">
        <v>673</v>
      </c>
      <c r="F362">
        <v>11010210104</v>
      </c>
      <c r="G362" t="s">
        <v>1908</v>
      </c>
      <c r="H362" s="8" t="s">
        <v>672</v>
      </c>
      <c r="I362" t="s">
        <v>643</v>
      </c>
      <c r="J362" s="11">
        <v>21046812</v>
      </c>
      <c r="K362" s="11">
        <v>21046812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21046812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13949162.5</v>
      </c>
      <c r="Y362" s="11">
        <v>84971</v>
      </c>
      <c r="Z362" s="17">
        <v>13864191.5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13949162.5</v>
      </c>
      <c r="AH362" s="11">
        <v>84971</v>
      </c>
      <c r="AI362" s="12">
        <v>13864191.5</v>
      </c>
      <c r="AJ362" s="11">
        <v>13864191.5</v>
      </c>
      <c r="AK362" s="11">
        <v>0</v>
      </c>
      <c r="AL362" s="11">
        <v>0</v>
      </c>
      <c r="AM362" s="11">
        <v>13864191.5</v>
      </c>
      <c r="AN362" s="11">
        <v>13949162.5</v>
      </c>
      <c r="AO362" s="11">
        <v>84971</v>
      </c>
      <c r="AP362" s="11">
        <v>13949162.5</v>
      </c>
      <c r="AQ362" s="11">
        <v>0</v>
      </c>
      <c r="AR362" s="11">
        <v>84971</v>
      </c>
      <c r="AS362" t="s">
        <v>674</v>
      </c>
      <c r="AT362" s="4" t="str">
        <f t="shared" si="54"/>
        <v>Colciencias 7% Loterias Foraneas</v>
      </c>
      <c r="AU362" s="7" t="str">
        <f t="shared" si="55"/>
        <v>182Colciencias 7% Loterias Foraneas13864191,5</v>
      </c>
      <c r="AV362" t="str">
        <f>+_xlfn.XLOOKUP(AU362,CRUCE!I:I,CRUCE!M:M)</f>
        <v>READY</v>
      </c>
      <c r="AW362" t="s">
        <v>1907</v>
      </c>
      <c r="AX362">
        <f>+SUMIFS(CRUCE!C:C,CRUCE!A:A,D362,CRUCE!B:B,'2021'!H362)</f>
        <v>13864191.5</v>
      </c>
    </row>
    <row r="363" spans="1:50" hidden="1" x14ac:dyDescent="0.3">
      <c r="A363">
        <v>2021</v>
      </c>
      <c r="B363">
        <v>318</v>
      </c>
      <c r="C363">
        <v>110102103</v>
      </c>
      <c r="D363" s="5" t="s">
        <v>44</v>
      </c>
      <c r="E363" s="8" t="s">
        <v>675</v>
      </c>
      <c r="F363">
        <v>110102103</v>
      </c>
      <c r="H363" s="8" t="s">
        <v>81</v>
      </c>
      <c r="I363" t="s">
        <v>643</v>
      </c>
      <c r="J363" s="11">
        <v>462752030</v>
      </c>
      <c r="K363" s="11">
        <v>462752030</v>
      </c>
      <c r="L363" s="11">
        <v>0</v>
      </c>
      <c r="M363" s="11">
        <v>54899687</v>
      </c>
      <c r="N363" s="11">
        <v>-54899687</v>
      </c>
      <c r="O363" s="11">
        <v>0</v>
      </c>
      <c r="P363" s="11">
        <v>54899687</v>
      </c>
      <c r="Q363" s="11">
        <v>407852343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830166797</v>
      </c>
      <c r="Y363" s="11">
        <v>587013513</v>
      </c>
      <c r="Z363" s="17">
        <v>243153284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830166797</v>
      </c>
      <c r="AH363" s="11">
        <v>587013513</v>
      </c>
      <c r="AI363" s="12">
        <v>243153284</v>
      </c>
      <c r="AJ363" s="11">
        <v>243153284</v>
      </c>
      <c r="AK363" s="11">
        <v>182364963</v>
      </c>
      <c r="AL363" s="11">
        <v>182364963</v>
      </c>
      <c r="AM363" s="11">
        <v>60788321</v>
      </c>
      <c r="AN363" s="11">
        <v>60788321</v>
      </c>
      <c r="AO363" s="11">
        <v>0</v>
      </c>
      <c r="AP363" s="11">
        <v>60788321</v>
      </c>
      <c r="AQ363" s="11">
        <v>0</v>
      </c>
      <c r="AR363" s="11">
        <v>0</v>
      </c>
      <c r="AS363" t="s">
        <v>48</v>
      </c>
      <c r="AT363"/>
    </row>
    <row r="364" spans="1:50" hidden="1" x14ac:dyDescent="0.3">
      <c r="A364">
        <v>2021</v>
      </c>
      <c r="B364">
        <v>318</v>
      </c>
      <c r="C364">
        <v>11010210302</v>
      </c>
      <c r="D364" s="5" t="s">
        <v>44</v>
      </c>
      <c r="E364" s="8" t="s">
        <v>676</v>
      </c>
      <c r="F364">
        <v>11010210302</v>
      </c>
      <c r="H364" s="8" t="s">
        <v>81</v>
      </c>
      <c r="I364" t="s">
        <v>643</v>
      </c>
      <c r="J364" s="11">
        <v>462752030</v>
      </c>
      <c r="K364" s="11">
        <v>462752030</v>
      </c>
      <c r="L364" s="11">
        <v>0</v>
      </c>
      <c r="M364" s="11">
        <v>54899687</v>
      </c>
      <c r="N364" s="11">
        <v>-54899687</v>
      </c>
      <c r="O364" s="11">
        <v>0</v>
      </c>
      <c r="P364" s="11">
        <v>54899687</v>
      </c>
      <c r="Q364" s="11">
        <v>407852343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830166797</v>
      </c>
      <c r="Y364" s="11">
        <v>587013513</v>
      </c>
      <c r="Z364" s="17">
        <v>243153284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830166797</v>
      </c>
      <c r="AH364" s="11">
        <v>587013513</v>
      </c>
      <c r="AI364" s="12">
        <v>243153284</v>
      </c>
      <c r="AJ364" s="11">
        <v>243153284</v>
      </c>
      <c r="AK364" s="11">
        <v>182364963</v>
      </c>
      <c r="AL364" s="11">
        <v>182364963</v>
      </c>
      <c r="AM364" s="11">
        <v>60788321</v>
      </c>
      <c r="AN364" s="11">
        <v>60788321</v>
      </c>
      <c r="AO364" s="11">
        <v>0</v>
      </c>
      <c r="AP364" s="11">
        <v>60788321</v>
      </c>
      <c r="AQ364" s="11">
        <v>0</v>
      </c>
      <c r="AR364" s="11">
        <v>0</v>
      </c>
      <c r="AS364" t="s">
        <v>48</v>
      </c>
      <c r="AT364"/>
    </row>
    <row r="365" spans="1:50" x14ac:dyDescent="0.3">
      <c r="A365">
        <v>2021</v>
      </c>
      <c r="B365">
        <v>318</v>
      </c>
      <c r="C365">
        <v>1101021030201</v>
      </c>
      <c r="D365" s="5">
        <v>154</v>
      </c>
      <c r="E365" s="8" t="s">
        <v>677</v>
      </c>
      <c r="F365">
        <v>1101021030201</v>
      </c>
      <c r="G365" t="s">
        <v>1908</v>
      </c>
      <c r="H365" s="8" t="s">
        <v>81</v>
      </c>
      <c r="I365" t="s">
        <v>643</v>
      </c>
      <c r="J365" s="11">
        <v>347064022</v>
      </c>
      <c r="K365" s="11">
        <v>347064022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347064022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769378476</v>
      </c>
      <c r="Y365" s="11">
        <v>587013513</v>
      </c>
      <c r="Z365" s="17">
        <v>182364963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0</v>
      </c>
      <c r="AG365" s="11">
        <v>769378476</v>
      </c>
      <c r="AH365" s="11">
        <v>587013513</v>
      </c>
      <c r="AI365" s="12">
        <v>182364963</v>
      </c>
      <c r="AJ365" s="11">
        <v>182364963</v>
      </c>
      <c r="AK365" s="11">
        <v>182364963</v>
      </c>
      <c r="AL365" s="11">
        <v>182364963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t="s">
        <v>651</v>
      </c>
      <c r="AT365" s="4" t="str">
        <f t="shared" ref="AT365:AT366" si="56">+H365</f>
        <v>IVA sobre licores, vinos, aperitivos y similares (régimen anterior)</v>
      </c>
      <c r="AU365" s="7" t="str">
        <f t="shared" ref="AU365:AU366" si="57">+$D365&amp;$AT365&amp;Z365</f>
        <v>154IVA sobre licores, vinos, aperitivos y similares (régimen anterior)182364963</v>
      </c>
      <c r="AV365" t="str">
        <f>+_xlfn.XLOOKUP(AU365,CRUCE!I:I,CRUCE!M:M)</f>
        <v>READY</v>
      </c>
      <c r="AW365" t="s">
        <v>1907</v>
      </c>
      <c r="AX365">
        <f>+SUMIFS(CRUCE!C:C,CRUCE!A:A,D365,CRUCE!B:B,'2021'!H365)</f>
        <v>182364963</v>
      </c>
    </row>
    <row r="366" spans="1:50" x14ac:dyDescent="0.3">
      <c r="A366">
        <v>2021</v>
      </c>
      <c r="B366">
        <v>318</v>
      </c>
      <c r="C366">
        <v>1101021030201</v>
      </c>
      <c r="D366" s="5">
        <v>155</v>
      </c>
      <c r="E366" s="8" t="s">
        <v>678</v>
      </c>
      <c r="F366">
        <v>1101021030201</v>
      </c>
      <c r="G366" t="s">
        <v>1908</v>
      </c>
      <c r="H366" s="8" t="s">
        <v>81</v>
      </c>
      <c r="I366" t="s">
        <v>643</v>
      </c>
      <c r="J366" s="11">
        <v>115688008</v>
      </c>
      <c r="K366" s="11">
        <v>115688008</v>
      </c>
      <c r="L366" s="11">
        <v>0</v>
      </c>
      <c r="M366" s="11">
        <v>54899687</v>
      </c>
      <c r="N366" s="11">
        <v>-54899687</v>
      </c>
      <c r="O366" s="11">
        <v>0</v>
      </c>
      <c r="P366" s="11">
        <v>54899687</v>
      </c>
      <c r="Q366" s="11">
        <v>60788321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60788321</v>
      </c>
      <c r="Y366" s="11">
        <v>0</v>
      </c>
      <c r="Z366" s="17">
        <v>60788321</v>
      </c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1">
        <v>60788321</v>
      </c>
      <c r="AH366" s="11">
        <v>0</v>
      </c>
      <c r="AI366" s="12">
        <v>60788321</v>
      </c>
      <c r="AJ366" s="11">
        <v>60788321</v>
      </c>
      <c r="AK366" s="11">
        <v>0</v>
      </c>
      <c r="AL366" s="11">
        <v>0</v>
      </c>
      <c r="AM366" s="11">
        <v>60788321</v>
      </c>
      <c r="AN366" s="11">
        <v>60788321</v>
      </c>
      <c r="AO366" s="11">
        <v>0</v>
      </c>
      <c r="AP366" s="11">
        <v>60788321</v>
      </c>
      <c r="AQ366" s="11">
        <v>0</v>
      </c>
      <c r="AR366" s="11">
        <v>0</v>
      </c>
      <c r="AS366" t="s">
        <v>679</v>
      </c>
      <c r="AT366" s="4" t="str">
        <f t="shared" si="56"/>
        <v>IVA sobre licores, vinos, aperitivos y similares (régimen anterior)</v>
      </c>
      <c r="AU366" s="7" t="str">
        <f t="shared" si="57"/>
        <v>155IVA sobre licores, vinos, aperitivos y similares (régimen anterior)60788321</v>
      </c>
      <c r="AV366" t="str">
        <f>+_xlfn.XLOOKUP(AU366,CRUCE!I:I,CRUCE!M:M)</f>
        <v>READY</v>
      </c>
      <c r="AW366" t="s">
        <v>1907</v>
      </c>
      <c r="AX366">
        <f>+SUMIFS(CRUCE!C:C,CRUCE!A:A,D366,CRUCE!B:B,'2021'!H366)</f>
        <v>60788321</v>
      </c>
    </row>
    <row r="367" spans="1:50" hidden="1" x14ac:dyDescent="0.3">
      <c r="A367">
        <v>2021</v>
      </c>
      <c r="B367">
        <v>318</v>
      </c>
      <c r="C367">
        <v>110102104</v>
      </c>
      <c r="D367" s="5" t="s">
        <v>44</v>
      </c>
      <c r="E367" s="8" t="s">
        <v>680</v>
      </c>
      <c r="F367">
        <v>110102104</v>
      </c>
      <c r="H367" s="8" t="s">
        <v>86</v>
      </c>
      <c r="I367" t="s">
        <v>643</v>
      </c>
      <c r="J367" s="11">
        <v>2507252674</v>
      </c>
      <c r="K367" s="11">
        <v>2507252674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2507252674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7213697675.46</v>
      </c>
      <c r="Y367" s="11">
        <v>3471733142.6799998</v>
      </c>
      <c r="Z367" s="17">
        <v>3741964532.7800002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7213697675.46</v>
      </c>
      <c r="AH367" s="11">
        <v>3471733142.6799998</v>
      </c>
      <c r="AI367" s="12">
        <v>3741964532.7800002</v>
      </c>
      <c r="AJ367" s="11">
        <v>3741964532.7800002</v>
      </c>
      <c r="AK367" s="11">
        <v>357506749</v>
      </c>
      <c r="AL367" s="11">
        <v>357506749</v>
      </c>
      <c r="AM367" s="11">
        <v>3384457783.7800002</v>
      </c>
      <c r="AN367" s="11">
        <v>4675895534.46</v>
      </c>
      <c r="AO367" s="11">
        <v>1291437750.6800001</v>
      </c>
      <c r="AP367" s="11">
        <v>4675895534.46</v>
      </c>
      <c r="AQ367" s="11">
        <v>0</v>
      </c>
      <c r="AR367" s="11">
        <v>1291437750.6800001</v>
      </c>
      <c r="AS367" t="s">
        <v>48</v>
      </c>
      <c r="AT367"/>
    </row>
    <row r="368" spans="1:50" hidden="1" x14ac:dyDescent="0.3">
      <c r="A368">
        <v>2021</v>
      </c>
      <c r="B368">
        <v>318</v>
      </c>
      <c r="C368">
        <v>11010210402</v>
      </c>
      <c r="D368" s="5" t="s">
        <v>44</v>
      </c>
      <c r="E368" s="8" t="s">
        <v>681</v>
      </c>
      <c r="F368">
        <v>11010210402</v>
      </c>
      <c r="H368" s="8" t="s">
        <v>94</v>
      </c>
      <c r="I368" t="s">
        <v>643</v>
      </c>
      <c r="J368" s="11">
        <v>2507252674</v>
      </c>
      <c r="K368" s="11">
        <v>2507252674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2507252674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7213697675.46</v>
      </c>
      <c r="Y368" s="11">
        <v>3471733142.6799998</v>
      </c>
      <c r="Z368" s="17">
        <v>3741964532.7800002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1">
        <v>7213697675.46</v>
      </c>
      <c r="AH368" s="11">
        <v>3471733142.6799998</v>
      </c>
      <c r="AI368" s="12">
        <v>3741964532.7800002</v>
      </c>
      <c r="AJ368" s="11">
        <v>3741964532.7800002</v>
      </c>
      <c r="AK368" s="11">
        <v>357506749</v>
      </c>
      <c r="AL368" s="11">
        <v>357506749</v>
      </c>
      <c r="AM368" s="11">
        <v>3384457783.7800002</v>
      </c>
      <c r="AN368" s="11">
        <v>4675895534.46</v>
      </c>
      <c r="AO368" s="11">
        <v>1291437750.6800001</v>
      </c>
      <c r="AP368" s="11">
        <v>4675895534.46</v>
      </c>
      <c r="AQ368" s="11">
        <v>0</v>
      </c>
      <c r="AR368" s="11">
        <v>1291437750.6800001</v>
      </c>
      <c r="AS368" t="s">
        <v>48</v>
      </c>
      <c r="AT368"/>
    </row>
    <row r="369" spans="1:50" x14ac:dyDescent="0.3">
      <c r="A369">
        <v>2021</v>
      </c>
      <c r="B369">
        <v>318</v>
      </c>
      <c r="C369">
        <v>1101021040203</v>
      </c>
      <c r="D369" s="5">
        <v>58</v>
      </c>
      <c r="E369" s="8" t="s">
        <v>682</v>
      </c>
      <c r="F369">
        <v>1101021040203</v>
      </c>
      <c r="G369" t="s">
        <v>1908</v>
      </c>
      <c r="H369" s="8" t="s">
        <v>683</v>
      </c>
      <c r="I369" t="s">
        <v>643</v>
      </c>
      <c r="J369" s="11">
        <v>608008774</v>
      </c>
      <c r="K369" s="11">
        <v>608008774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608008774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1665050710.6800001</v>
      </c>
      <c r="Y369" s="11">
        <v>384015355.33999997</v>
      </c>
      <c r="Z369" s="17">
        <v>1281035355.3399999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1665050710.6800001</v>
      </c>
      <c r="AH369" s="11">
        <v>384015355.33999997</v>
      </c>
      <c r="AI369" s="12">
        <v>1281035355.3399999</v>
      </c>
      <c r="AJ369" s="11">
        <v>1281035355.3399999</v>
      </c>
      <c r="AK369" s="11">
        <v>0</v>
      </c>
      <c r="AL369" s="11">
        <v>0</v>
      </c>
      <c r="AM369" s="11">
        <v>1281035355.3399999</v>
      </c>
      <c r="AN369" s="11">
        <v>1665050710.6800001</v>
      </c>
      <c r="AO369" s="11">
        <v>384015355.33999997</v>
      </c>
      <c r="AP369" s="11">
        <v>1665050710.6800001</v>
      </c>
      <c r="AQ369" s="11">
        <v>0</v>
      </c>
      <c r="AR369" s="11">
        <v>384015355.33999997</v>
      </c>
      <c r="AS369" t="s">
        <v>684</v>
      </c>
      <c r="AT369" s="4" t="s">
        <v>98</v>
      </c>
      <c r="AU369" s="7" t="str">
        <f t="shared" ref="AU369:AU374" si="58">+$D369&amp;$AT369&amp;Z369</f>
        <v>58Impuesto al consumo de vinos, aperitivos y similares - Extranjeros1281035355,34</v>
      </c>
      <c r="AV369" t="str">
        <f>+_xlfn.XLOOKUP(AU369,CRUCE!I:I,CRUCE!M:M)</f>
        <v>READY</v>
      </c>
      <c r="AW369" t="s">
        <v>1907</v>
      </c>
      <c r="AX369">
        <f>+SUMIFS(CRUCE!C:C,CRUCE!A:A,D369,CRUCE!B:B,'2021'!H369)</f>
        <v>0</v>
      </c>
    </row>
    <row r="370" spans="1:50" x14ac:dyDescent="0.3">
      <c r="A370">
        <v>2021</v>
      </c>
      <c r="B370">
        <v>318</v>
      </c>
      <c r="C370">
        <v>1101021040203</v>
      </c>
      <c r="D370" s="5">
        <v>72</v>
      </c>
      <c r="E370" s="8" t="s">
        <v>685</v>
      </c>
      <c r="F370">
        <v>1101021040203</v>
      </c>
      <c r="G370" t="s">
        <v>1908</v>
      </c>
      <c r="H370" s="8" t="s">
        <v>683</v>
      </c>
      <c r="I370" t="s">
        <v>643</v>
      </c>
      <c r="J370" s="11">
        <v>608008774</v>
      </c>
      <c r="K370" s="11">
        <v>608008774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608008774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1665050710.6800001</v>
      </c>
      <c r="Y370" s="11">
        <v>384015355.33999997</v>
      </c>
      <c r="Z370" s="17">
        <v>1281035355.3399999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1">
        <v>1665050710.6800001</v>
      </c>
      <c r="AH370" s="11">
        <v>384015355.33999997</v>
      </c>
      <c r="AI370" s="12">
        <v>1281035355.3399999</v>
      </c>
      <c r="AJ370" s="11">
        <v>1281035355.3399999</v>
      </c>
      <c r="AK370" s="11">
        <v>0</v>
      </c>
      <c r="AL370" s="11">
        <v>0</v>
      </c>
      <c r="AM370" s="11">
        <v>1281035355.3399999</v>
      </c>
      <c r="AN370" s="11">
        <v>1665050710.6800001</v>
      </c>
      <c r="AO370" s="11">
        <v>384015355.33999997</v>
      </c>
      <c r="AP370" s="11">
        <v>1665050710.6800001</v>
      </c>
      <c r="AQ370" s="11">
        <v>0</v>
      </c>
      <c r="AR370" s="11">
        <v>384015355.33999997</v>
      </c>
      <c r="AS370" t="s">
        <v>656</v>
      </c>
      <c r="AT370" s="4" t="s">
        <v>98</v>
      </c>
      <c r="AU370" s="7" t="str">
        <f t="shared" si="58"/>
        <v>72Impuesto al consumo de vinos, aperitivos y similares - Extranjeros1281035355,34</v>
      </c>
      <c r="AV370" t="str">
        <f>+_xlfn.XLOOKUP(AU370,CRUCE!I:I,CRUCE!M:M)</f>
        <v>READY</v>
      </c>
      <c r="AW370" t="s">
        <v>1907</v>
      </c>
      <c r="AX370">
        <f>+SUMIFS(CRUCE!C:C,CRUCE!A:A,D370,CRUCE!B:B,'2021'!H370)</f>
        <v>0</v>
      </c>
    </row>
    <row r="371" spans="1:50" x14ac:dyDescent="0.3">
      <c r="A371">
        <v>2021</v>
      </c>
      <c r="B371">
        <v>318</v>
      </c>
      <c r="C371">
        <v>1101021040204</v>
      </c>
      <c r="D371" s="5">
        <v>154</v>
      </c>
      <c r="E371" s="8" t="s">
        <v>686</v>
      </c>
      <c r="F371">
        <v>1101021040204</v>
      </c>
      <c r="G371" t="s">
        <v>1908</v>
      </c>
      <c r="H371" s="8" t="s">
        <v>687</v>
      </c>
      <c r="I371" t="s">
        <v>643</v>
      </c>
      <c r="J371" s="11">
        <v>1216017546</v>
      </c>
      <c r="K371" s="11">
        <v>1216017546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1216017546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2468638436</v>
      </c>
      <c r="Y371" s="11">
        <v>2116361217</v>
      </c>
      <c r="Z371" s="17">
        <v>352277219</v>
      </c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2468638436</v>
      </c>
      <c r="AH371" s="11">
        <v>2116361217</v>
      </c>
      <c r="AI371" s="12">
        <v>352277219</v>
      </c>
      <c r="AJ371" s="11">
        <v>352277219</v>
      </c>
      <c r="AK371" s="11">
        <v>352264219</v>
      </c>
      <c r="AL371" s="11">
        <v>352264219</v>
      </c>
      <c r="AM371" s="11">
        <v>13000</v>
      </c>
      <c r="AN371" s="11">
        <v>122199000</v>
      </c>
      <c r="AO371" s="11">
        <v>122186000</v>
      </c>
      <c r="AP371" s="11">
        <v>122199000</v>
      </c>
      <c r="AQ371" s="11">
        <v>0</v>
      </c>
      <c r="AR371" s="11">
        <v>122186000</v>
      </c>
      <c r="AS371" t="s">
        <v>651</v>
      </c>
      <c r="AT371" s="4" t="str">
        <f t="shared" ref="AT371:AT374" si="59">+H371</f>
        <v xml:space="preserve">Impuesto al Consumo Licores, Vinos, Aperitivos y Similares Producción Extranjera Régimen Subsidiado </v>
      </c>
      <c r="AU371" s="7" t="str">
        <f t="shared" si="58"/>
        <v>154Impuesto al Consumo Licores, Vinos, Aperitivos y Similares Producción Extranjera Régimen Subsidiado 352277219</v>
      </c>
      <c r="AV371" t="str">
        <f>+_xlfn.XLOOKUP(AU371,CRUCE!I:I,CRUCE!M:M)</f>
        <v>READY</v>
      </c>
      <c r="AW371" t="s">
        <v>1907</v>
      </c>
      <c r="AX371">
        <f>+SUMIFS(CRUCE!C:C,CRUCE!A:A,D371,CRUCE!B:B,'2021'!H371)</f>
        <v>352277219</v>
      </c>
    </row>
    <row r="372" spans="1:50" x14ac:dyDescent="0.3">
      <c r="A372">
        <v>2021</v>
      </c>
      <c r="B372">
        <v>318</v>
      </c>
      <c r="C372">
        <v>1101021040205</v>
      </c>
      <c r="D372" s="5">
        <v>58</v>
      </c>
      <c r="E372" s="8" t="s">
        <v>688</v>
      </c>
      <c r="F372">
        <v>1101021040205</v>
      </c>
      <c r="G372" t="s">
        <v>1908</v>
      </c>
      <c r="H372" s="8" t="s">
        <v>689</v>
      </c>
      <c r="I372" t="s">
        <v>643</v>
      </c>
      <c r="J372" s="11">
        <v>18804395</v>
      </c>
      <c r="K372" s="11">
        <v>18804395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18804395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327381278.26999998</v>
      </c>
      <c r="Y372" s="11">
        <v>121787760</v>
      </c>
      <c r="Z372" s="17">
        <v>205593518.27000001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v>0</v>
      </c>
      <c r="AG372" s="11">
        <v>327381278.26999998</v>
      </c>
      <c r="AH372" s="11">
        <v>121787760</v>
      </c>
      <c r="AI372" s="12">
        <v>205593518.27000001</v>
      </c>
      <c r="AJ372" s="11">
        <v>205593518.27000001</v>
      </c>
      <c r="AK372" s="11">
        <v>0</v>
      </c>
      <c r="AL372" s="11">
        <v>0</v>
      </c>
      <c r="AM372" s="11">
        <v>205593518.27000001</v>
      </c>
      <c r="AN372" s="11">
        <v>327381278.26999998</v>
      </c>
      <c r="AO372" s="11">
        <v>121787760</v>
      </c>
      <c r="AP372" s="11">
        <v>327381278.26999998</v>
      </c>
      <c r="AQ372" s="11">
        <v>0</v>
      </c>
      <c r="AR372" s="11">
        <v>121787760</v>
      </c>
      <c r="AS372" t="s">
        <v>684</v>
      </c>
      <c r="AT372" s="4" t="s">
        <v>96</v>
      </c>
      <c r="AU372" s="7" t="str">
        <f t="shared" si="58"/>
        <v>58Impuesto al consumo de vinos, aperitivos y similares - Nacionales205593518,27</v>
      </c>
      <c r="AV372" t="str">
        <f>+_xlfn.XLOOKUP(AU372,CRUCE!I:I,CRUCE!M:M)</f>
        <v>READY</v>
      </c>
      <c r="AW372" t="s">
        <v>1907</v>
      </c>
      <c r="AX372">
        <f>+SUMIFS(CRUCE!C:C,CRUCE!A:A,D372,CRUCE!B:B,'2021'!H372)</f>
        <v>0</v>
      </c>
    </row>
    <row r="373" spans="1:50" x14ac:dyDescent="0.3">
      <c r="A373">
        <v>2021</v>
      </c>
      <c r="B373">
        <v>318</v>
      </c>
      <c r="C373">
        <v>1101021040205</v>
      </c>
      <c r="D373" s="5">
        <v>72</v>
      </c>
      <c r="E373" s="8" t="s">
        <v>690</v>
      </c>
      <c r="F373">
        <v>1101021040205</v>
      </c>
      <c r="G373" t="s">
        <v>1908</v>
      </c>
      <c r="H373" s="8" t="s">
        <v>689</v>
      </c>
      <c r="I373" t="s">
        <v>643</v>
      </c>
      <c r="J373" s="11">
        <v>18804395</v>
      </c>
      <c r="K373" s="11">
        <v>18804395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18804395</v>
      </c>
      <c r="R373" s="11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328503303.27999997</v>
      </c>
      <c r="Y373" s="11">
        <v>122909785</v>
      </c>
      <c r="Z373" s="17">
        <v>205593518.28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1">
        <v>328503303.27999997</v>
      </c>
      <c r="AH373" s="11">
        <v>122909785</v>
      </c>
      <c r="AI373" s="12">
        <v>205593518.28</v>
      </c>
      <c r="AJ373" s="11">
        <v>205593518.28</v>
      </c>
      <c r="AK373" s="11">
        <v>0</v>
      </c>
      <c r="AL373" s="11">
        <v>0</v>
      </c>
      <c r="AM373" s="11">
        <v>205593518.28</v>
      </c>
      <c r="AN373" s="11">
        <v>328503303.27999997</v>
      </c>
      <c r="AO373" s="11">
        <v>122909785</v>
      </c>
      <c r="AP373" s="11">
        <v>328503303.27999997</v>
      </c>
      <c r="AQ373" s="11">
        <v>0</v>
      </c>
      <c r="AR373" s="11">
        <v>122909785</v>
      </c>
      <c r="AS373" t="s">
        <v>656</v>
      </c>
      <c r="AT373" s="4" t="s">
        <v>96</v>
      </c>
      <c r="AU373" s="7" t="str">
        <f t="shared" si="58"/>
        <v>72Impuesto al consumo de vinos, aperitivos y similares - Nacionales205593518,28</v>
      </c>
      <c r="AV373" t="str">
        <f>+_xlfn.XLOOKUP(AU373,CRUCE!I:I,CRUCE!M:M)</f>
        <v>READY</v>
      </c>
      <c r="AW373" t="s">
        <v>1907</v>
      </c>
      <c r="AX373">
        <f>+SUMIFS(CRUCE!C:C,CRUCE!A:A,D373,CRUCE!B:B,'2021'!H373)</f>
        <v>0</v>
      </c>
    </row>
    <row r="374" spans="1:50" x14ac:dyDescent="0.3">
      <c r="A374">
        <v>2021</v>
      </c>
      <c r="B374">
        <v>318</v>
      </c>
      <c r="C374">
        <v>1101021040206</v>
      </c>
      <c r="D374" s="5">
        <v>154</v>
      </c>
      <c r="E374" s="8" t="s">
        <v>691</v>
      </c>
      <c r="F374">
        <v>1101021040206</v>
      </c>
      <c r="G374" t="s">
        <v>1908</v>
      </c>
      <c r="H374" s="8" t="s">
        <v>692</v>
      </c>
      <c r="I374" t="s">
        <v>643</v>
      </c>
      <c r="J374" s="11">
        <v>37608790</v>
      </c>
      <c r="K374" s="11">
        <v>37608790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37608790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759073236.54999995</v>
      </c>
      <c r="Y374" s="11">
        <v>342643670</v>
      </c>
      <c r="Z374" s="17">
        <v>416429566.55000001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0</v>
      </c>
      <c r="AG374" s="11">
        <v>759073236.54999995</v>
      </c>
      <c r="AH374" s="11">
        <v>342643670</v>
      </c>
      <c r="AI374" s="12">
        <v>416429566.55000001</v>
      </c>
      <c r="AJ374" s="11">
        <v>416429566.55000001</v>
      </c>
      <c r="AK374" s="11">
        <v>5242530</v>
      </c>
      <c r="AL374" s="11">
        <v>5242530</v>
      </c>
      <c r="AM374" s="11">
        <v>411187036.55000001</v>
      </c>
      <c r="AN374" s="11">
        <v>567710531.54999995</v>
      </c>
      <c r="AO374" s="11">
        <v>156523495</v>
      </c>
      <c r="AP374" s="11">
        <v>567710531.54999995</v>
      </c>
      <c r="AQ374" s="11">
        <v>0</v>
      </c>
      <c r="AR374" s="11">
        <v>156523495</v>
      </c>
      <c r="AS374" t="s">
        <v>651</v>
      </c>
      <c r="AT374" s="4" t="str">
        <f t="shared" si="59"/>
        <v>Impuesto al Consumo de Licores, Vinos, Aperitivos y Similares Produccion Nacional  50%</v>
      </c>
      <c r="AU374" s="7" t="str">
        <f t="shared" si="58"/>
        <v>154Impuesto al Consumo de Licores, Vinos, Aperitivos y Similares Produccion Nacional  50%416429566,55</v>
      </c>
      <c r="AV374" t="str">
        <f>+_xlfn.XLOOKUP(AU374,CRUCE!I:I,CRUCE!M:M)</f>
        <v>READY</v>
      </c>
      <c r="AW374" t="s">
        <v>1907</v>
      </c>
      <c r="AX374">
        <f>+SUMIFS(CRUCE!C:C,CRUCE!A:A,D374,CRUCE!B:B,'2021'!H374)</f>
        <v>416429566.55000001</v>
      </c>
    </row>
    <row r="375" spans="1:50" hidden="1" x14ac:dyDescent="0.3">
      <c r="A375">
        <v>2021</v>
      </c>
      <c r="B375">
        <v>318</v>
      </c>
      <c r="C375">
        <v>110102105</v>
      </c>
      <c r="D375" s="5" t="s">
        <v>44</v>
      </c>
      <c r="E375" s="8" t="s">
        <v>693</v>
      </c>
      <c r="F375">
        <v>110102105</v>
      </c>
      <c r="H375" s="8" t="s">
        <v>100</v>
      </c>
      <c r="I375" t="s">
        <v>643</v>
      </c>
      <c r="J375" s="11">
        <v>3518317492</v>
      </c>
      <c r="K375" s="11">
        <v>3518317492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3518317492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3936845263.5</v>
      </c>
      <c r="Y375" s="11">
        <v>480872859.5</v>
      </c>
      <c r="Z375" s="17">
        <v>3455972404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0</v>
      </c>
      <c r="AG375" s="11">
        <v>3936845263.5</v>
      </c>
      <c r="AH375" s="11">
        <v>480872859.5</v>
      </c>
      <c r="AI375" s="12">
        <v>3455972404</v>
      </c>
      <c r="AJ375" s="11">
        <v>3455972404</v>
      </c>
      <c r="AK375" s="11">
        <v>38428404</v>
      </c>
      <c r="AL375" s="11">
        <v>38428404</v>
      </c>
      <c r="AM375" s="11">
        <v>3417544000</v>
      </c>
      <c r="AN375" s="11">
        <v>3506845380</v>
      </c>
      <c r="AO375" s="11">
        <v>89301380</v>
      </c>
      <c r="AP375" s="11">
        <v>3506845380</v>
      </c>
      <c r="AQ375" s="11">
        <v>0</v>
      </c>
      <c r="AR375" s="11">
        <v>89301380</v>
      </c>
      <c r="AS375" t="s">
        <v>48</v>
      </c>
      <c r="AT375"/>
    </row>
    <row r="376" spans="1:50" x14ac:dyDescent="0.3">
      <c r="A376">
        <v>2021</v>
      </c>
      <c r="B376">
        <v>318</v>
      </c>
      <c r="C376">
        <v>11010210503</v>
      </c>
      <c r="D376" s="5">
        <v>58</v>
      </c>
      <c r="E376" s="8" t="s">
        <v>694</v>
      </c>
      <c r="F376">
        <v>11010210503</v>
      </c>
      <c r="G376" t="s">
        <v>1908</v>
      </c>
      <c r="H376" s="8" t="s">
        <v>695</v>
      </c>
      <c r="I376" t="s">
        <v>643</v>
      </c>
      <c r="J376" s="11">
        <v>835600404</v>
      </c>
      <c r="K376" s="11">
        <v>835600404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835600404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1019466584.75</v>
      </c>
      <c r="Y376" s="11">
        <v>171758334.75</v>
      </c>
      <c r="Z376" s="17">
        <v>847708250</v>
      </c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11">
        <v>0</v>
      </c>
      <c r="AG376" s="11">
        <v>1019466584.75</v>
      </c>
      <c r="AH376" s="11">
        <v>171758334.75</v>
      </c>
      <c r="AI376" s="12">
        <v>847708250</v>
      </c>
      <c r="AJ376" s="11">
        <v>847708250</v>
      </c>
      <c r="AK376" s="11">
        <v>0</v>
      </c>
      <c r="AL376" s="11">
        <v>0</v>
      </c>
      <c r="AM376" s="11">
        <v>847708250</v>
      </c>
      <c r="AN376" s="11">
        <v>869360845</v>
      </c>
      <c r="AO376" s="11">
        <v>21652595</v>
      </c>
      <c r="AP376" s="11">
        <v>869360845</v>
      </c>
      <c r="AQ376" s="11">
        <v>0</v>
      </c>
      <c r="AR376" s="11">
        <v>21652595</v>
      </c>
      <c r="AS376" t="s">
        <v>684</v>
      </c>
      <c r="AT376" s="4" t="s">
        <v>102</v>
      </c>
      <c r="AU376" s="7" t="str">
        <f t="shared" ref="AU376:AU381" si="60">+$D376&amp;$AT376&amp;Z376</f>
        <v>58Impuesto al consumo de cervezas, sifones, refajos y mezclas - Nacionales847708250</v>
      </c>
      <c r="AV376" t="str">
        <f>+_xlfn.XLOOKUP(AU376,CRUCE!I:I,CRUCE!M:M)</f>
        <v>READY</v>
      </c>
      <c r="AW376" t="s">
        <v>1907</v>
      </c>
      <c r="AX376">
        <f>+SUMIFS(CRUCE!C:C,CRUCE!A:A,D376,CRUCE!B:B,'2021'!H376)</f>
        <v>0</v>
      </c>
    </row>
    <row r="377" spans="1:50" x14ac:dyDescent="0.3">
      <c r="A377">
        <v>2021</v>
      </c>
      <c r="B377">
        <v>318</v>
      </c>
      <c r="C377">
        <v>11010210503</v>
      </c>
      <c r="D377" s="5">
        <v>72</v>
      </c>
      <c r="E377" s="8" t="s">
        <v>696</v>
      </c>
      <c r="F377">
        <v>11010210503</v>
      </c>
      <c r="G377" t="s">
        <v>1908</v>
      </c>
      <c r="H377" s="8" t="s">
        <v>695</v>
      </c>
      <c r="I377" t="s">
        <v>643</v>
      </c>
      <c r="J377" s="11">
        <v>835600404</v>
      </c>
      <c r="K377" s="11">
        <v>835600404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835600404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1019477084.75</v>
      </c>
      <c r="Y377" s="11">
        <v>171768834.75</v>
      </c>
      <c r="Z377" s="17">
        <v>847708250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1019477084.75</v>
      </c>
      <c r="AH377" s="11">
        <v>171768834.75</v>
      </c>
      <c r="AI377" s="12">
        <v>847708250</v>
      </c>
      <c r="AJ377" s="11">
        <v>847708250</v>
      </c>
      <c r="AK377" s="11">
        <v>0</v>
      </c>
      <c r="AL377" s="11">
        <v>0</v>
      </c>
      <c r="AM377" s="11">
        <v>847708250</v>
      </c>
      <c r="AN377" s="11">
        <v>869371345</v>
      </c>
      <c r="AO377" s="11">
        <v>21663095</v>
      </c>
      <c r="AP377" s="11">
        <v>869371345</v>
      </c>
      <c r="AQ377" s="11">
        <v>0</v>
      </c>
      <c r="AR377" s="11">
        <v>21663095</v>
      </c>
      <c r="AS377" t="s">
        <v>656</v>
      </c>
      <c r="AT377" s="4" t="str">
        <f t="shared" ref="AT377:AT381" si="61">+H377</f>
        <v>Impuesto  Consumo de Cerveza Producción Nacional  25%</v>
      </c>
      <c r="AU377" s="7" t="str">
        <f t="shared" si="60"/>
        <v>72Impuesto  Consumo de Cerveza Producción Nacional  25%847708250</v>
      </c>
      <c r="AV377" t="str">
        <f>+_xlfn.XLOOKUP(AU377,CRUCE!I:I,CRUCE!M:M)</f>
        <v>READY</v>
      </c>
      <c r="AW377" t="s">
        <v>1907</v>
      </c>
      <c r="AX377">
        <f>+SUMIFS(CRUCE!C:C,CRUCE!A:A,D377,CRUCE!B:B,'2021'!H377)</f>
        <v>847708250</v>
      </c>
    </row>
    <row r="378" spans="1:50" x14ac:dyDescent="0.3">
      <c r="A378">
        <v>2021</v>
      </c>
      <c r="B378">
        <v>318</v>
      </c>
      <c r="C378">
        <v>11010210504</v>
      </c>
      <c r="D378" s="5">
        <v>154</v>
      </c>
      <c r="E378" s="8" t="s">
        <v>697</v>
      </c>
      <c r="F378">
        <v>11010210504</v>
      </c>
      <c r="G378" t="s">
        <v>1908</v>
      </c>
      <c r="H378" s="8" t="s">
        <v>698</v>
      </c>
      <c r="I378" t="s">
        <v>643</v>
      </c>
      <c r="J378" s="11">
        <v>1671200809</v>
      </c>
      <c r="K378" s="11">
        <v>1671200809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1671200809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1842843190</v>
      </c>
      <c r="Y378" s="11">
        <v>134654690</v>
      </c>
      <c r="Z378" s="17">
        <v>1708188500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1842843190</v>
      </c>
      <c r="AH378" s="11">
        <v>134654690</v>
      </c>
      <c r="AI378" s="12">
        <v>1708188500</v>
      </c>
      <c r="AJ378" s="11">
        <v>1708188500</v>
      </c>
      <c r="AK378" s="11">
        <v>12772000</v>
      </c>
      <c r="AL378" s="11">
        <v>12772000</v>
      </c>
      <c r="AM378" s="11">
        <v>1695416500</v>
      </c>
      <c r="AN378" s="11">
        <v>1738711190</v>
      </c>
      <c r="AO378" s="11">
        <v>43294690</v>
      </c>
      <c r="AP378" s="11">
        <v>1738711190</v>
      </c>
      <c r="AQ378" s="11">
        <v>0</v>
      </c>
      <c r="AR378" s="11">
        <v>43294690</v>
      </c>
      <c r="AS378" t="s">
        <v>651</v>
      </c>
      <c r="AT378" s="4" t="str">
        <f t="shared" si="61"/>
        <v>mpuesto al Consumo de Cerveza Producción Nacional Régimen Subsidiado 50%</v>
      </c>
      <c r="AU378" s="7" t="str">
        <f t="shared" si="60"/>
        <v>154mpuesto al Consumo de Cerveza Producción Nacional Régimen Subsidiado 50%1708188500</v>
      </c>
      <c r="AV378" t="str">
        <f>+_xlfn.XLOOKUP(AU378,CRUCE!I:I,CRUCE!M:M)</f>
        <v>READY</v>
      </c>
      <c r="AW378" t="s">
        <v>1907</v>
      </c>
      <c r="AX378">
        <f>+SUMIFS(CRUCE!C:C,CRUCE!A:A,D378,CRUCE!B:B,'2021'!H378)</f>
        <v>1708188500</v>
      </c>
    </row>
    <row r="379" spans="1:50" x14ac:dyDescent="0.3">
      <c r="A379">
        <v>2021</v>
      </c>
      <c r="B379">
        <v>318</v>
      </c>
      <c r="C379">
        <v>11010210505</v>
      </c>
      <c r="D379" s="5">
        <v>58</v>
      </c>
      <c r="E379" s="8" t="s">
        <v>699</v>
      </c>
      <c r="F379">
        <v>11010210505</v>
      </c>
      <c r="G379" t="s">
        <v>1908</v>
      </c>
      <c r="H379" s="8" t="s">
        <v>700</v>
      </c>
      <c r="I379" t="s">
        <v>643</v>
      </c>
      <c r="J379" s="11">
        <v>43978969</v>
      </c>
      <c r="K379" s="11">
        <v>43978969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43978969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14028250</v>
      </c>
      <c r="Y379" s="11">
        <v>672750</v>
      </c>
      <c r="Z379" s="17">
        <v>13355500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0</v>
      </c>
      <c r="AG379" s="11">
        <v>14028250</v>
      </c>
      <c r="AH379" s="11">
        <v>672750</v>
      </c>
      <c r="AI379" s="12">
        <v>13355500</v>
      </c>
      <c r="AJ379" s="11">
        <v>13355500</v>
      </c>
      <c r="AK379" s="11">
        <v>0</v>
      </c>
      <c r="AL379" s="11">
        <v>0</v>
      </c>
      <c r="AM379" s="11">
        <v>13355500</v>
      </c>
      <c r="AN379" s="11">
        <v>14028250</v>
      </c>
      <c r="AO379" s="11">
        <v>672750</v>
      </c>
      <c r="AP379" s="11">
        <v>14028250</v>
      </c>
      <c r="AQ379" s="11">
        <v>0</v>
      </c>
      <c r="AR379" s="11">
        <v>672750</v>
      </c>
      <c r="AS379" t="s">
        <v>684</v>
      </c>
      <c r="AT379" s="4" t="s">
        <v>104</v>
      </c>
      <c r="AU379" s="7" t="str">
        <f t="shared" si="60"/>
        <v>58Impuesto al consumo de cervezas, sifones, refajos y mezclas - Extranjeras13355500</v>
      </c>
      <c r="AV379" t="str">
        <f>+_xlfn.XLOOKUP(AU379,CRUCE!I:I,CRUCE!M:M)</f>
        <v>READY</v>
      </c>
      <c r="AW379" t="s">
        <v>1907</v>
      </c>
      <c r="AX379">
        <f>+SUMIFS(CRUCE!C:C,CRUCE!A:A,D379,CRUCE!B:B,'2021'!H379)</f>
        <v>0</v>
      </c>
    </row>
    <row r="380" spans="1:50" x14ac:dyDescent="0.3">
      <c r="A380">
        <v>2021</v>
      </c>
      <c r="B380">
        <v>318</v>
      </c>
      <c r="C380">
        <v>11010210505</v>
      </c>
      <c r="D380" s="5">
        <v>72</v>
      </c>
      <c r="E380" s="8" t="s">
        <v>701</v>
      </c>
      <c r="F380">
        <v>11010210505</v>
      </c>
      <c r="G380" t="s">
        <v>1908</v>
      </c>
      <c r="H380" s="8" t="s">
        <v>700</v>
      </c>
      <c r="I380" t="s">
        <v>643</v>
      </c>
      <c r="J380" s="11">
        <v>43978969</v>
      </c>
      <c r="K380" s="11">
        <v>43978969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43978969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14028250</v>
      </c>
      <c r="Y380" s="11">
        <v>672750</v>
      </c>
      <c r="Z380" s="17">
        <v>13355500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14028250</v>
      </c>
      <c r="AH380" s="11">
        <v>672750</v>
      </c>
      <c r="AI380" s="12">
        <v>13355500</v>
      </c>
      <c r="AJ380" s="11">
        <v>13355500</v>
      </c>
      <c r="AK380" s="11">
        <v>0</v>
      </c>
      <c r="AL380" s="11">
        <v>0</v>
      </c>
      <c r="AM380" s="11">
        <v>13355500</v>
      </c>
      <c r="AN380" s="11">
        <v>14028250</v>
      </c>
      <c r="AO380" s="11">
        <v>672750</v>
      </c>
      <c r="AP380" s="11">
        <v>14028250</v>
      </c>
      <c r="AQ380" s="11">
        <v>0</v>
      </c>
      <c r="AR380" s="11">
        <v>672750</v>
      </c>
      <c r="AS380" t="s">
        <v>656</v>
      </c>
      <c r="AT380" s="4" t="str">
        <f t="shared" si="61"/>
        <v>Impuesto  Consumo de Cerveza Producción Extranjera 25%</v>
      </c>
      <c r="AU380" s="7" t="str">
        <f t="shared" si="60"/>
        <v>72Impuesto  Consumo de Cerveza Producción Extranjera 25%13355500</v>
      </c>
      <c r="AV380" t="str">
        <f>+_xlfn.XLOOKUP(AU380,CRUCE!I:I,CRUCE!M:M)</f>
        <v>READY</v>
      </c>
      <c r="AW380" t="s">
        <v>1907</v>
      </c>
      <c r="AX380">
        <f>+SUMIFS(CRUCE!C:C,CRUCE!A:A,D380,CRUCE!B:B,'2021'!H380)</f>
        <v>13355500</v>
      </c>
    </row>
    <row r="381" spans="1:50" x14ac:dyDescent="0.3">
      <c r="A381">
        <v>2021</v>
      </c>
      <c r="B381">
        <v>318</v>
      </c>
      <c r="C381">
        <v>11010210506</v>
      </c>
      <c r="D381" s="5">
        <v>154</v>
      </c>
      <c r="E381" s="8" t="s">
        <v>702</v>
      </c>
      <c r="F381">
        <v>11010210506</v>
      </c>
      <c r="G381" t="s">
        <v>1908</v>
      </c>
      <c r="H381" s="8" t="s">
        <v>703</v>
      </c>
      <c r="I381" t="s">
        <v>643</v>
      </c>
      <c r="J381" s="11">
        <v>87957937</v>
      </c>
      <c r="K381" s="11">
        <v>87957937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87957937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27001904</v>
      </c>
      <c r="Y381" s="11">
        <v>1345500</v>
      </c>
      <c r="Z381" s="17">
        <v>25656404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27001904</v>
      </c>
      <c r="AH381" s="11">
        <v>1345500</v>
      </c>
      <c r="AI381" s="12">
        <v>25656404</v>
      </c>
      <c r="AJ381" s="11">
        <v>25656404</v>
      </c>
      <c r="AK381" s="11">
        <v>25656404</v>
      </c>
      <c r="AL381" s="11">
        <v>25656404</v>
      </c>
      <c r="AM381" s="11">
        <v>0</v>
      </c>
      <c r="AN381" s="11">
        <v>1345500</v>
      </c>
      <c r="AO381" s="11">
        <v>1345500</v>
      </c>
      <c r="AP381" s="11">
        <v>1345500</v>
      </c>
      <c r="AQ381" s="11">
        <v>0</v>
      </c>
      <c r="AR381" s="11">
        <v>1345500</v>
      </c>
      <c r="AS381" t="s">
        <v>651</v>
      </c>
      <c r="AT381" s="4" t="str">
        <f t="shared" si="61"/>
        <v>Impuesto al Consumo de Cerveza Producción Extranjera Régimen Subsidiado 50%</v>
      </c>
      <c r="AU381" s="7" t="str">
        <f t="shared" si="60"/>
        <v>154Impuesto al Consumo de Cerveza Producción Extranjera Régimen Subsidiado 50%25656404</v>
      </c>
      <c r="AV381" t="str">
        <f>+_xlfn.XLOOKUP(AU381,CRUCE!I:I,CRUCE!M:M)</f>
        <v>READY</v>
      </c>
      <c r="AW381" t="s">
        <v>1907</v>
      </c>
      <c r="AX381">
        <f>+SUMIFS(CRUCE!C:C,CRUCE!A:A,D381,CRUCE!B:B,'2021'!H381)</f>
        <v>25656404</v>
      </c>
    </row>
    <row r="382" spans="1:50" hidden="1" x14ac:dyDescent="0.3">
      <c r="A382">
        <v>2021</v>
      </c>
      <c r="B382">
        <v>318</v>
      </c>
      <c r="C382">
        <v>110102106</v>
      </c>
      <c r="D382" s="5" t="s">
        <v>44</v>
      </c>
      <c r="E382" s="8" t="s">
        <v>704</v>
      </c>
      <c r="F382">
        <v>110102106</v>
      </c>
      <c r="H382" s="8" t="s">
        <v>106</v>
      </c>
      <c r="I382" t="s">
        <v>643</v>
      </c>
      <c r="J382" s="11">
        <v>17159392470</v>
      </c>
      <c r="K382" s="11">
        <v>17159392470</v>
      </c>
      <c r="L382" s="11">
        <v>3249295760.6300001</v>
      </c>
      <c r="M382" s="11">
        <v>0</v>
      </c>
      <c r="N382" s="11">
        <v>3249295760.6300001</v>
      </c>
      <c r="O382" s="11">
        <v>3249295760.6300001</v>
      </c>
      <c r="P382" s="11">
        <v>0</v>
      </c>
      <c r="Q382" s="11">
        <v>20408688230.630001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21965199139</v>
      </c>
      <c r="Y382" s="11">
        <v>231659895</v>
      </c>
      <c r="Z382" s="17">
        <v>21733539244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21965199139</v>
      </c>
      <c r="AH382" s="11">
        <v>231659895</v>
      </c>
      <c r="AI382" s="12">
        <v>21733539244</v>
      </c>
      <c r="AJ382" s="11">
        <v>21733539244</v>
      </c>
      <c r="AK382" s="11">
        <v>8302968986</v>
      </c>
      <c r="AL382" s="11">
        <v>8302968986</v>
      </c>
      <c r="AM382" s="11">
        <v>13430570258</v>
      </c>
      <c r="AN382" s="11">
        <v>13430570258</v>
      </c>
      <c r="AO382" s="11">
        <v>0</v>
      </c>
      <c r="AP382" s="11">
        <v>13430570258</v>
      </c>
      <c r="AQ382" s="11">
        <v>0</v>
      </c>
      <c r="AR382" s="11">
        <v>0</v>
      </c>
      <c r="AS382" t="s">
        <v>48</v>
      </c>
      <c r="AT382"/>
    </row>
    <row r="383" spans="1:50" hidden="1" x14ac:dyDescent="0.3">
      <c r="A383">
        <v>2021</v>
      </c>
      <c r="B383">
        <v>318</v>
      </c>
      <c r="C383">
        <v>11010210601</v>
      </c>
      <c r="D383" s="5" t="s">
        <v>44</v>
      </c>
      <c r="E383" s="8" t="s">
        <v>705</v>
      </c>
      <c r="F383">
        <v>11010210601</v>
      </c>
      <c r="H383" s="8" t="s">
        <v>108</v>
      </c>
      <c r="I383" t="s">
        <v>643</v>
      </c>
      <c r="J383" s="11">
        <v>8756655044</v>
      </c>
      <c r="K383" s="11">
        <v>8756655044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8756655044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5218324702</v>
      </c>
      <c r="Y383" s="11">
        <v>0</v>
      </c>
      <c r="Z383" s="17">
        <v>5218324702</v>
      </c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11">
        <v>0</v>
      </c>
      <c r="AG383" s="11">
        <v>5218324702</v>
      </c>
      <c r="AH383" s="11">
        <v>0</v>
      </c>
      <c r="AI383" s="12">
        <v>5218324702</v>
      </c>
      <c r="AJ383" s="11">
        <v>5218324702</v>
      </c>
      <c r="AK383" s="11">
        <v>5218324702</v>
      </c>
      <c r="AL383" s="11">
        <v>5218324702</v>
      </c>
      <c r="AM383" s="11">
        <v>0</v>
      </c>
      <c r="AN383" s="11">
        <v>0</v>
      </c>
      <c r="AO383" s="11">
        <v>0</v>
      </c>
      <c r="AP383" s="11">
        <v>0</v>
      </c>
      <c r="AQ383" s="11">
        <v>0</v>
      </c>
      <c r="AR383" s="11">
        <v>0</v>
      </c>
      <c r="AS383" t="s">
        <v>48</v>
      </c>
      <c r="AT383"/>
    </row>
    <row r="384" spans="1:50" x14ac:dyDescent="0.3">
      <c r="A384">
        <v>2021</v>
      </c>
      <c r="B384">
        <v>318</v>
      </c>
      <c r="C384">
        <v>1101021060102</v>
      </c>
      <c r="D384" s="5">
        <v>154</v>
      </c>
      <c r="E384" s="8" t="s">
        <v>706</v>
      </c>
      <c r="F384">
        <v>1101021060102</v>
      </c>
      <c r="G384" t="s">
        <v>1908</v>
      </c>
      <c r="H384" s="8" t="s">
        <v>110</v>
      </c>
      <c r="I384" t="s">
        <v>643</v>
      </c>
      <c r="J384" s="11">
        <v>8756655044</v>
      </c>
      <c r="K384" s="11">
        <v>8756655044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8756655044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5218324702</v>
      </c>
      <c r="Y384" s="11">
        <v>0</v>
      </c>
      <c r="Z384" s="17">
        <v>5218324702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5218324702</v>
      </c>
      <c r="AH384" s="11">
        <v>0</v>
      </c>
      <c r="AI384" s="12">
        <v>5218324702</v>
      </c>
      <c r="AJ384" s="11">
        <v>5218324702</v>
      </c>
      <c r="AK384" s="11">
        <v>5218324702</v>
      </c>
      <c r="AL384" s="11">
        <v>5218324702</v>
      </c>
      <c r="AM384" s="11">
        <v>0</v>
      </c>
      <c r="AN384" s="11">
        <v>0</v>
      </c>
      <c r="AO384" s="11">
        <v>0</v>
      </c>
      <c r="AP384" s="11">
        <v>0</v>
      </c>
      <c r="AQ384" s="11">
        <v>0</v>
      </c>
      <c r="AR384" s="11">
        <v>0</v>
      </c>
      <c r="AS384" t="s">
        <v>651</v>
      </c>
      <c r="AT384" s="4" t="str">
        <f>+H384</f>
        <v>Componente específico del impuesto al consumo de cigarrillos y tabaco - Extranjeros</v>
      </c>
      <c r="AU384" s="7" t="str">
        <f>+$D384&amp;$AT384&amp;Z384</f>
        <v>154Componente específico del impuesto al consumo de cigarrillos y tabaco - Extranjeros5218324702</v>
      </c>
      <c r="AV384" t="str">
        <f>+_xlfn.XLOOKUP(AU384,CRUCE!I:I,CRUCE!M:M)</f>
        <v>READY</v>
      </c>
      <c r="AW384" t="s">
        <v>1907</v>
      </c>
      <c r="AX384">
        <f>+SUMIFS(CRUCE!C:C,CRUCE!A:A,D384,CRUCE!B:B,'2021'!H384)</f>
        <v>5218324702</v>
      </c>
    </row>
    <row r="385" spans="1:50" hidden="1" x14ac:dyDescent="0.3">
      <c r="A385">
        <v>2021</v>
      </c>
      <c r="B385">
        <v>318</v>
      </c>
      <c r="C385">
        <v>11010210602</v>
      </c>
      <c r="D385" s="5" t="s">
        <v>44</v>
      </c>
      <c r="E385" s="8" t="s">
        <v>707</v>
      </c>
      <c r="F385">
        <v>11010210602</v>
      </c>
      <c r="H385" s="8" t="s">
        <v>708</v>
      </c>
      <c r="I385" t="s">
        <v>643</v>
      </c>
      <c r="J385" s="11">
        <v>8402737426</v>
      </c>
      <c r="K385" s="11">
        <v>8402737426</v>
      </c>
      <c r="L385" s="11">
        <v>3249295760.6300001</v>
      </c>
      <c r="M385" s="11">
        <v>0</v>
      </c>
      <c r="N385" s="11">
        <v>3249295760.6300001</v>
      </c>
      <c r="O385" s="11">
        <v>3249295760.6300001</v>
      </c>
      <c r="P385" s="11">
        <v>0</v>
      </c>
      <c r="Q385" s="11">
        <v>11652033186.629999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16746874437</v>
      </c>
      <c r="Y385" s="11">
        <v>231659895</v>
      </c>
      <c r="Z385" s="17">
        <v>16515214542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16746874437</v>
      </c>
      <c r="AH385" s="11">
        <v>231659895</v>
      </c>
      <c r="AI385" s="12">
        <v>16515214542</v>
      </c>
      <c r="AJ385" s="11">
        <v>16515214542</v>
      </c>
      <c r="AK385" s="11">
        <v>3084644284</v>
      </c>
      <c r="AL385" s="11">
        <v>3084644284</v>
      </c>
      <c r="AM385" s="11">
        <v>13430570258</v>
      </c>
      <c r="AN385" s="11">
        <v>13430570258</v>
      </c>
      <c r="AO385" s="11">
        <v>0</v>
      </c>
      <c r="AP385" s="11">
        <v>13430570258</v>
      </c>
      <c r="AQ385" s="11">
        <v>0</v>
      </c>
      <c r="AR385" s="11">
        <v>0</v>
      </c>
      <c r="AS385" t="s">
        <v>48</v>
      </c>
      <c r="AT385"/>
    </row>
    <row r="386" spans="1:50" x14ac:dyDescent="0.3">
      <c r="A386">
        <v>2021</v>
      </c>
      <c r="B386">
        <v>318</v>
      </c>
      <c r="C386">
        <v>1101021060202</v>
      </c>
      <c r="D386" s="5">
        <v>154</v>
      </c>
      <c r="E386" s="8" t="s">
        <v>709</v>
      </c>
      <c r="F386">
        <v>1101021060202</v>
      </c>
      <c r="G386" t="s">
        <v>1908</v>
      </c>
      <c r="H386" s="8" t="s">
        <v>710</v>
      </c>
      <c r="I386" t="s">
        <v>643</v>
      </c>
      <c r="J386" s="11">
        <v>8402737426</v>
      </c>
      <c r="K386" s="11">
        <v>8402737426</v>
      </c>
      <c r="L386" s="11">
        <v>3249295760.6300001</v>
      </c>
      <c r="M386" s="11">
        <v>0</v>
      </c>
      <c r="N386" s="11">
        <v>3249295760.6300001</v>
      </c>
      <c r="O386" s="11">
        <v>3249295760.6300001</v>
      </c>
      <c r="P386" s="11">
        <v>0</v>
      </c>
      <c r="Q386" s="11">
        <v>11652033186.629999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16746874437</v>
      </c>
      <c r="Y386" s="11">
        <v>231659895</v>
      </c>
      <c r="Z386" s="17">
        <v>16515214542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16746874437</v>
      </c>
      <c r="AH386" s="11">
        <v>231659895</v>
      </c>
      <c r="AI386" s="12">
        <v>16515214542</v>
      </c>
      <c r="AJ386" s="11">
        <v>16515214542</v>
      </c>
      <c r="AK386" s="11">
        <v>3084644284</v>
      </c>
      <c r="AL386" s="11">
        <v>3084644284</v>
      </c>
      <c r="AM386" s="11">
        <v>13430570258</v>
      </c>
      <c r="AN386" s="11">
        <v>13430570258</v>
      </c>
      <c r="AO386" s="11">
        <v>0</v>
      </c>
      <c r="AP386" s="11">
        <v>13430570258</v>
      </c>
      <c r="AQ386" s="11">
        <v>0</v>
      </c>
      <c r="AR386" s="11">
        <v>0</v>
      </c>
      <c r="AS386" t="s">
        <v>651</v>
      </c>
      <c r="AT386" s="4" t="str">
        <f>+H386</f>
        <v>Componente ad valorem del impuesto al consumo de cigarrillos y tabaco elaborado - Extranjeros</v>
      </c>
      <c r="AU386" s="7" t="str">
        <f>+$D386&amp;$AT386&amp;Z386</f>
        <v>154Componente ad valorem del impuesto al consumo de cigarrillos y tabaco elaborado - Extranjeros16515214542</v>
      </c>
      <c r="AV386" t="str">
        <f>+_xlfn.XLOOKUP(AU386,CRUCE!I:I,CRUCE!M:M)</f>
        <v>READY</v>
      </c>
      <c r="AW386" t="s">
        <v>1907</v>
      </c>
      <c r="AX386">
        <f>+SUMIFS(CRUCE!C:C,CRUCE!A:A,D386,CRUCE!B:B,'2021'!H386)</f>
        <v>16515214542</v>
      </c>
    </row>
    <row r="387" spans="1:50" hidden="1" x14ac:dyDescent="0.3">
      <c r="A387">
        <v>2021</v>
      </c>
      <c r="B387">
        <v>318</v>
      </c>
      <c r="C387">
        <v>1102</v>
      </c>
      <c r="D387" s="5" t="s">
        <v>44</v>
      </c>
      <c r="E387" s="8" t="s">
        <v>711</v>
      </c>
      <c r="F387">
        <v>1102</v>
      </c>
      <c r="H387" s="8" t="s">
        <v>145</v>
      </c>
      <c r="I387" t="s">
        <v>643</v>
      </c>
      <c r="J387" s="11">
        <v>25149839614</v>
      </c>
      <c r="K387" s="11">
        <v>25149839614</v>
      </c>
      <c r="L387" s="11">
        <v>10819297684.469999</v>
      </c>
      <c r="M387" s="11">
        <v>493175848</v>
      </c>
      <c r="N387" s="11">
        <v>10326121836.469999</v>
      </c>
      <c r="O387" s="11">
        <v>10819297684.469999</v>
      </c>
      <c r="P387" s="11">
        <v>493175848</v>
      </c>
      <c r="Q387" s="11">
        <v>35475961450.470001</v>
      </c>
      <c r="R387" s="11">
        <v>914354303.67999995</v>
      </c>
      <c r="S387" s="11">
        <v>42728560.57</v>
      </c>
      <c r="T387" s="11">
        <v>871625743.11000001</v>
      </c>
      <c r="U387" s="11">
        <v>0</v>
      </c>
      <c r="V387" s="11">
        <v>0</v>
      </c>
      <c r="W387" s="11">
        <v>0</v>
      </c>
      <c r="X387" s="11">
        <v>40149882737.349998</v>
      </c>
      <c r="Y387" s="11">
        <v>3162218951.3400002</v>
      </c>
      <c r="Z387" s="17">
        <v>36987663786.010002</v>
      </c>
      <c r="AA387" s="11">
        <v>914354303.67999995</v>
      </c>
      <c r="AB387" s="11">
        <v>42728560.57</v>
      </c>
      <c r="AC387" s="11">
        <v>871625743.11000001</v>
      </c>
      <c r="AD387" s="11">
        <v>0</v>
      </c>
      <c r="AE387" s="11">
        <v>0</v>
      </c>
      <c r="AF387" s="11">
        <v>0</v>
      </c>
      <c r="AG387" s="11">
        <v>40149882737.349998</v>
      </c>
      <c r="AH387" s="11">
        <v>3162218951.3400002</v>
      </c>
      <c r="AI387" s="12">
        <v>36987663786.010002</v>
      </c>
      <c r="AJ387" s="11">
        <v>36987663786.010002</v>
      </c>
      <c r="AK387" s="11">
        <v>8036874905</v>
      </c>
      <c r="AL387" s="11">
        <v>8036874905</v>
      </c>
      <c r="AM387" s="11">
        <v>30522937614.009998</v>
      </c>
      <c r="AN387" s="11">
        <v>30906811599.349998</v>
      </c>
      <c r="AO387" s="11">
        <v>383873985.33999997</v>
      </c>
      <c r="AP387" s="11">
        <v>30906811599.349998</v>
      </c>
      <c r="AQ387" s="11">
        <v>0</v>
      </c>
      <c r="AR387" s="11">
        <v>383873985.33999997</v>
      </c>
      <c r="AS387" t="s">
        <v>48</v>
      </c>
      <c r="AT387"/>
    </row>
    <row r="388" spans="1:50" hidden="1" x14ac:dyDescent="0.3">
      <c r="A388">
        <v>2021</v>
      </c>
      <c r="B388">
        <v>318</v>
      </c>
      <c r="C388">
        <v>110202</v>
      </c>
      <c r="D388" s="5" t="s">
        <v>44</v>
      </c>
      <c r="E388" s="8" t="s">
        <v>712</v>
      </c>
      <c r="F388">
        <v>110202</v>
      </c>
      <c r="H388" s="8" t="s">
        <v>176</v>
      </c>
      <c r="I388" t="s">
        <v>643</v>
      </c>
      <c r="J388" s="11">
        <v>842700000</v>
      </c>
      <c r="K388" s="11">
        <v>842700000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842700000</v>
      </c>
      <c r="R388" s="11">
        <v>914354303.67999995</v>
      </c>
      <c r="S388" s="11">
        <v>42728560.57</v>
      </c>
      <c r="T388" s="11">
        <v>871625743.11000001</v>
      </c>
      <c r="U388" s="11">
        <v>0</v>
      </c>
      <c r="V388" s="11">
        <v>0</v>
      </c>
      <c r="W388" s="11">
        <v>0</v>
      </c>
      <c r="X388" s="11">
        <v>964329614.64999998</v>
      </c>
      <c r="Y388" s="11">
        <v>92885671.540000007</v>
      </c>
      <c r="Z388" s="17">
        <v>871443943.11000001</v>
      </c>
      <c r="AA388" s="11">
        <v>914354303.67999995</v>
      </c>
      <c r="AB388" s="11">
        <v>42728560.57</v>
      </c>
      <c r="AC388" s="11">
        <v>871625743.11000001</v>
      </c>
      <c r="AD388" s="11">
        <v>0</v>
      </c>
      <c r="AE388" s="11">
        <v>0</v>
      </c>
      <c r="AF388" s="11">
        <v>0</v>
      </c>
      <c r="AG388" s="11">
        <v>964329614.64999998</v>
      </c>
      <c r="AH388" s="11">
        <v>92885671.540000007</v>
      </c>
      <c r="AI388" s="12">
        <v>871443943.11000001</v>
      </c>
      <c r="AJ388" s="11">
        <v>871443943.11000001</v>
      </c>
      <c r="AK388" s="11">
        <v>0</v>
      </c>
      <c r="AL388" s="11">
        <v>0</v>
      </c>
      <c r="AM388" s="11">
        <v>871443943.11000001</v>
      </c>
      <c r="AN388" s="11">
        <v>964329614.64999998</v>
      </c>
      <c r="AO388" s="11">
        <v>92885671.540000007</v>
      </c>
      <c r="AP388" s="11">
        <v>964329614.64999998</v>
      </c>
      <c r="AQ388" s="11">
        <v>0</v>
      </c>
      <c r="AR388" s="11">
        <v>92885671.540000007</v>
      </c>
      <c r="AS388" t="s">
        <v>48</v>
      </c>
      <c r="AT388"/>
    </row>
    <row r="389" spans="1:50" hidden="1" x14ac:dyDescent="0.3">
      <c r="A389">
        <v>2021</v>
      </c>
      <c r="B389">
        <v>318</v>
      </c>
      <c r="C389">
        <v>110202101</v>
      </c>
      <c r="D389" s="5" t="s">
        <v>44</v>
      </c>
      <c r="E389" s="8" t="s">
        <v>713</v>
      </c>
      <c r="F389">
        <v>110202101</v>
      </c>
      <c r="H389" s="8" t="s">
        <v>178</v>
      </c>
      <c r="I389" t="s">
        <v>643</v>
      </c>
      <c r="J389" s="11">
        <v>842700000</v>
      </c>
      <c r="K389" s="11">
        <v>842700000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842700000</v>
      </c>
      <c r="R389" s="11">
        <v>914354303.67999995</v>
      </c>
      <c r="S389" s="11">
        <v>42728560.57</v>
      </c>
      <c r="T389" s="11">
        <v>871625743.11000001</v>
      </c>
      <c r="U389" s="11">
        <v>0</v>
      </c>
      <c r="V389" s="11">
        <v>0</v>
      </c>
      <c r="W389" s="11">
        <v>0</v>
      </c>
      <c r="X389" s="11">
        <v>964329614.64999998</v>
      </c>
      <c r="Y389" s="11">
        <v>92885671.540000007</v>
      </c>
      <c r="Z389" s="17">
        <v>871443943.11000001</v>
      </c>
      <c r="AA389" s="11">
        <v>914354303.67999995</v>
      </c>
      <c r="AB389" s="11">
        <v>42728560.57</v>
      </c>
      <c r="AC389" s="11">
        <v>871625743.11000001</v>
      </c>
      <c r="AD389" s="11">
        <v>0</v>
      </c>
      <c r="AE389" s="11">
        <v>0</v>
      </c>
      <c r="AF389" s="11">
        <v>0</v>
      </c>
      <c r="AG389" s="11">
        <v>964329614.64999998</v>
      </c>
      <c r="AH389" s="11">
        <v>92885671.540000007</v>
      </c>
      <c r="AI389" s="12">
        <v>871443943.11000001</v>
      </c>
      <c r="AJ389" s="11">
        <v>871443943.11000001</v>
      </c>
      <c r="AK389" s="11">
        <v>0</v>
      </c>
      <c r="AL389" s="11">
        <v>0</v>
      </c>
      <c r="AM389" s="11">
        <v>871443943.11000001</v>
      </c>
      <c r="AN389" s="11">
        <v>964329614.64999998</v>
      </c>
      <c r="AO389" s="11">
        <v>92885671.540000007</v>
      </c>
      <c r="AP389" s="11">
        <v>964329614.64999998</v>
      </c>
      <c r="AQ389" s="11">
        <v>0</v>
      </c>
      <c r="AR389" s="11">
        <v>92885671.540000007</v>
      </c>
      <c r="AS389" t="s">
        <v>48</v>
      </c>
      <c r="AT389"/>
    </row>
    <row r="390" spans="1:50" x14ac:dyDescent="0.3">
      <c r="A390">
        <v>2021</v>
      </c>
      <c r="B390">
        <v>318</v>
      </c>
      <c r="C390">
        <v>11020210101</v>
      </c>
      <c r="D390" s="5">
        <v>63</v>
      </c>
      <c r="E390" s="8" t="s">
        <v>714</v>
      </c>
      <c r="F390">
        <v>11020210101</v>
      </c>
      <c r="G390" t="s">
        <v>1908</v>
      </c>
      <c r="H390" s="8" t="s">
        <v>715</v>
      </c>
      <c r="I390" t="s">
        <v>643</v>
      </c>
      <c r="J390" s="11">
        <v>21500000</v>
      </c>
      <c r="K390" s="11">
        <v>21500000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21500000</v>
      </c>
      <c r="R390" s="11">
        <v>27421500</v>
      </c>
      <c r="S390" s="11">
        <v>242400</v>
      </c>
      <c r="T390" s="11">
        <v>27179100</v>
      </c>
      <c r="U390" s="11">
        <v>0</v>
      </c>
      <c r="V390" s="11">
        <v>0</v>
      </c>
      <c r="W390" s="11">
        <v>0</v>
      </c>
      <c r="X390" s="11">
        <v>28330500</v>
      </c>
      <c r="Y390" s="11">
        <v>1151400</v>
      </c>
      <c r="Z390" s="17">
        <v>27179100</v>
      </c>
      <c r="AA390" s="11">
        <v>27421500</v>
      </c>
      <c r="AB390" s="11">
        <v>242400</v>
      </c>
      <c r="AC390" s="11">
        <v>27179100</v>
      </c>
      <c r="AD390" s="11">
        <v>0</v>
      </c>
      <c r="AE390" s="11">
        <v>0</v>
      </c>
      <c r="AF390" s="11">
        <v>0</v>
      </c>
      <c r="AG390" s="11">
        <v>28330500</v>
      </c>
      <c r="AH390" s="11">
        <v>1151400</v>
      </c>
      <c r="AI390" s="12">
        <v>27179100</v>
      </c>
      <c r="AJ390" s="11">
        <v>27179100</v>
      </c>
      <c r="AK390" s="11">
        <v>0</v>
      </c>
      <c r="AL390" s="11">
        <v>0</v>
      </c>
      <c r="AM390" s="11">
        <v>27179100</v>
      </c>
      <c r="AN390" s="11">
        <v>28330500</v>
      </c>
      <c r="AO390" s="11">
        <v>1151400</v>
      </c>
      <c r="AP390" s="11">
        <v>28330500</v>
      </c>
      <c r="AQ390" s="11">
        <v>0</v>
      </c>
      <c r="AR390" s="11">
        <v>1151400</v>
      </c>
      <c r="AS390" t="s">
        <v>716</v>
      </c>
      <c r="AT390" s="4" t="str">
        <f t="shared" ref="AT390:AT392" si="62">+H390</f>
        <v>Fondo De Estupefacientes Venta De Recetarios</v>
      </c>
      <c r="AU390" s="7" t="str">
        <f t="shared" ref="AU390:AU392" si="63">+$D390&amp;$AT390&amp;Z390</f>
        <v>63Fondo De Estupefacientes Venta De Recetarios27179100</v>
      </c>
      <c r="AV390" t="str">
        <f>+_xlfn.XLOOKUP(AU390,CRUCE!I:I,CRUCE!M:M)</f>
        <v>READY</v>
      </c>
      <c r="AW390" t="s">
        <v>1907</v>
      </c>
      <c r="AX390">
        <f>+SUMIFS(CRUCE!C:C,CRUCE!A:A,D390,CRUCE!B:B,'2021'!H390)</f>
        <v>27179100</v>
      </c>
    </row>
    <row r="391" spans="1:50" x14ac:dyDescent="0.3">
      <c r="A391">
        <v>2021</v>
      </c>
      <c r="B391">
        <v>318</v>
      </c>
      <c r="C391">
        <v>11020210102</v>
      </c>
      <c r="D391" s="5">
        <v>63</v>
      </c>
      <c r="E391" s="8" t="s">
        <v>717</v>
      </c>
      <c r="F391">
        <v>11020210102</v>
      </c>
      <c r="G391" t="s">
        <v>1908</v>
      </c>
      <c r="H391" s="8" t="s">
        <v>718</v>
      </c>
      <c r="I391" t="s">
        <v>643</v>
      </c>
      <c r="J391" s="11">
        <v>1200000</v>
      </c>
      <c r="K391" s="11">
        <v>1200000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1200000</v>
      </c>
      <c r="R391" s="11">
        <v>3151200</v>
      </c>
      <c r="S391" s="11">
        <v>242400</v>
      </c>
      <c r="T391" s="11">
        <v>2908800</v>
      </c>
      <c r="U391" s="11">
        <v>0</v>
      </c>
      <c r="V391" s="11">
        <v>0</v>
      </c>
      <c r="W391" s="11">
        <v>0</v>
      </c>
      <c r="X391" s="11">
        <v>2787600</v>
      </c>
      <c r="Y391" s="11">
        <v>60600</v>
      </c>
      <c r="Z391" s="17">
        <v>2727000</v>
      </c>
      <c r="AA391" s="11">
        <v>3151200</v>
      </c>
      <c r="AB391" s="11">
        <v>242400</v>
      </c>
      <c r="AC391" s="11">
        <v>2908800</v>
      </c>
      <c r="AD391" s="11">
        <v>0</v>
      </c>
      <c r="AE391" s="11">
        <v>0</v>
      </c>
      <c r="AF391" s="11">
        <v>0</v>
      </c>
      <c r="AG391" s="11">
        <v>2787600</v>
      </c>
      <c r="AH391" s="11">
        <v>60600</v>
      </c>
      <c r="AI391" s="12">
        <v>2727000</v>
      </c>
      <c r="AJ391" s="11">
        <v>2727000</v>
      </c>
      <c r="AK391" s="11">
        <v>0</v>
      </c>
      <c r="AL391" s="11">
        <v>0</v>
      </c>
      <c r="AM391" s="11">
        <v>2727000</v>
      </c>
      <c r="AN391" s="11">
        <v>2787600</v>
      </c>
      <c r="AO391" s="11">
        <v>60600</v>
      </c>
      <c r="AP391" s="11">
        <v>2787600</v>
      </c>
      <c r="AQ391" s="11">
        <v>0</v>
      </c>
      <c r="AR391" s="11">
        <v>60600</v>
      </c>
      <c r="AS391" t="s">
        <v>716</v>
      </c>
      <c r="AT391" s="4" t="str">
        <f t="shared" si="62"/>
        <v>Fondo Rotatorio De Estupefacientes Resoluciones Manejo De Medicamentos</v>
      </c>
      <c r="AU391" s="7" t="str">
        <f t="shared" si="63"/>
        <v>63Fondo Rotatorio De Estupefacientes Resoluciones Manejo De Medicamentos2727000</v>
      </c>
      <c r="AV391" t="str">
        <f>+_xlfn.XLOOKUP(AU391,CRUCE!I:I,CRUCE!M:M)</f>
        <v>READY</v>
      </c>
      <c r="AW391" t="s">
        <v>1907</v>
      </c>
      <c r="AX391">
        <f>+SUMIFS(CRUCE!C:C,CRUCE!A:A,D391,CRUCE!B:B,'2021'!H391)</f>
        <v>2727000</v>
      </c>
    </row>
    <row r="392" spans="1:50" x14ac:dyDescent="0.3">
      <c r="A392">
        <v>2021</v>
      </c>
      <c r="B392">
        <v>318</v>
      </c>
      <c r="C392">
        <v>11020210103</v>
      </c>
      <c r="D392" s="5">
        <v>63</v>
      </c>
      <c r="E392" s="8" t="s">
        <v>719</v>
      </c>
      <c r="F392">
        <v>11020210103</v>
      </c>
      <c r="G392" t="s">
        <v>1908</v>
      </c>
      <c r="H392" s="8" t="s">
        <v>720</v>
      </c>
      <c r="I392" t="s">
        <v>643</v>
      </c>
      <c r="J392" s="11">
        <v>820000000</v>
      </c>
      <c r="K392" s="11">
        <v>820000000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820000000</v>
      </c>
      <c r="R392" s="11">
        <v>883781603.67999995</v>
      </c>
      <c r="S392" s="11">
        <v>42243760.57</v>
      </c>
      <c r="T392" s="11">
        <v>841537843.11000001</v>
      </c>
      <c r="U392" s="11">
        <v>0</v>
      </c>
      <c r="V392" s="11">
        <v>0</v>
      </c>
      <c r="W392" s="11">
        <v>0</v>
      </c>
      <c r="X392" s="11">
        <v>933211514.64999998</v>
      </c>
      <c r="Y392" s="11">
        <v>91673671.540000007</v>
      </c>
      <c r="Z392" s="17">
        <v>841537843.11000001</v>
      </c>
      <c r="AA392" s="11">
        <v>883781603.67999995</v>
      </c>
      <c r="AB392" s="11">
        <v>42243760.57</v>
      </c>
      <c r="AC392" s="11">
        <v>841537843.11000001</v>
      </c>
      <c r="AD392" s="11">
        <v>0</v>
      </c>
      <c r="AE392" s="11">
        <v>0</v>
      </c>
      <c r="AF392" s="11">
        <v>0</v>
      </c>
      <c r="AG392" s="11">
        <v>933211514.64999998</v>
      </c>
      <c r="AH392" s="11">
        <v>91673671.540000007</v>
      </c>
      <c r="AI392" s="12">
        <v>841537843.11000001</v>
      </c>
      <c r="AJ392" s="11">
        <v>841537843.11000001</v>
      </c>
      <c r="AK392" s="11">
        <v>0</v>
      </c>
      <c r="AL392" s="11">
        <v>0</v>
      </c>
      <c r="AM392" s="11">
        <v>841537843.11000001</v>
      </c>
      <c r="AN392" s="11">
        <v>933211514.64999998</v>
      </c>
      <c r="AO392" s="11">
        <v>91673671.540000007</v>
      </c>
      <c r="AP392" s="11">
        <v>933211514.64999998</v>
      </c>
      <c r="AQ392" s="11">
        <v>0</v>
      </c>
      <c r="AR392" s="11">
        <v>91673671.540000007</v>
      </c>
      <c r="AS392" t="s">
        <v>716</v>
      </c>
      <c r="AT392" s="4" t="str">
        <f t="shared" si="62"/>
        <v>Venta de Medicamentos</v>
      </c>
      <c r="AU392" s="7" t="str">
        <f t="shared" si="63"/>
        <v>63Venta de Medicamentos841537843,11</v>
      </c>
      <c r="AV392" t="str">
        <f>+_xlfn.XLOOKUP(AU392,CRUCE!I:I,CRUCE!M:M)</f>
        <v>READY</v>
      </c>
      <c r="AW392" t="s">
        <v>1907</v>
      </c>
      <c r="AX392">
        <f>+SUMIFS(CRUCE!C:C,CRUCE!A:A,D392,CRUCE!B:B,'2021'!H392)</f>
        <v>841537843.11000001</v>
      </c>
    </row>
    <row r="393" spans="1:50" hidden="1" x14ac:dyDescent="0.3">
      <c r="A393">
        <v>2021</v>
      </c>
      <c r="B393">
        <v>318</v>
      </c>
      <c r="C393">
        <v>110206</v>
      </c>
      <c r="D393" s="5" t="s">
        <v>44</v>
      </c>
      <c r="E393" s="8" t="s">
        <v>721</v>
      </c>
      <c r="F393">
        <v>110206</v>
      </c>
      <c r="H393" s="8" t="s">
        <v>242</v>
      </c>
      <c r="I393" t="s">
        <v>643</v>
      </c>
      <c r="J393" s="11">
        <v>8179660574</v>
      </c>
      <c r="K393" s="11">
        <v>8179660574</v>
      </c>
      <c r="L393" s="11">
        <v>10345849467</v>
      </c>
      <c r="M393" s="11">
        <v>493175848</v>
      </c>
      <c r="N393" s="11">
        <v>9852673619</v>
      </c>
      <c r="O393" s="11">
        <v>10345849467</v>
      </c>
      <c r="P393" s="11">
        <v>493175848</v>
      </c>
      <c r="Q393" s="11">
        <v>18032334193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19604482926</v>
      </c>
      <c r="Y393" s="11">
        <v>1572148733</v>
      </c>
      <c r="Z393" s="17">
        <v>18032334193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19604482926</v>
      </c>
      <c r="AH393" s="11">
        <v>1572148733</v>
      </c>
      <c r="AI393" s="12">
        <v>18032334193</v>
      </c>
      <c r="AJ393" s="11">
        <v>18032334193</v>
      </c>
      <c r="AK393" s="11">
        <v>0</v>
      </c>
      <c r="AL393" s="11">
        <v>0</v>
      </c>
      <c r="AM393" s="11">
        <v>19604482926</v>
      </c>
      <c r="AN393" s="11">
        <v>19604482926</v>
      </c>
      <c r="AO393" s="11">
        <v>0</v>
      </c>
      <c r="AP393" s="11">
        <v>19604482926</v>
      </c>
      <c r="AQ393" s="11">
        <v>0</v>
      </c>
      <c r="AR393" s="11">
        <v>0</v>
      </c>
      <c r="AS393" t="s">
        <v>48</v>
      </c>
      <c r="AT393"/>
    </row>
    <row r="394" spans="1:50" hidden="1" x14ac:dyDescent="0.3">
      <c r="A394">
        <v>2021</v>
      </c>
      <c r="B394">
        <v>318</v>
      </c>
      <c r="C394">
        <v>110206001</v>
      </c>
      <c r="D394" s="5" t="s">
        <v>44</v>
      </c>
      <c r="E394" s="8" t="s">
        <v>722</v>
      </c>
      <c r="F394">
        <v>110206001</v>
      </c>
      <c r="H394" s="8" t="s">
        <v>244</v>
      </c>
      <c r="I394" t="s">
        <v>643</v>
      </c>
      <c r="J394" s="11">
        <v>6425193577</v>
      </c>
      <c r="K394" s="11">
        <v>6425193577</v>
      </c>
      <c r="L394" s="11">
        <v>63682049</v>
      </c>
      <c r="M394" s="11">
        <v>489634735</v>
      </c>
      <c r="N394" s="11">
        <v>-425952686</v>
      </c>
      <c r="O394" s="11">
        <v>63682049</v>
      </c>
      <c r="P394" s="11">
        <v>489634735</v>
      </c>
      <c r="Q394" s="11">
        <v>5999240891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5999240891</v>
      </c>
      <c r="Y394" s="11">
        <v>0</v>
      </c>
      <c r="Z394" s="17">
        <v>5999240891</v>
      </c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5999240891</v>
      </c>
      <c r="AH394" s="11">
        <v>0</v>
      </c>
      <c r="AI394" s="12">
        <v>5999240891</v>
      </c>
      <c r="AJ394" s="11">
        <v>5999240891</v>
      </c>
      <c r="AK394" s="11">
        <v>0</v>
      </c>
      <c r="AL394" s="11">
        <v>0</v>
      </c>
      <c r="AM394" s="11">
        <v>5999240891</v>
      </c>
      <c r="AN394" s="11">
        <v>5999240891</v>
      </c>
      <c r="AO394" s="11">
        <v>0</v>
      </c>
      <c r="AP394" s="11">
        <v>5999240891</v>
      </c>
      <c r="AQ394" s="11">
        <v>0</v>
      </c>
      <c r="AR394" s="11">
        <v>0</v>
      </c>
      <c r="AS394" t="s">
        <v>48</v>
      </c>
      <c r="AT394"/>
    </row>
    <row r="395" spans="1:50" hidden="1" x14ac:dyDescent="0.3">
      <c r="A395">
        <v>2021</v>
      </c>
      <c r="B395">
        <v>318</v>
      </c>
      <c r="C395">
        <v>11020600102</v>
      </c>
      <c r="D395" s="5" t="s">
        <v>44</v>
      </c>
      <c r="E395" s="8" t="s">
        <v>723</v>
      </c>
      <c r="F395">
        <v>11020600102</v>
      </c>
      <c r="H395" s="8" t="s">
        <v>724</v>
      </c>
      <c r="I395" t="s">
        <v>643</v>
      </c>
      <c r="J395" s="11">
        <v>6425193577</v>
      </c>
      <c r="K395" s="11">
        <v>6425193577</v>
      </c>
      <c r="L395" s="11">
        <v>63682049</v>
      </c>
      <c r="M395" s="11">
        <v>489634735</v>
      </c>
      <c r="N395" s="11">
        <v>-425952686</v>
      </c>
      <c r="O395" s="11">
        <v>63682049</v>
      </c>
      <c r="P395" s="11">
        <v>489634735</v>
      </c>
      <c r="Q395" s="11">
        <v>5999240891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5999240891</v>
      </c>
      <c r="Y395" s="11">
        <v>0</v>
      </c>
      <c r="Z395" s="17">
        <v>5999240891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5999240891</v>
      </c>
      <c r="AH395" s="11">
        <v>0</v>
      </c>
      <c r="AI395" s="12">
        <v>5999240891</v>
      </c>
      <c r="AJ395" s="11">
        <v>5999240891</v>
      </c>
      <c r="AK395" s="11">
        <v>0</v>
      </c>
      <c r="AL395" s="11">
        <v>0</v>
      </c>
      <c r="AM395" s="11">
        <v>5999240891</v>
      </c>
      <c r="AN395" s="11">
        <v>5999240891</v>
      </c>
      <c r="AO395" s="11">
        <v>0</v>
      </c>
      <c r="AP395" s="11">
        <v>5999240891</v>
      </c>
      <c r="AQ395" s="11">
        <v>0</v>
      </c>
      <c r="AR395" s="11">
        <v>0</v>
      </c>
      <c r="AS395" t="s">
        <v>48</v>
      </c>
      <c r="AT395"/>
    </row>
    <row r="396" spans="1:50" x14ac:dyDescent="0.3">
      <c r="A396">
        <v>2021</v>
      </c>
      <c r="B396">
        <v>318</v>
      </c>
      <c r="C396">
        <v>1102060010202</v>
      </c>
      <c r="D396" s="5">
        <v>61</v>
      </c>
      <c r="E396" s="8" t="s">
        <v>725</v>
      </c>
      <c r="F396">
        <v>1102060010202</v>
      </c>
      <c r="G396" t="s">
        <v>1908</v>
      </c>
      <c r="H396" s="8" t="s">
        <v>726</v>
      </c>
      <c r="I396" t="s">
        <v>643</v>
      </c>
      <c r="J396" s="11">
        <v>4211165548</v>
      </c>
      <c r="K396" s="11">
        <v>4211165548</v>
      </c>
      <c r="L396" s="11">
        <v>63682049</v>
      </c>
      <c r="M396" s="11">
        <v>0</v>
      </c>
      <c r="N396" s="11">
        <v>63682049</v>
      </c>
      <c r="O396" s="11">
        <v>63682049</v>
      </c>
      <c r="P396" s="11">
        <v>0</v>
      </c>
      <c r="Q396" s="11">
        <v>4274847597</v>
      </c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4274847597</v>
      </c>
      <c r="Y396" s="11">
        <v>0</v>
      </c>
      <c r="Z396" s="17">
        <v>4274847597</v>
      </c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11">
        <v>0</v>
      </c>
      <c r="AG396" s="11">
        <v>4274847597</v>
      </c>
      <c r="AH396" s="11">
        <v>0</v>
      </c>
      <c r="AI396" s="12">
        <v>4274847597</v>
      </c>
      <c r="AJ396" s="11">
        <v>4274847597</v>
      </c>
      <c r="AK396" s="11">
        <v>0</v>
      </c>
      <c r="AL396" s="11">
        <v>0</v>
      </c>
      <c r="AM396" s="11">
        <v>4274847597</v>
      </c>
      <c r="AN396" s="11">
        <v>4274847597</v>
      </c>
      <c r="AO396" s="11">
        <v>0</v>
      </c>
      <c r="AP396" s="11">
        <v>4274847597</v>
      </c>
      <c r="AQ396" s="11">
        <v>0</v>
      </c>
      <c r="AR396" s="11">
        <v>0</v>
      </c>
      <c r="AS396" t="s">
        <v>727</v>
      </c>
      <c r="AT396" s="4" t="str">
        <f t="shared" ref="AT396:AT397" si="64">+H396</f>
        <v>Salud pública</v>
      </c>
      <c r="AU396" s="7" t="str">
        <f t="shared" ref="AU396:AU397" si="65">+$D396&amp;$AT396&amp;Z396</f>
        <v>61Salud pública4274847597</v>
      </c>
      <c r="AV396" t="e">
        <f>+_xlfn.XLOOKUP(AU396,CRUCE!I:I,CRUCE!M:M)</f>
        <v>#N/A</v>
      </c>
      <c r="AW396" t="s">
        <v>1907</v>
      </c>
      <c r="AX396">
        <f>+SUMIFS(CRUCE!C:C,CRUCE!A:A,D396,CRUCE!B:B,'2021'!H396)</f>
        <v>4277765409.9400001</v>
      </c>
    </row>
    <row r="397" spans="1:50" x14ac:dyDescent="0.3">
      <c r="A397">
        <v>2021</v>
      </c>
      <c r="B397">
        <v>318</v>
      </c>
      <c r="C397">
        <v>1102060010204</v>
      </c>
      <c r="D397" s="5">
        <v>171</v>
      </c>
      <c r="E397" s="8" t="s">
        <v>728</v>
      </c>
      <c r="F397">
        <v>1102060010204</v>
      </c>
      <c r="G397" t="s">
        <v>1908</v>
      </c>
      <c r="H397" s="8" t="s">
        <v>729</v>
      </c>
      <c r="I397" t="s">
        <v>643</v>
      </c>
      <c r="J397" s="11">
        <v>2214028029</v>
      </c>
      <c r="K397" s="11">
        <v>2214028029</v>
      </c>
      <c r="L397" s="11">
        <v>0</v>
      </c>
      <c r="M397" s="11">
        <v>489634735</v>
      </c>
      <c r="N397" s="11">
        <v>-489634735</v>
      </c>
      <c r="O397" s="11">
        <v>0</v>
      </c>
      <c r="P397" s="11">
        <v>489634735</v>
      </c>
      <c r="Q397" s="11">
        <v>1724393294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1724393294</v>
      </c>
      <c r="Y397" s="11">
        <v>0</v>
      </c>
      <c r="Z397" s="17">
        <v>1724393294</v>
      </c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11">
        <v>0</v>
      </c>
      <c r="AG397" s="11">
        <v>1724393294</v>
      </c>
      <c r="AH397" s="11">
        <v>0</v>
      </c>
      <c r="AI397" s="12">
        <v>1724393294</v>
      </c>
      <c r="AJ397" s="11">
        <v>1724393294</v>
      </c>
      <c r="AK397" s="11">
        <v>0</v>
      </c>
      <c r="AL397" s="11">
        <v>0</v>
      </c>
      <c r="AM397" s="11">
        <v>1724393294</v>
      </c>
      <c r="AN397" s="11">
        <v>1724393294</v>
      </c>
      <c r="AO397" s="11">
        <v>0</v>
      </c>
      <c r="AP397" s="11">
        <v>1724393294</v>
      </c>
      <c r="AQ397" s="11">
        <v>0</v>
      </c>
      <c r="AR397" s="11">
        <v>0</v>
      </c>
      <c r="AS397" t="s">
        <v>730</v>
      </c>
      <c r="AT397" s="4" t="str">
        <f t="shared" si="64"/>
        <v>Subsidio a la oferta</v>
      </c>
      <c r="AU397" s="7" t="str">
        <f t="shared" si="65"/>
        <v>171Subsidio a la oferta1724393294</v>
      </c>
      <c r="AV397" t="e">
        <f>+_xlfn.XLOOKUP(AU397,CRUCE!I:I,CRUCE!M:M)</f>
        <v>#N/A</v>
      </c>
      <c r="AW397" t="s">
        <v>1907</v>
      </c>
      <c r="AX397">
        <f>+SUMIFS(CRUCE!C:C,CRUCE!A:A,D397,CRUCE!B:B,'2021'!H397)</f>
        <v>1725078004.0599999</v>
      </c>
    </row>
    <row r="398" spans="1:50" hidden="1" x14ac:dyDescent="0.3">
      <c r="A398">
        <v>2021</v>
      </c>
      <c r="B398">
        <v>318</v>
      </c>
      <c r="C398">
        <v>110206006</v>
      </c>
      <c r="D398" s="5" t="s">
        <v>44</v>
      </c>
      <c r="E398" s="8" t="s">
        <v>731</v>
      </c>
      <c r="F398">
        <v>110206006</v>
      </c>
      <c r="H398" s="8" t="s">
        <v>267</v>
      </c>
      <c r="I398" t="s">
        <v>643</v>
      </c>
      <c r="J398" s="11">
        <v>1754466997</v>
      </c>
      <c r="K398" s="11">
        <v>1754466997</v>
      </c>
      <c r="L398" s="11">
        <v>10282167418</v>
      </c>
      <c r="M398" s="11">
        <v>3541113</v>
      </c>
      <c r="N398" s="11">
        <v>10278626305</v>
      </c>
      <c r="O398" s="11">
        <v>10282167418</v>
      </c>
      <c r="P398" s="11">
        <v>3541113</v>
      </c>
      <c r="Q398" s="11">
        <v>12033093302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13605242035</v>
      </c>
      <c r="Y398" s="11">
        <v>1572148733</v>
      </c>
      <c r="Z398" s="17">
        <v>12033093302</v>
      </c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11">
        <v>0</v>
      </c>
      <c r="AG398" s="11">
        <v>13605242035</v>
      </c>
      <c r="AH398" s="11">
        <v>1572148733</v>
      </c>
      <c r="AI398" s="12">
        <v>12033093302</v>
      </c>
      <c r="AJ398" s="11">
        <v>12033093302</v>
      </c>
      <c r="AK398" s="11">
        <v>0</v>
      </c>
      <c r="AL398" s="11">
        <v>0</v>
      </c>
      <c r="AM398" s="11">
        <v>13605242035</v>
      </c>
      <c r="AN398" s="11">
        <v>13605242035</v>
      </c>
      <c r="AO398" s="11">
        <v>0</v>
      </c>
      <c r="AP398" s="11">
        <v>13605242035</v>
      </c>
      <c r="AQ398" s="11">
        <v>0</v>
      </c>
      <c r="AR398" s="11">
        <v>0</v>
      </c>
      <c r="AS398" t="s">
        <v>48</v>
      </c>
      <c r="AT398"/>
    </row>
    <row r="399" spans="1:50" hidden="1" x14ac:dyDescent="0.3">
      <c r="A399">
        <v>2021</v>
      </c>
      <c r="B399">
        <v>318</v>
      </c>
      <c r="C399">
        <v>11020600601</v>
      </c>
      <c r="D399" s="5" t="s">
        <v>44</v>
      </c>
      <c r="E399" s="8" t="s">
        <v>732</v>
      </c>
      <c r="F399">
        <v>11020600601</v>
      </c>
      <c r="H399" s="8" t="s">
        <v>614</v>
      </c>
      <c r="I399" t="s">
        <v>643</v>
      </c>
      <c r="J399" s="11">
        <v>1754466997</v>
      </c>
      <c r="K399" s="11">
        <v>1754466997</v>
      </c>
      <c r="L399" s="11">
        <v>10282167418</v>
      </c>
      <c r="M399" s="11">
        <v>3541113</v>
      </c>
      <c r="N399" s="11">
        <v>10278626305</v>
      </c>
      <c r="O399" s="11">
        <v>10282167418</v>
      </c>
      <c r="P399" s="11">
        <v>3541113</v>
      </c>
      <c r="Q399" s="11">
        <v>12033093302</v>
      </c>
      <c r="R399" s="11">
        <v>0</v>
      </c>
      <c r="S399" s="11">
        <v>0</v>
      </c>
      <c r="T399" s="11">
        <v>0</v>
      </c>
      <c r="U399" s="11">
        <v>0</v>
      </c>
      <c r="V399" s="11">
        <v>0</v>
      </c>
      <c r="W399" s="11">
        <v>0</v>
      </c>
      <c r="X399" s="11">
        <v>13605242035</v>
      </c>
      <c r="Y399" s="11">
        <v>1572148733</v>
      </c>
      <c r="Z399" s="17">
        <v>12033093302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13605242035</v>
      </c>
      <c r="AH399" s="11">
        <v>1572148733</v>
      </c>
      <c r="AI399" s="12">
        <v>12033093302</v>
      </c>
      <c r="AJ399" s="11">
        <v>12033093302</v>
      </c>
      <c r="AK399" s="11">
        <v>0</v>
      </c>
      <c r="AL399" s="11">
        <v>0</v>
      </c>
      <c r="AM399" s="11">
        <v>13605242035</v>
      </c>
      <c r="AN399" s="11">
        <v>13605242035</v>
      </c>
      <c r="AO399" s="11">
        <v>0</v>
      </c>
      <c r="AP399" s="11">
        <v>13605242035</v>
      </c>
      <c r="AQ399" s="11">
        <v>0</v>
      </c>
      <c r="AR399" s="11">
        <v>0</v>
      </c>
      <c r="AS399" t="s">
        <v>48</v>
      </c>
      <c r="AT399"/>
    </row>
    <row r="400" spans="1:50" x14ac:dyDescent="0.3">
      <c r="A400">
        <v>2021</v>
      </c>
      <c r="B400">
        <v>318</v>
      </c>
      <c r="C400">
        <v>1102060060101</v>
      </c>
      <c r="D400" s="5">
        <v>110</v>
      </c>
      <c r="E400" s="8" t="s">
        <v>733</v>
      </c>
      <c r="F400">
        <v>1102060060101</v>
      </c>
      <c r="G400" t="s">
        <v>1908</v>
      </c>
      <c r="H400" s="8" t="s">
        <v>734</v>
      </c>
      <c r="I400" t="s">
        <v>643</v>
      </c>
      <c r="J400" s="11">
        <v>1361612640</v>
      </c>
      <c r="K400" s="11">
        <v>1361612640</v>
      </c>
      <c r="L400" s="11">
        <v>709077292</v>
      </c>
      <c r="M400" s="11">
        <v>0</v>
      </c>
      <c r="N400" s="11">
        <v>709077292</v>
      </c>
      <c r="O400" s="11">
        <v>709077292</v>
      </c>
      <c r="P400" s="11">
        <v>0</v>
      </c>
      <c r="Q400" s="11">
        <v>2070689932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2379656665</v>
      </c>
      <c r="Y400" s="11">
        <v>308966733</v>
      </c>
      <c r="Z400" s="17">
        <v>2070689932</v>
      </c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11">
        <v>0</v>
      </c>
      <c r="AG400" s="11">
        <v>2379656665</v>
      </c>
      <c r="AH400" s="11">
        <v>308966733</v>
      </c>
      <c r="AI400" s="12">
        <v>2070689932</v>
      </c>
      <c r="AJ400" s="11">
        <v>2070689932</v>
      </c>
      <c r="AK400" s="11">
        <v>0</v>
      </c>
      <c r="AL400" s="11">
        <v>0</v>
      </c>
      <c r="AM400" s="11">
        <v>2379656665</v>
      </c>
      <c r="AN400" s="11">
        <v>2379656665</v>
      </c>
      <c r="AO400" s="11">
        <v>0</v>
      </c>
      <c r="AP400" s="11">
        <v>2379656665</v>
      </c>
      <c r="AQ400" s="11">
        <v>0</v>
      </c>
      <c r="AR400" s="11">
        <v>0</v>
      </c>
      <c r="AS400" t="s">
        <v>735</v>
      </c>
      <c r="AT400" s="4" t="str">
        <f t="shared" ref="AT400:AT407" si="66">+H400</f>
        <v>Ministerio de Salud - Programa Inimputables</v>
      </c>
      <c r="AU400" s="7" t="str">
        <f t="shared" ref="AU400:AU407" si="67">+$D400&amp;$AT400&amp;Z400</f>
        <v>110Ministerio de Salud - Programa Inimputables2070689932</v>
      </c>
      <c r="AV400" t="str">
        <f>+_xlfn.XLOOKUP(AU400,CRUCE!I:I,CRUCE!M:M)</f>
        <v>READY</v>
      </c>
      <c r="AW400" t="s">
        <v>1907</v>
      </c>
      <c r="AX400">
        <f>+SUMIFS(CRUCE!C:C,CRUCE!A:A,D400,CRUCE!B:B,'2021'!H400)</f>
        <v>2070689932</v>
      </c>
    </row>
    <row r="401" spans="1:50" x14ac:dyDescent="0.3">
      <c r="A401">
        <v>2021</v>
      </c>
      <c r="B401">
        <v>318</v>
      </c>
      <c r="C401">
        <v>1102060060102</v>
      </c>
      <c r="D401" s="5">
        <v>111</v>
      </c>
      <c r="E401" s="8" t="s">
        <v>736</v>
      </c>
      <c r="F401">
        <v>1102060060102</v>
      </c>
      <c r="G401" t="s">
        <v>1908</v>
      </c>
      <c r="H401" s="8" t="s">
        <v>737</v>
      </c>
      <c r="I401" t="s">
        <v>643</v>
      </c>
      <c r="J401" s="11">
        <v>210707393</v>
      </c>
      <c r="K401" s="11">
        <v>210707393</v>
      </c>
      <c r="L401" s="11">
        <v>12219756</v>
      </c>
      <c r="M401" s="11">
        <v>0</v>
      </c>
      <c r="N401" s="11">
        <v>12219756</v>
      </c>
      <c r="O401" s="11">
        <v>12219756</v>
      </c>
      <c r="P401" s="11">
        <v>0</v>
      </c>
      <c r="Q401" s="11">
        <v>222927149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222927149</v>
      </c>
      <c r="Y401" s="11">
        <v>0</v>
      </c>
      <c r="Z401" s="17">
        <v>222927149</v>
      </c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0</v>
      </c>
      <c r="AG401" s="11">
        <v>222927149</v>
      </c>
      <c r="AH401" s="11">
        <v>0</v>
      </c>
      <c r="AI401" s="12">
        <v>222927149</v>
      </c>
      <c r="AJ401" s="11">
        <v>222927149</v>
      </c>
      <c r="AK401" s="11">
        <v>0</v>
      </c>
      <c r="AL401" s="11">
        <v>0</v>
      </c>
      <c r="AM401" s="11">
        <v>222927149</v>
      </c>
      <c r="AN401" s="11">
        <v>222927149</v>
      </c>
      <c r="AO401" s="11">
        <v>0</v>
      </c>
      <c r="AP401" s="11">
        <v>222927149</v>
      </c>
      <c r="AQ401" s="11">
        <v>0</v>
      </c>
      <c r="AR401" s="11">
        <v>0</v>
      </c>
      <c r="AS401" t="s">
        <v>738</v>
      </c>
      <c r="AT401" s="4" t="str">
        <f t="shared" si="66"/>
        <v>Min Salud, Program Prevencion y Control de Enfermedades por Vectores</v>
      </c>
      <c r="AU401" s="7" t="str">
        <f t="shared" si="67"/>
        <v>111Min Salud, Program Prevencion y Control de Enfermedades por Vectores222927149</v>
      </c>
      <c r="AV401" t="str">
        <f>+_xlfn.XLOOKUP(AU401,CRUCE!I:I,CRUCE!M:M)</f>
        <v>READY</v>
      </c>
      <c r="AW401" t="s">
        <v>1907</v>
      </c>
      <c r="AX401">
        <f>+SUMIFS(CRUCE!C:C,CRUCE!A:A,D401,CRUCE!B:B,'2021'!H401)</f>
        <v>222927149</v>
      </c>
    </row>
    <row r="402" spans="1:50" x14ac:dyDescent="0.3">
      <c r="A402">
        <v>2021</v>
      </c>
      <c r="B402">
        <v>318</v>
      </c>
      <c r="C402">
        <v>1102060060103</v>
      </c>
      <c r="D402" s="5">
        <v>113</v>
      </c>
      <c r="E402" s="8" t="s">
        <v>739</v>
      </c>
      <c r="F402">
        <v>1102060060103</v>
      </c>
      <c r="G402" t="s">
        <v>1908</v>
      </c>
      <c r="H402" s="8" t="s">
        <v>740</v>
      </c>
      <c r="I402" t="s">
        <v>643</v>
      </c>
      <c r="J402" s="11">
        <v>155911553</v>
      </c>
      <c r="K402" s="11">
        <v>155911553</v>
      </c>
      <c r="L402" s="11">
        <v>0</v>
      </c>
      <c r="M402" s="11">
        <v>3541113</v>
      </c>
      <c r="N402" s="11">
        <v>-3541113</v>
      </c>
      <c r="O402" s="11">
        <v>0</v>
      </c>
      <c r="P402" s="11">
        <v>3541113</v>
      </c>
      <c r="Q402" s="11">
        <v>152370440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152370440</v>
      </c>
      <c r="Y402" s="11">
        <v>0</v>
      </c>
      <c r="Z402" s="17">
        <v>152370440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152370440</v>
      </c>
      <c r="AH402" s="11">
        <v>0</v>
      </c>
      <c r="AI402" s="12">
        <v>152370440</v>
      </c>
      <c r="AJ402" s="11">
        <v>152370440</v>
      </c>
      <c r="AK402" s="11">
        <v>0</v>
      </c>
      <c r="AL402" s="11">
        <v>0</v>
      </c>
      <c r="AM402" s="11">
        <v>152370440</v>
      </c>
      <c r="AN402" s="11">
        <v>152370440</v>
      </c>
      <c r="AO402" s="11">
        <v>0</v>
      </c>
      <c r="AP402" s="11">
        <v>152370440</v>
      </c>
      <c r="AQ402" s="11">
        <v>0</v>
      </c>
      <c r="AR402" s="11">
        <v>0</v>
      </c>
      <c r="AS402" t="s">
        <v>741</v>
      </c>
      <c r="AT402" s="4" t="str">
        <f t="shared" si="66"/>
        <v>Min. Salud - Campaña y Control Antituberculosis Quindio</v>
      </c>
      <c r="AU402" s="7" t="str">
        <f t="shared" si="67"/>
        <v>113Min. Salud - Campaña y Control Antituberculosis Quindio152370440</v>
      </c>
      <c r="AV402" t="str">
        <f>+_xlfn.XLOOKUP(AU402,CRUCE!I:I,CRUCE!M:M)</f>
        <v>READY</v>
      </c>
      <c r="AW402" t="s">
        <v>1907</v>
      </c>
      <c r="AX402">
        <f>+SUMIFS(CRUCE!C:C,CRUCE!A:A,D402,CRUCE!B:B,'2021'!H402)</f>
        <v>152370440</v>
      </c>
    </row>
    <row r="403" spans="1:50" x14ac:dyDescent="0.3">
      <c r="A403">
        <v>2021</v>
      </c>
      <c r="B403">
        <v>318</v>
      </c>
      <c r="C403">
        <v>1102060060104</v>
      </c>
      <c r="D403" s="5">
        <v>114</v>
      </c>
      <c r="E403" s="8" t="s">
        <v>742</v>
      </c>
      <c r="F403">
        <v>1102060060104</v>
      </c>
      <c r="G403" t="s">
        <v>1908</v>
      </c>
      <c r="H403" s="8" t="s">
        <v>743</v>
      </c>
      <c r="I403" t="s">
        <v>643</v>
      </c>
      <c r="J403" s="11">
        <v>26235411</v>
      </c>
      <c r="K403" s="11">
        <v>26235411</v>
      </c>
      <c r="L403" s="11">
        <v>818388</v>
      </c>
      <c r="M403" s="11">
        <v>0</v>
      </c>
      <c r="N403" s="11">
        <v>818388</v>
      </c>
      <c r="O403" s="11">
        <v>818388</v>
      </c>
      <c r="P403" s="11">
        <v>0</v>
      </c>
      <c r="Q403" s="11">
        <v>27053799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27053799</v>
      </c>
      <c r="Y403" s="11">
        <v>0</v>
      </c>
      <c r="Z403" s="17">
        <v>27053799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0</v>
      </c>
      <c r="AG403" s="11">
        <v>27053799</v>
      </c>
      <c r="AH403" s="11">
        <v>0</v>
      </c>
      <c r="AI403" s="12">
        <v>27053799</v>
      </c>
      <c r="AJ403" s="11">
        <v>27053799</v>
      </c>
      <c r="AK403" s="11">
        <v>0</v>
      </c>
      <c r="AL403" s="11">
        <v>0</v>
      </c>
      <c r="AM403" s="11">
        <v>27053799</v>
      </c>
      <c r="AN403" s="11">
        <v>27053799</v>
      </c>
      <c r="AO403" s="11">
        <v>0</v>
      </c>
      <c r="AP403" s="11">
        <v>27053799</v>
      </c>
      <c r="AQ403" s="11">
        <v>0</v>
      </c>
      <c r="AR403" s="11">
        <v>0</v>
      </c>
      <c r="AS403" t="s">
        <v>744</v>
      </c>
      <c r="AT403" s="4" t="str">
        <f t="shared" si="66"/>
        <v>Min. Salud - Campaña Control Lepra Quindio</v>
      </c>
      <c r="AU403" s="7" t="str">
        <f t="shared" si="67"/>
        <v>114Min. Salud - Campaña Control Lepra Quindio27053799</v>
      </c>
      <c r="AV403" t="str">
        <f>+_xlfn.XLOOKUP(AU403,CRUCE!I:I,CRUCE!M:M)</f>
        <v>READY</v>
      </c>
      <c r="AW403" t="s">
        <v>1907</v>
      </c>
      <c r="AX403">
        <f>+SUMIFS(CRUCE!C:C,CRUCE!A:A,D403,CRUCE!B:B,'2021'!H403)</f>
        <v>27053799</v>
      </c>
    </row>
    <row r="404" spans="1:50" x14ac:dyDescent="0.3">
      <c r="A404">
        <v>2021</v>
      </c>
      <c r="B404">
        <v>318</v>
      </c>
      <c r="C404">
        <v>1102060060105</v>
      </c>
      <c r="D404" s="5">
        <v>197</v>
      </c>
      <c r="E404" s="8" t="s">
        <v>745</v>
      </c>
      <c r="F404">
        <v>1102060060105</v>
      </c>
      <c r="G404" t="s">
        <v>1908</v>
      </c>
      <c r="H404" s="8" t="s">
        <v>746</v>
      </c>
      <c r="I404" t="s">
        <v>643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1263182000</v>
      </c>
      <c r="Y404" s="11">
        <v>1263182000</v>
      </c>
      <c r="Z404" s="17">
        <v>0</v>
      </c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11">
        <v>0</v>
      </c>
      <c r="AG404" s="11">
        <v>1263182000</v>
      </c>
      <c r="AH404" s="11">
        <v>1263182000</v>
      </c>
      <c r="AI404" s="12">
        <v>0</v>
      </c>
      <c r="AJ404" s="11">
        <v>0</v>
      </c>
      <c r="AK404" s="11">
        <v>0</v>
      </c>
      <c r="AL404" s="11">
        <v>0</v>
      </c>
      <c r="AM404" s="11">
        <v>1263182000</v>
      </c>
      <c r="AN404" s="11">
        <v>1263182000</v>
      </c>
      <c r="AO404" s="11">
        <v>0</v>
      </c>
      <c r="AP404" s="11">
        <v>1263182000</v>
      </c>
      <c r="AQ404" s="11">
        <v>0</v>
      </c>
      <c r="AR404" s="11">
        <v>0</v>
      </c>
      <c r="AS404" t="s">
        <v>747</v>
      </c>
      <c r="AT404" s="4" t="str">
        <f t="shared" si="66"/>
        <v>Min. Salud - Resolucion No 196 de 2021</v>
      </c>
      <c r="AU404" s="7" t="str">
        <f t="shared" si="67"/>
        <v>197Min. Salud - Resolucion No 196 de 20210</v>
      </c>
      <c r="AV404" t="str">
        <f>+_xlfn.XLOOKUP(AU404,CRUCE!I:I,CRUCE!M:M)</f>
        <v>READY</v>
      </c>
      <c r="AW404" t="s">
        <v>1907</v>
      </c>
      <c r="AX404">
        <f>+SUMIFS(CRUCE!C:C,CRUCE!A:A,D404,CRUCE!B:B,'2021'!H404)</f>
        <v>0</v>
      </c>
    </row>
    <row r="405" spans="1:50" x14ac:dyDescent="0.3">
      <c r="A405">
        <v>2021</v>
      </c>
      <c r="B405">
        <v>318</v>
      </c>
      <c r="C405">
        <v>1102060060106</v>
      </c>
      <c r="D405" s="5">
        <v>180</v>
      </c>
      <c r="E405" s="8" t="s">
        <v>748</v>
      </c>
      <c r="F405">
        <v>1102060060106</v>
      </c>
      <c r="G405" t="s">
        <v>1908</v>
      </c>
      <c r="H405" s="8" t="s">
        <v>749</v>
      </c>
      <c r="I405" t="s">
        <v>643</v>
      </c>
      <c r="J405" s="11">
        <v>0</v>
      </c>
      <c r="K405" s="11">
        <v>0</v>
      </c>
      <c r="L405" s="11">
        <v>308966733</v>
      </c>
      <c r="M405" s="11">
        <v>0</v>
      </c>
      <c r="N405" s="11">
        <v>308966733</v>
      </c>
      <c r="O405" s="11">
        <v>308966733</v>
      </c>
      <c r="P405" s="11">
        <v>0</v>
      </c>
      <c r="Q405" s="11">
        <v>308966733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308966733</v>
      </c>
      <c r="Y405" s="11">
        <v>0</v>
      </c>
      <c r="Z405" s="17">
        <v>308966733</v>
      </c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11">
        <v>0</v>
      </c>
      <c r="AG405" s="11">
        <v>308966733</v>
      </c>
      <c r="AH405" s="11">
        <v>0</v>
      </c>
      <c r="AI405" s="12">
        <v>308966733</v>
      </c>
      <c r="AJ405" s="11">
        <v>308966733</v>
      </c>
      <c r="AK405" s="11">
        <v>0</v>
      </c>
      <c r="AL405" s="11">
        <v>0</v>
      </c>
      <c r="AM405" s="11">
        <v>308966733</v>
      </c>
      <c r="AN405" s="11">
        <v>308966733</v>
      </c>
      <c r="AO405" s="11">
        <v>0</v>
      </c>
      <c r="AP405" s="11">
        <v>308966733</v>
      </c>
      <c r="AQ405" s="11">
        <v>0</v>
      </c>
      <c r="AR405" s="11">
        <v>0</v>
      </c>
      <c r="AS405" t="s">
        <v>750</v>
      </c>
      <c r="AT405" s="4" t="str">
        <f t="shared" si="66"/>
        <v>Min. Salud - Resolución 367 Apoyo al Proceso de Certificación de Discapacidad Nacional</v>
      </c>
      <c r="AU405" s="7" t="str">
        <f t="shared" si="67"/>
        <v>180Min. Salud - Resolución 367 Apoyo al Proceso de Certificación de Discapacidad Nacional308966733</v>
      </c>
      <c r="AV405" t="str">
        <f>+_xlfn.XLOOKUP(AU405,CRUCE!I:I,CRUCE!M:M)</f>
        <v>READY</v>
      </c>
      <c r="AW405" t="s">
        <v>1907</v>
      </c>
      <c r="AX405">
        <f>+SUMIFS(CRUCE!C:C,CRUCE!A:A,D405,CRUCE!B:B,'2021'!H405)</f>
        <v>308966733</v>
      </c>
    </row>
    <row r="406" spans="1:50" x14ac:dyDescent="0.3">
      <c r="A406">
        <v>2021</v>
      </c>
      <c r="B406">
        <v>318</v>
      </c>
      <c r="C406">
        <v>1102060060107</v>
      </c>
      <c r="D406" s="5">
        <v>203</v>
      </c>
      <c r="E406" s="8" t="s">
        <v>751</v>
      </c>
      <c r="F406">
        <v>1102060060107</v>
      </c>
      <c r="G406" t="s">
        <v>1908</v>
      </c>
      <c r="H406" s="8" t="s">
        <v>752</v>
      </c>
      <c r="I406" t="s">
        <v>643</v>
      </c>
      <c r="J406" s="11">
        <v>0</v>
      </c>
      <c r="K406" s="11">
        <v>0</v>
      </c>
      <c r="L406" s="11">
        <v>548597644</v>
      </c>
      <c r="M406" s="11">
        <v>0</v>
      </c>
      <c r="N406" s="11">
        <v>548597644</v>
      </c>
      <c r="O406" s="11">
        <v>548597644</v>
      </c>
      <c r="P406" s="11">
        <v>0</v>
      </c>
      <c r="Q406" s="11">
        <v>548597644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548597644</v>
      </c>
      <c r="Y406" s="11">
        <v>0</v>
      </c>
      <c r="Z406" s="17">
        <v>548597644</v>
      </c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11">
        <v>0</v>
      </c>
      <c r="AG406" s="11">
        <v>548597644</v>
      </c>
      <c r="AH406" s="11">
        <v>0</v>
      </c>
      <c r="AI406" s="12">
        <v>548597644</v>
      </c>
      <c r="AJ406" s="11">
        <v>548597644</v>
      </c>
      <c r="AK406" s="11">
        <v>0</v>
      </c>
      <c r="AL406" s="11">
        <v>0</v>
      </c>
      <c r="AM406" s="11">
        <v>548597644</v>
      </c>
      <c r="AN406" s="11">
        <v>548597644</v>
      </c>
      <c r="AO406" s="11">
        <v>0</v>
      </c>
      <c r="AP406" s="11">
        <v>548597644</v>
      </c>
      <c r="AQ406" s="11">
        <v>0</v>
      </c>
      <c r="AR406" s="11">
        <v>0</v>
      </c>
      <c r="AS406" t="s">
        <v>753</v>
      </c>
      <c r="AT406" s="4" t="str">
        <f t="shared" si="66"/>
        <v>Min. Salud - Resolucion No 1831 de 2021 Implementación de Acciones en salud y prevención de enbferme</v>
      </c>
      <c r="AU406" s="7" t="str">
        <f t="shared" si="67"/>
        <v>203Min. Salud - Resolucion No 1831 de 2021 Implementación de Acciones en salud y prevención de enbferme548597644</v>
      </c>
      <c r="AV406" t="str">
        <f>+_xlfn.XLOOKUP(AU406,CRUCE!I:I,CRUCE!M:M)</f>
        <v>READY</v>
      </c>
      <c r="AX406">
        <f>+SUMIFS(CRUCE!C:C,CRUCE!A:A,D406,CRUCE!B:B,'2021'!H406)</f>
        <v>548597644</v>
      </c>
    </row>
    <row r="407" spans="1:50" x14ac:dyDescent="0.3">
      <c r="A407">
        <v>2021</v>
      </c>
      <c r="B407">
        <v>318</v>
      </c>
      <c r="C407">
        <v>1102060060108</v>
      </c>
      <c r="D407" s="5">
        <v>174</v>
      </c>
      <c r="E407" s="8" t="s">
        <v>754</v>
      </c>
      <c r="F407">
        <v>1102060060108</v>
      </c>
      <c r="G407" t="s">
        <v>1908</v>
      </c>
      <c r="H407" s="8" t="s">
        <v>755</v>
      </c>
      <c r="I407" t="s">
        <v>643</v>
      </c>
      <c r="J407" s="11">
        <v>0</v>
      </c>
      <c r="K407" s="11">
        <v>0</v>
      </c>
      <c r="L407" s="11">
        <v>8702487605</v>
      </c>
      <c r="M407" s="11">
        <v>0</v>
      </c>
      <c r="N407" s="11">
        <v>8702487605</v>
      </c>
      <c r="O407" s="11">
        <v>8702487605</v>
      </c>
      <c r="P407" s="11">
        <v>0</v>
      </c>
      <c r="Q407" s="11">
        <v>8702487605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8702487605</v>
      </c>
      <c r="Y407" s="11">
        <v>0</v>
      </c>
      <c r="Z407" s="17">
        <v>8702487605</v>
      </c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0</v>
      </c>
      <c r="AG407" s="11">
        <v>8702487605</v>
      </c>
      <c r="AH407" s="11">
        <v>0</v>
      </c>
      <c r="AI407" s="12">
        <v>8702487605</v>
      </c>
      <c r="AJ407" s="11">
        <v>8702487605</v>
      </c>
      <c r="AK407" s="11">
        <v>0</v>
      </c>
      <c r="AL407" s="11">
        <v>0</v>
      </c>
      <c r="AM407" s="11">
        <v>8702487605</v>
      </c>
      <c r="AN407" s="11">
        <v>8702487605</v>
      </c>
      <c r="AO407" s="11">
        <v>0</v>
      </c>
      <c r="AP407" s="11">
        <v>8702487605</v>
      </c>
      <c r="AQ407" s="11">
        <v>0</v>
      </c>
      <c r="AR407" s="11">
        <v>0</v>
      </c>
      <c r="AS407" t="s">
        <v>756</v>
      </c>
      <c r="AT407" s="4" t="str">
        <f t="shared" si="66"/>
        <v xml:space="preserve">Ley de punto Final </v>
      </c>
      <c r="AU407" s="7" t="str">
        <f t="shared" si="67"/>
        <v>174Ley de punto Final 8702487605</v>
      </c>
      <c r="AV407" t="str">
        <f>+_xlfn.XLOOKUP(AU407,CRUCE!I:I,CRUCE!M:M)</f>
        <v>READY</v>
      </c>
      <c r="AW407" t="s">
        <v>1907</v>
      </c>
      <c r="AX407">
        <f>+SUMIFS(CRUCE!C:C,CRUCE!A:A,D407,CRUCE!B:B,'2021'!H407)</f>
        <v>8702487605</v>
      </c>
    </row>
    <row r="408" spans="1:50" hidden="1" x14ac:dyDescent="0.3">
      <c r="A408">
        <v>2021</v>
      </c>
      <c r="B408">
        <v>318</v>
      </c>
      <c r="C408">
        <v>110207</v>
      </c>
      <c r="D408" s="5" t="s">
        <v>44</v>
      </c>
      <c r="E408" s="8" t="s">
        <v>757</v>
      </c>
      <c r="F408">
        <v>110207</v>
      </c>
      <c r="H408" s="8" t="s">
        <v>347</v>
      </c>
      <c r="I408" t="s">
        <v>643</v>
      </c>
      <c r="J408" s="11">
        <v>16127479040</v>
      </c>
      <c r="K408" s="11">
        <v>16127479040</v>
      </c>
      <c r="L408" s="11">
        <v>473448217.47000003</v>
      </c>
      <c r="M408" s="11">
        <v>0</v>
      </c>
      <c r="N408" s="11">
        <v>473448217.47000003</v>
      </c>
      <c r="O408" s="11">
        <v>473448217.47000003</v>
      </c>
      <c r="P408" s="11">
        <v>0</v>
      </c>
      <c r="Q408" s="11">
        <v>16600927257.469999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19581070196.700001</v>
      </c>
      <c r="Y408" s="11">
        <v>1497184546.8</v>
      </c>
      <c r="Z408" s="17">
        <v>18083885649.900002</v>
      </c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0</v>
      </c>
      <c r="AG408" s="11">
        <v>19581070196.700001</v>
      </c>
      <c r="AH408" s="11">
        <v>1497184546.8</v>
      </c>
      <c r="AI408" s="12">
        <v>18083885649.900002</v>
      </c>
      <c r="AJ408" s="11">
        <v>18083885649.900002</v>
      </c>
      <c r="AK408" s="11">
        <v>8036874905</v>
      </c>
      <c r="AL408" s="11">
        <v>8036874905</v>
      </c>
      <c r="AM408" s="11">
        <v>10047010744.9</v>
      </c>
      <c r="AN408" s="11">
        <v>10337999058.700001</v>
      </c>
      <c r="AO408" s="11">
        <v>290988313.80000001</v>
      </c>
      <c r="AP408" s="11">
        <v>10337999058.700001</v>
      </c>
      <c r="AQ408" s="11">
        <v>0</v>
      </c>
      <c r="AR408" s="11">
        <v>290988313.80000001</v>
      </c>
      <c r="AS408" t="s">
        <v>48</v>
      </c>
      <c r="AT408"/>
    </row>
    <row r="409" spans="1:50" hidden="1" x14ac:dyDescent="0.3">
      <c r="A409">
        <v>2021</v>
      </c>
      <c r="B409">
        <v>318</v>
      </c>
      <c r="C409">
        <v>110207001</v>
      </c>
      <c r="D409" s="5" t="s">
        <v>44</v>
      </c>
      <c r="E409" s="8" t="s">
        <v>758</v>
      </c>
      <c r="F409">
        <v>110207001</v>
      </c>
      <c r="H409" s="8" t="s">
        <v>759</v>
      </c>
      <c r="I409" t="s">
        <v>643</v>
      </c>
      <c r="J409" s="11">
        <v>7680613703</v>
      </c>
      <c r="K409" s="11">
        <v>7680613703</v>
      </c>
      <c r="L409" s="11">
        <v>473448217.47000003</v>
      </c>
      <c r="M409" s="11">
        <v>0</v>
      </c>
      <c r="N409" s="11">
        <v>473448217.47000003</v>
      </c>
      <c r="O409" s="11">
        <v>473448217.47000003</v>
      </c>
      <c r="P409" s="11">
        <v>0</v>
      </c>
      <c r="Q409" s="11">
        <v>8154061920.4700003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9257774522</v>
      </c>
      <c r="Y409" s="11">
        <v>1206196233</v>
      </c>
      <c r="Z409" s="17">
        <v>8051578289</v>
      </c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0</v>
      </c>
      <c r="AG409" s="11">
        <v>9257774522</v>
      </c>
      <c r="AH409" s="11">
        <v>1206196233</v>
      </c>
      <c r="AI409" s="12">
        <v>8051578289</v>
      </c>
      <c r="AJ409" s="11">
        <v>8051578289</v>
      </c>
      <c r="AK409" s="11">
        <v>5952611644</v>
      </c>
      <c r="AL409" s="11">
        <v>5952611644</v>
      </c>
      <c r="AM409" s="11">
        <v>2098966645</v>
      </c>
      <c r="AN409" s="11">
        <v>2098966645</v>
      </c>
      <c r="AO409" s="11">
        <v>0</v>
      </c>
      <c r="AP409" s="11">
        <v>2098966645</v>
      </c>
      <c r="AQ409" s="11">
        <v>0</v>
      </c>
      <c r="AR409" s="11">
        <v>0</v>
      </c>
      <c r="AS409" t="s">
        <v>48</v>
      </c>
      <c r="AT409"/>
    </row>
    <row r="410" spans="1:50" hidden="1" x14ac:dyDescent="0.3">
      <c r="A410">
        <v>2021</v>
      </c>
      <c r="B410">
        <v>318</v>
      </c>
      <c r="C410">
        <v>11020700103</v>
      </c>
      <c r="D410" s="5" t="s">
        <v>44</v>
      </c>
      <c r="E410" s="8" t="s">
        <v>760</v>
      </c>
      <c r="F410">
        <v>11020700103</v>
      </c>
      <c r="H410" s="8" t="s">
        <v>761</v>
      </c>
      <c r="I410" t="s">
        <v>643</v>
      </c>
      <c r="J410" s="11">
        <v>1552030080</v>
      </c>
      <c r="K410" s="11">
        <v>1552030080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1552030080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3620516436</v>
      </c>
      <c r="Y410" s="11">
        <v>1206196233</v>
      </c>
      <c r="Z410" s="17">
        <v>2414320203</v>
      </c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11">
        <v>0</v>
      </c>
      <c r="AG410" s="11">
        <v>3620516436</v>
      </c>
      <c r="AH410" s="11">
        <v>1206196233</v>
      </c>
      <c r="AI410" s="12">
        <v>2414320203</v>
      </c>
      <c r="AJ410" s="11">
        <v>2414320203</v>
      </c>
      <c r="AK410" s="11">
        <v>1822753058</v>
      </c>
      <c r="AL410" s="11">
        <v>1822753058</v>
      </c>
      <c r="AM410" s="11">
        <v>591567145</v>
      </c>
      <c r="AN410" s="11">
        <v>591567145</v>
      </c>
      <c r="AO410" s="11">
        <v>0</v>
      </c>
      <c r="AP410" s="11">
        <v>591567145</v>
      </c>
      <c r="AQ410" s="11">
        <v>0</v>
      </c>
      <c r="AR410" s="11">
        <v>0</v>
      </c>
      <c r="AS410" t="s">
        <v>48</v>
      </c>
      <c r="AT410"/>
    </row>
    <row r="411" spans="1:50" x14ac:dyDescent="0.3">
      <c r="A411">
        <v>2021</v>
      </c>
      <c r="B411">
        <v>318</v>
      </c>
      <c r="C411">
        <v>1102070010301</v>
      </c>
      <c r="D411" s="5">
        <v>154</v>
      </c>
      <c r="E411" s="8" t="s">
        <v>762</v>
      </c>
      <c r="F411">
        <v>1102070010301</v>
      </c>
      <c r="G411" t="s">
        <v>1908</v>
      </c>
      <c r="H411" s="8" t="s">
        <v>653</v>
      </c>
      <c r="I411" t="s">
        <v>643</v>
      </c>
      <c r="J411" s="11">
        <v>52769023</v>
      </c>
      <c r="K411" s="11">
        <v>52769023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52769023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7">
        <v>0</v>
      </c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11">
        <v>0</v>
      </c>
      <c r="AI411" s="12">
        <v>0</v>
      </c>
      <c r="AJ411" s="11">
        <v>0</v>
      </c>
      <c r="AK411" s="11">
        <v>0</v>
      </c>
      <c r="AL411" s="11">
        <v>0</v>
      </c>
      <c r="AM411" s="11">
        <v>0</v>
      </c>
      <c r="AN411" s="11">
        <v>0</v>
      </c>
      <c r="AO411" s="11">
        <v>0</v>
      </c>
      <c r="AP411" s="11">
        <v>0</v>
      </c>
      <c r="AQ411" s="11">
        <v>0</v>
      </c>
      <c r="AR411" s="11">
        <v>0</v>
      </c>
      <c r="AS411" t="s">
        <v>651</v>
      </c>
      <c r="AT411" s="4" t="str">
        <f t="shared" ref="AT411:AT417" si="68">+H411</f>
        <v>Impuestos a Ganadores Sorteo Ordinario 68%</v>
      </c>
      <c r="AU411" s="7" t="str">
        <f t="shared" ref="AU411:AU417" si="69">+$D411&amp;$AT411&amp;Z411</f>
        <v>154Impuestos a Ganadores Sorteo Ordinario 68%0</v>
      </c>
      <c r="AV411" t="e">
        <f>+_xlfn.XLOOKUP(AU411,CRUCE!I:I,CRUCE!M:M)</f>
        <v>#N/A</v>
      </c>
      <c r="AW411" t="s">
        <v>1907</v>
      </c>
      <c r="AX411">
        <f>+SUMIFS(CRUCE!C:C,CRUCE!A:A,D411,CRUCE!B:B,'2021'!H411)</f>
        <v>437355138.72000003</v>
      </c>
    </row>
    <row r="412" spans="1:50" x14ac:dyDescent="0.3">
      <c r="A412">
        <v>2021</v>
      </c>
      <c r="B412">
        <v>318</v>
      </c>
      <c r="C412">
        <v>1102070010302</v>
      </c>
      <c r="D412" s="5">
        <v>154</v>
      </c>
      <c r="E412" s="8" t="s">
        <v>763</v>
      </c>
      <c r="F412">
        <v>1102070010302</v>
      </c>
      <c r="G412" t="s">
        <v>1908</v>
      </c>
      <c r="H412" s="8" t="s">
        <v>764</v>
      </c>
      <c r="I412" t="s">
        <v>643</v>
      </c>
      <c r="J412" s="11">
        <v>1002611432</v>
      </c>
      <c r="K412" s="11">
        <v>1002611432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1002611432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699015619</v>
      </c>
      <c r="Y412" s="11">
        <v>699015619</v>
      </c>
      <c r="Z412" s="17">
        <v>0</v>
      </c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0</v>
      </c>
      <c r="AG412" s="11">
        <v>699015619</v>
      </c>
      <c r="AH412" s="11">
        <v>699015619</v>
      </c>
      <c r="AI412" s="12">
        <v>0</v>
      </c>
      <c r="AJ412" s="11">
        <v>0</v>
      </c>
      <c r="AK412" s="11">
        <v>0</v>
      </c>
      <c r="AL412" s="11">
        <v>0</v>
      </c>
      <c r="AM412" s="11">
        <v>0</v>
      </c>
      <c r="AN412" s="11">
        <v>0</v>
      </c>
      <c r="AO412" s="11">
        <v>0</v>
      </c>
      <c r="AP412" s="11">
        <v>0</v>
      </c>
      <c r="AQ412" s="11">
        <v>0</v>
      </c>
      <c r="AR412" s="11">
        <v>0</v>
      </c>
      <c r="AS412" t="s">
        <v>651</v>
      </c>
      <c r="AT412" s="4" t="str">
        <f t="shared" si="68"/>
        <v>Explotacion Sorteo Extraordinario 68%</v>
      </c>
      <c r="AU412" s="7" t="str">
        <f t="shared" si="69"/>
        <v>154Explotacion Sorteo Extraordinario 68%0</v>
      </c>
      <c r="AV412" t="str">
        <f>+_xlfn.XLOOKUP(AU412,CRUCE!I:I,CRUCE!M:M)</f>
        <v>READY</v>
      </c>
      <c r="AW412" t="s">
        <v>1907</v>
      </c>
      <c r="AX412">
        <f>+SUMIFS(CRUCE!C:C,CRUCE!A:A,D412,CRUCE!B:B,'2021'!H412)</f>
        <v>0</v>
      </c>
    </row>
    <row r="413" spans="1:50" x14ac:dyDescent="0.3">
      <c r="A413">
        <v>2021</v>
      </c>
      <c r="B413">
        <v>318</v>
      </c>
      <c r="C413">
        <v>1102070010303</v>
      </c>
      <c r="D413" s="5">
        <v>72</v>
      </c>
      <c r="E413" s="8" t="s">
        <v>765</v>
      </c>
      <c r="F413">
        <v>1102070010303</v>
      </c>
      <c r="G413" t="s">
        <v>1908</v>
      </c>
      <c r="H413" s="8" t="s">
        <v>766</v>
      </c>
      <c r="I413" t="s">
        <v>643</v>
      </c>
      <c r="J413" s="11">
        <v>19400376</v>
      </c>
      <c r="K413" s="11">
        <v>19400376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19400376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82520665</v>
      </c>
      <c r="Y413" s="11">
        <v>0</v>
      </c>
      <c r="Z413" s="17">
        <v>82520665</v>
      </c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11">
        <v>0</v>
      </c>
      <c r="AG413" s="11">
        <v>82520665</v>
      </c>
      <c r="AH413" s="11">
        <v>0</v>
      </c>
      <c r="AI413" s="12">
        <v>82520665</v>
      </c>
      <c r="AJ413" s="11">
        <v>82520665</v>
      </c>
      <c r="AK413" s="11">
        <v>0</v>
      </c>
      <c r="AL413" s="11">
        <v>0</v>
      </c>
      <c r="AM413" s="11">
        <v>82520665</v>
      </c>
      <c r="AN413" s="11">
        <v>82520665</v>
      </c>
      <c r="AO413" s="11">
        <v>0</v>
      </c>
      <c r="AP413" s="11">
        <v>82520665</v>
      </c>
      <c r="AQ413" s="11">
        <v>0</v>
      </c>
      <c r="AR413" s="11">
        <v>0</v>
      </c>
      <c r="AS413" t="s">
        <v>656</v>
      </c>
      <c r="AT413" s="4" t="str">
        <f t="shared" si="68"/>
        <v>Explotacion Sorteo Extraordinario 25%</v>
      </c>
      <c r="AU413" s="7" t="str">
        <f t="shared" si="69"/>
        <v>72Explotacion Sorteo Extraordinario 25%82520665</v>
      </c>
      <c r="AV413" t="str">
        <f>+_xlfn.XLOOKUP(AU413,CRUCE!I:I,CRUCE!M:M)</f>
        <v>READY</v>
      </c>
      <c r="AW413" t="s">
        <v>1907</v>
      </c>
      <c r="AX413">
        <f>+SUMIFS(CRUCE!C:C,CRUCE!A:A,D413,CRUCE!B:B,'2021'!H413)</f>
        <v>82520665</v>
      </c>
    </row>
    <row r="414" spans="1:50" x14ac:dyDescent="0.3">
      <c r="A414">
        <v>2021</v>
      </c>
      <c r="B414">
        <v>318</v>
      </c>
      <c r="C414">
        <v>1102070010304</v>
      </c>
      <c r="D414" s="5">
        <v>154</v>
      </c>
      <c r="E414" s="8" t="s">
        <v>767</v>
      </c>
      <c r="F414">
        <v>1102070010304</v>
      </c>
      <c r="G414" t="s">
        <v>1908</v>
      </c>
      <c r="H414" s="8" t="s">
        <v>768</v>
      </c>
      <c r="I414" t="s">
        <v>643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2116243240</v>
      </c>
      <c r="Y414" s="11">
        <v>507180614</v>
      </c>
      <c r="Z414" s="17">
        <v>1609062626</v>
      </c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11">
        <v>0</v>
      </c>
      <c r="AG414" s="11">
        <v>2116243240</v>
      </c>
      <c r="AH414" s="11">
        <v>507180614</v>
      </c>
      <c r="AI414" s="12">
        <v>1609062626</v>
      </c>
      <c r="AJ414" s="11">
        <v>1609062626</v>
      </c>
      <c r="AK414" s="11">
        <v>1609062626</v>
      </c>
      <c r="AL414" s="11">
        <v>1609062626</v>
      </c>
      <c r="AM414" s="11">
        <v>0</v>
      </c>
      <c r="AN414" s="11">
        <v>0</v>
      </c>
      <c r="AO414" s="11">
        <v>0</v>
      </c>
      <c r="AP414" s="11">
        <v>0</v>
      </c>
      <c r="AQ414" s="11">
        <v>0</v>
      </c>
      <c r="AR414" s="11">
        <v>0</v>
      </c>
      <c r="AS414" t="s">
        <v>651</v>
      </c>
      <c r="AT414" s="4" t="str">
        <f t="shared" si="68"/>
        <v>Explotacion Sorteo Ordinario Loterias 25%</v>
      </c>
      <c r="AU414" s="7" t="str">
        <f t="shared" si="69"/>
        <v>154Explotacion Sorteo Ordinario Loterias 25%1609062626</v>
      </c>
      <c r="AV414" t="str">
        <f>+_xlfn.XLOOKUP(AU414,CRUCE!I:I,CRUCE!M:M)</f>
        <v>READY</v>
      </c>
      <c r="AW414" t="s">
        <v>1907</v>
      </c>
      <c r="AX414">
        <f>+SUMIFS(CRUCE!C:C,CRUCE!A:A,D414,CRUCE!B:B,'2021'!H414)</f>
        <v>1609062626</v>
      </c>
    </row>
    <row r="415" spans="1:50" x14ac:dyDescent="0.3">
      <c r="A415">
        <v>2021</v>
      </c>
      <c r="B415">
        <v>318</v>
      </c>
      <c r="C415">
        <v>1102070010304</v>
      </c>
      <c r="D415" s="5">
        <v>72</v>
      </c>
      <c r="E415" s="8" t="s">
        <v>769</v>
      </c>
      <c r="F415">
        <v>1102070010304</v>
      </c>
      <c r="G415" t="s">
        <v>1908</v>
      </c>
      <c r="H415" s="8" t="s">
        <v>768</v>
      </c>
      <c r="I415" t="s">
        <v>643</v>
      </c>
      <c r="J415" s="11">
        <v>368607144</v>
      </c>
      <c r="K415" s="11">
        <v>368607144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368607144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509046480</v>
      </c>
      <c r="Y415" s="11">
        <v>0</v>
      </c>
      <c r="Z415" s="17">
        <v>509046480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509046480</v>
      </c>
      <c r="AH415" s="11">
        <v>0</v>
      </c>
      <c r="AI415" s="12">
        <v>509046480</v>
      </c>
      <c r="AJ415" s="11">
        <v>509046480</v>
      </c>
      <c r="AK415" s="11">
        <v>0</v>
      </c>
      <c r="AL415" s="11">
        <v>0</v>
      </c>
      <c r="AM415" s="11">
        <v>509046480</v>
      </c>
      <c r="AN415" s="11">
        <v>509046480</v>
      </c>
      <c r="AO415" s="11">
        <v>0</v>
      </c>
      <c r="AP415" s="11">
        <v>509046480</v>
      </c>
      <c r="AQ415" s="11">
        <v>0</v>
      </c>
      <c r="AR415" s="11">
        <v>0</v>
      </c>
      <c r="AS415" t="s">
        <v>656</v>
      </c>
      <c r="AT415" s="4" t="str">
        <f t="shared" si="68"/>
        <v>Explotacion Sorteo Ordinario Loterias 25%</v>
      </c>
      <c r="AU415" s="7" t="str">
        <f t="shared" si="69"/>
        <v>72Explotacion Sorteo Ordinario Loterias 25%509046480</v>
      </c>
      <c r="AV415" t="str">
        <f>+_xlfn.XLOOKUP(AU415,CRUCE!I:I,CRUCE!M:M)</f>
        <v>READY</v>
      </c>
      <c r="AW415" t="s">
        <v>1907</v>
      </c>
      <c r="AX415">
        <f>+SUMIFS(CRUCE!C:C,CRUCE!A:A,D415,CRUCE!B:B,'2021'!H415)</f>
        <v>509046480</v>
      </c>
    </row>
    <row r="416" spans="1:50" x14ac:dyDescent="0.3">
      <c r="A416">
        <v>2021</v>
      </c>
      <c r="B416">
        <v>318</v>
      </c>
      <c r="C416">
        <v>1102070010305</v>
      </c>
      <c r="D416" s="5">
        <v>181</v>
      </c>
      <c r="E416" s="8" t="s">
        <v>770</v>
      </c>
      <c r="F416">
        <v>1102070010305</v>
      </c>
      <c r="G416" t="s">
        <v>1908</v>
      </c>
      <c r="H416" s="8" t="s">
        <v>771</v>
      </c>
      <c r="I416" t="s">
        <v>643</v>
      </c>
      <c r="J416" s="11">
        <v>5432105</v>
      </c>
      <c r="K416" s="11">
        <v>5432105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5432105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92754381</v>
      </c>
      <c r="Y416" s="11">
        <v>0</v>
      </c>
      <c r="Z416" s="17">
        <v>92754381</v>
      </c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0</v>
      </c>
      <c r="AG416" s="11">
        <v>92754381</v>
      </c>
      <c r="AH416" s="11">
        <v>0</v>
      </c>
      <c r="AI416" s="12">
        <v>92754381</v>
      </c>
      <c r="AJ416" s="11">
        <v>92754381</v>
      </c>
      <c r="AK416" s="11">
        <v>92754381</v>
      </c>
      <c r="AL416" s="11">
        <v>92754381</v>
      </c>
      <c r="AM416" s="11">
        <v>0</v>
      </c>
      <c r="AN416" s="11">
        <v>0</v>
      </c>
      <c r="AO416" s="11">
        <v>0</v>
      </c>
      <c r="AP416" s="11">
        <v>0</v>
      </c>
      <c r="AQ416" s="11">
        <v>0</v>
      </c>
      <c r="AR416" s="11">
        <v>0</v>
      </c>
      <c r="AS416" t="s">
        <v>661</v>
      </c>
      <c r="AT416" s="4" t="str">
        <f t="shared" si="68"/>
        <v>Colciencias 7%  Sorteo Extraordinario</v>
      </c>
      <c r="AU416" s="7" t="str">
        <f t="shared" si="69"/>
        <v>181Colciencias 7%  Sorteo Extraordinario92754381</v>
      </c>
      <c r="AV416" t="str">
        <f>+_xlfn.XLOOKUP(AU416,CRUCE!I:I,CRUCE!M:M)</f>
        <v>READY</v>
      </c>
      <c r="AW416" t="s">
        <v>1907</v>
      </c>
      <c r="AX416">
        <f>+SUMIFS(CRUCE!C:C,CRUCE!A:A,D416,CRUCE!B:B,'2021'!H416)</f>
        <v>92754381</v>
      </c>
    </row>
    <row r="417" spans="1:50" x14ac:dyDescent="0.3">
      <c r="A417">
        <v>2021</v>
      </c>
      <c r="B417">
        <v>318</v>
      </c>
      <c r="C417">
        <v>1102070010306</v>
      </c>
      <c r="D417" s="5">
        <v>181</v>
      </c>
      <c r="E417" s="8" t="s">
        <v>772</v>
      </c>
      <c r="F417">
        <v>1102070010306</v>
      </c>
      <c r="G417" t="s">
        <v>1908</v>
      </c>
      <c r="H417" s="8" t="s">
        <v>773</v>
      </c>
      <c r="I417" t="s">
        <v>643</v>
      </c>
      <c r="J417" s="11">
        <v>103210000</v>
      </c>
      <c r="K417" s="11">
        <v>103210000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103210000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120936051</v>
      </c>
      <c r="Y417" s="11">
        <v>0</v>
      </c>
      <c r="Z417" s="17">
        <v>120936051</v>
      </c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120936051</v>
      </c>
      <c r="AH417" s="11">
        <v>0</v>
      </c>
      <c r="AI417" s="12">
        <v>120936051</v>
      </c>
      <c r="AJ417" s="11">
        <v>120936051</v>
      </c>
      <c r="AK417" s="11">
        <v>120936051</v>
      </c>
      <c r="AL417" s="11">
        <v>120936051</v>
      </c>
      <c r="AM417" s="11">
        <v>0</v>
      </c>
      <c r="AN417" s="11">
        <v>0</v>
      </c>
      <c r="AO417" s="11">
        <v>0</v>
      </c>
      <c r="AP417" s="11">
        <v>0</v>
      </c>
      <c r="AQ417" s="11">
        <v>0</v>
      </c>
      <c r="AR417" s="11">
        <v>0</v>
      </c>
      <c r="AS417" t="s">
        <v>661</v>
      </c>
      <c r="AT417" s="4" t="str">
        <f t="shared" si="68"/>
        <v>Colciencias 7% Explotacion Sorteo Ordinario</v>
      </c>
      <c r="AU417" s="7" t="str">
        <f t="shared" si="69"/>
        <v>181Colciencias 7% Explotacion Sorteo Ordinario120936051</v>
      </c>
      <c r="AV417" t="str">
        <f>+_xlfn.XLOOKUP(AU417,CRUCE!I:I,CRUCE!M:M)</f>
        <v>READY</v>
      </c>
      <c r="AW417" t="s">
        <v>1907</v>
      </c>
      <c r="AX417">
        <f>+SUMIFS(CRUCE!C:C,CRUCE!A:A,D417,CRUCE!B:B,'2021'!H417)</f>
        <v>120936051</v>
      </c>
    </row>
    <row r="418" spans="1:50" hidden="1" x14ac:dyDescent="0.3">
      <c r="A418">
        <v>2021</v>
      </c>
      <c r="B418">
        <v>318</v>
      </c>
      <c r="C418">
        <v>11020700104</v>
      </c>
      <c r="D418" s="5" t="s">
        <v>44</v>
      </c>
      <c r="E418" s="8" t="s">
        <v>774</v>
      </c>
      <c r="F418">
        <v>11020700104</v>
      </c>
      <c r="H418" s="8" t="s">
        <v>775</v>
      </c>
      <c r="I418" t="s">
        <v>643</v>
      </c>
      <c r="J418" s="11">
        <v>5997708272</v>
      </c>
      <c r="K418" s="11">
        <v>5997708272</v>
      </c>
      <c r="L418" s="11">
        <v>52845183.469999999</v>
      </c>
      <c r="M418" s="11">
        <v>0</v>
      </c>
      <c r="N418" s="11">
        <v>52845183.469999999</v>
      </c>
      <c r="O418" s="11">
        <v>52845183.469999999</v>
      </c>
      <c r="P418" s="11">
        <v>0</v>
      </c>
      <c r="Q418" s="11">
        <v>6050553455.4700003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5194747951</v>
      </c>
      <c r="Y418" s="11">
        <v>0</v>
      </c>
      <c r="Z418" s="17">
        <v>5194747951</v>
      </c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11">
        <v>0</v>
      </c>
      <c r="AG418" s="11">
        <v>5194747951</v>
      </c>
      <c r="AH418" s="11">
        <v>0</v>
      </c>
      <c r="AI418" s="12">
        <v>5194747951</v>
      </c>
      <c r="AJ418" s="11">
        <v>5194747951</v>
      </c>
      <c r="AK418" s="11">
        <v>3798310329</v>
      </c>
      <c r="AL418" s="11">
        <v>3798310329</v>
      </c>
      <c r="AM418" s="11">
        <v>1396437622</v>
      </c>
      <c r="AN418" s="11">
        <v>1396437622</v>
      </c>
      <c r="AO418" s="11">
        <v>0</v>
      </c>
      <c r="AP418" s="11">
        <v>1396437622</v>
      </c>
      <c r="AQ418" s="11">
        <v>0</v>
      </c>
      <c r="AR418" s="11">
        <v>0</v>
      </c>
      <c r="AS418" t="s">
        <v>48</v>
      </c>
      <c r="AT418"/>
    </row>
    <row r="419" spans="1:50" x14ac:dyDescent="0.3">
      <c r="A419">
        <v>2021</v>
      </c>
      <c r="B419">
        <v>318</v>
      </c>
      <c r="C419">
        <v>1102070010401</v>
      </c>
      <c r="D419" s="5">
        <v>154</v>
      </c>
      <c r="E419" s="8" t="s">
        <v>776</v>
      </c>
      <c r="F419">
        <v>1102070010401</v>
      </c>
      <c r="G419" t="s">
        <v>1908</v>
      </c>
      <c r="H419" s="8" t="s">
        <v>777</v>
      </c>
      <c r="I419" t="s">
        <v>643</v>
      </c>
      <c r="J419" s="11">
        <v>4078441625</v>
      </c>
      <c r="K419" s="11">
        <v>4078441625</v>
      </c>
      <c r="L419" s="11">
        <v>52845183.469999999</v>
      </c>
      <c r="M419" s="11">
        <v>0</v>
      </c>
      <c r="N419" s="11">
        <v>52845183.469999999</v>
      </c>
      <c r="O419" s="11">
        <v>52845183.469999999</v>
      </c>
      <c r="P419" s="11">
        <v>0</v>
      </c>
      <c r="Q419" s="11">
        <v>4131286808.4699998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3798310329</v>
      </c>
      <c r="Y419" s="11">
        <v>0</v>
      </c>
      <c r="Z419" s="17">
        <v>3798310329</v>
      </c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11">
        <v>0</v>
      </c>
      <c r="AG419" s="11">
        <v>3798310329</v>
      </c>
      <c r="AH419" s="11">
        <v>0</v>
      </c>
      <c r="AI419" s="12">
        <v>3798310329</v>
      </c>
      <c r="AJ419" s="11">
        <v>3798310329</v>
      </c>
      <c r="AK419" s="11">
        <v>3798310329</v>
      </c>
      <c r="AL419" s="11">
        <v>3798310329</v>
      </c>
      <c r="AM419" s="11">
        <v>0</v>
      </c>
      <c r="AN419" s="11">
        <v>0</v>
      </c>
      <c r="AO419" s="11">
        <v>0</v>
      </c>
      <c r="AP419" s="11">
        <v>0</v>
      </c>
      <c r="AQ419" s="11">
        <v>0</v>
      </c>
      <c r="AR419" s="11">
        <v>0</v>
      </c>
      <c r="AS419" t="s">
        <v>651</v>
      </c>
      <c r="AT419" s="4" t="str">
        <f t="shared" ref="AT419:AT421" si="70">+H419</f>
        <v>Juegos y  Apuestas Permanentes  Régimen Subsidiado 68%</v>
      </c>
      <c r="AU419" s="7" t="str">
        <f t="shared" ref="AU419:AU421" si="71">+$D419&amp;$AT419&amp;Z419</f>
        <v>154Juegos y  Apuestas Permanentes  Régimen Subsidiado 68%3798310329</v>
      </c>
      <c r="AV419" t="str">
        <f>+_xlfn.XLOOKUP(AU419,CRUCE!I:I,CRUCE!M:M)</f>
        <v>READY</v>
      </c>
      <c r="AW419" t="s">
        <v>1907</v>
      </c>
      <c r="AX419">
        <f>+SUMIFS(CRUCE!C:C,CRUCE!A:A,D419,CRUCE!B:B,'2021'!H419)</f>
        <v>3798310329</v>
      </c>
    </row>
    <row r="420" spans="1:50" x14ac:dyDescent="0.3">
      <c r="A420">
        <v>2021</v>
      </c>
      <c r="B420">
        <v>318</v>
      </c>
      <c r="C420">
        <v>1102070010402</v>
      </c>
      <c r="D420" s="5">
        <v>72</v>
      </c>
      <c r="E420" s="8" t="s">
        <v>778</v>
      </c>
      <c r="F420">
        <v>1102070010402</v>
      </c>
      <c r="G420" t="s">
        <v>1908</v>
      </c>
      <c r="H420" s="8" t="s">
        <v>779</v>
      </c>
      <c r="I420" t="s">
        <v>643</v>
      </c>
      <c r="J420" s="11">
        <v>1499427068</v>
      </c>
      <c r="K420" s="11">
        <v>1499427068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1499427068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1396437622</v>
      </c>
      <c r="Y420" s="11">
        <v>0</v>
      </c>
      <c r="Z420" s="17">
        <v>1396437622</v>
      </c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11">
        <v>0</v>
      </c>
      <c r="AG420" s="11">
        <v>1396437622</v>
      </c>
      <c r="AH420" s="11">
        <v>0</v>
      </c>
      <c r="AI420" s="12">
        <v>1396437622</v>
      </c>
      <c r="AJ420" s="11">
        <v>1396437622</v>
      </c>
      <c r="AK420" s="11">
        <v>0</v>
      </c>
      <c r="AL420" s="11">
        <v>0</v>
      </c>
      <c r="AM420" s="11">
        <v>1396437622</v>
      </c>
      <c r="AN420" s="11">
        <v>1396437622</v>
      </c>
      <c r="AO420" s="11">
        <v>0</v>
      </c>
      <c r="AP420" s="11">
        <v>1396437622</v>
      </c>
      <c r="AQ420" s="11">
        <v>0</v>
      </c>
      <c r="AR420" s="11">
        <v>0</v>
      </c>
      <c r="AS420" t="s">
        <v>656</v>
      </c>
      <c r="AT420" s="4" t="str">
        <f t="shared" si="70"/>
        <v>Juegos y Apuestas Permanentes  25%</v>
      </c>
      <c r="AU420" s="7" t="str">
        <f t="shared" si="71"/>
        <v>72Juegos y Apuestas Permanentes  25%1396437622</v>
      </c>
      <c r="AV420" t="str">
        <f>+_xlfn.XLOOKUP(AU420,CRUCE!I:I,CRUCE!M:M)</f>
        <v>READY</v>
      </c>
      <c r="AW420" t="s">
        <v>1907</v>
      </c>
      <c r="AX420">
        <f>+SUMIFS(CRUCE!C:C,CRUCE!A:A,D420,CRUCE!B:B,'2021'!H420)</f>
        <v>1396437622</v>
      </c>
    </row>
    <row r="421" spans="1:50" x14ac:dyDescent="0.3">
      <c r="A421">
        <v>2021</v>
      </c>
      <c r="B421">
        <v>318</v>
      </c>
      <c r="C421">
        <v>1102070010403</v>
      </c>
      <c r="D421" s="5">
        <v>181</v>
      </c>
      <c r="E421" s="8" t="s">
        <v>780</v>
      </c>
      <c r="F421">
        <v>1102070010403</v>
      </c>
      <c r="G421" t="s">
        <v>1908</v>
      </c>
      <c r="H421" s="8" t="s">
        <v>781</v>
      </c>
      <c r="I421" t="s">
        <v>643</v>
      </c>
      <c r="J421" s="11">
        <v>419839579</v>
      </c>
      <c r="K421" s="11">
        <v>419839579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419839579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7">
        <v>0</v>
      </c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11">
        <v>0</v>
      </c>
      <c r="AG421" s="11">
        <v>0</v>
      </c>
      <c r="AH421" s="11">
        <v>0</v>
      </c>
      <c r="AI421" s="12">
        <v>0</v>
      </c>
      <c r="AJ421" s="11">
        <v>0</v>
      </c>
      <c r="AK421" s="11">
        <v>0</v>
      </c>
      <c r="AL421" s="11">
        <v>0</v>
      </c>
      <c r="AM421" s="11">
        <v>0</v>
      </c>
      <c r="AN421" s="11">
        <v>0</v>
      </c>
      <c r="AO421" s="11">
        <v>0</v>
      </c>
      <c r="AP421" s="11">
        <v>0</v>
      </c>
      <c r="AQ421" s="11">
        <v>0</v>
      </c>
      <c r="AR421" s="11">
        <v>0</v>
      </c>
      <c r="AS421" t="s">
        <v>661</v>
      </c>
      <c r="AT421" s="4" t="str">
        <f t="shared" si="70"/>
        <v>Colciencias 7% Juegos Y Apuestas Permanentes</v>
      </c>
      <c r="AU421" s="7" t="str">
        <f t="shared" si="71"/>
        <v>181Colciencias 7% Juegos Y Apuestas Permanentes0</v>
      </c>
      <c r="AV421" t="str">
        <f>+_xlfn.XLOOKUP(AU421,CRUCE!I:I,CRUCE!M:M)</f>
        <v>READY</v>
      </c>
      <c r="AW421" t="s">
        <v>1907</v>
      </c>
      <c r="AX421">
        <f>+SUMIFS(CRUCE!C:C,CRUCE!A:A,D421,CRUCE!B:B,'2021'!H421)</f>
        <v>0</v>
      </c>
    </row>
    <row r="422" spans="1:50" hidden="1" x14ac:dyDescent="0.3">
      <c r="A422">
        <v>2021</v>
      </c>
      <c r="B422">
        <v>318</v>
      </c>
      <c r="C422">
        <v>11020700105</v>
      </c>
      <c r="D422" s="5" t="s">
        <v>44</v>
      </c>
      <c r="E422" s="8" t="s">
        <v>782</v>
      </c>
      <c r="F422">
        <v>11020700105</v>
      </c>
      <c r="H422" s="8" t="s">
        <v>783</v>
      </c>
      <c r="I422" t="s">
        <v>643</v>
      </c>
      <c r="J422" s="11">
        <v>20527481</v>
      </c>
      <c r="K422" s="11">
        <v>20527481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20527481</v>
      </c>
      <c r="R422" s="11">
        <v>0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24649009</v>
      </c>
      <c r="Y422" s="11">
        <v>0</v>
      </c>
      <c r="Z422" s="17">
        <v>24649009</v>
      </c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11">
        <v>0</v>
      </c>
      <c r="AG422" s="11">
        <v>24649009</v>
      </c>
      <c r="AH422" s="11">
        <v>0</v>
      </c>
      <c r="AI422" s="12">
        <v>24649009</v>
      </c>
      <c r="AJ422" s="11">
        <v>24649009</v>
      </c>
      <c r="AK422" s="11">
        <v>18152412</v>
      </c>
      <c r="AL422" s="11">
        <v>18152412</v>
      </c>
      <c r="AM422" s="11">
        <v>6496597</v>
      </c>
      <c r="AN422" s="11">
        <v>6496597</v>
      </c>
      <c r="AO422" s="11">
        <v>0</v>
      </c>
      <c r="AP422" s="11">
        <v>6496597</v>
      </c>
      <c r="AQ422" s="11">
        <v>0</v>
      </c>
      <c r="AR422" s="11">
        <v>0</v>
      </c>
      <c r="AS422" t="s">
        <v>48</v>
      </c>
      <c r="AT422"/>
    </row>
    <row r="423" spans="1:50" x14ac:dyDescent="0.3">
      <c r="A423">
        <v>2021</v>
      </c>
      <c r="B423">
        <v>318</v>
      </c>
      <c r="C423">
        <v>1102070010501</v>
      </c>
      <c r="D423" s="5">
        <v>154</v>
      </c>
      <c r="E423" s="8" t="s">
        <v>784</v>
      </c>
      <c r="F423">
        <v>1102070010501</v>
      </c>
      <c r="G423" t="s">
        <v>1908</v>
      </c>
      <c r="H423" s="8" t="s">
        <v>785</v>
      </c>
      <c r="I423" t="s">
        <v>643</v>
      </c>
      <c r="J423" s="11">
        <v>13958687</v>
      </c>
      <c r="K423" s="11">
        <v>13958687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13958687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17670742</v>
      </c>
      <c r="Y423" s="11">
        <v>0</v>
      </c>
      <c r="Z423" s="17">
        <v>17670742</v>
      </c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0</v>
      </c>
      <c r="AG423" s="11">
        <v>17670742</v>
      </c>
      <c r="AH423" s="11">
        <v>0</v>
      </c>
      <c r="AI423" s="12">
        <v>17670742</v>
      </c>
      <c r="AJ423" s="11">
        <v>17670742</v>
      </c>
      <c r="AK423" s="11">
        <v>17670742</v>
      </c>
      <c r="AL423" s="11">
        <v>17670742</v>
      </c>
      <c r="AM423" s="11">
        <v>0</v>
      </c>
      <c r="AN423" s="11">
        <v>0</v>
      </c>
      <c r="AO423" s="11">
        <v>0</v>
      </c>
      <c r="AP423" s="11">
        <v>0</v>
      </c>
      <c r="AQ423" s="11">
        <v>0</v>
      </c>
      <c r="AR423" s="11">
        <v>0</v>
      </c>
      <c r="AS423" t="s">
        <v>651</v>
      </c>
      <c r="AT423" s="4" t="str">
        <f t="shared" ref="AT423:AT425" si="72">+H423</f>
        <v>Rifas Departamentales 68%</v>
      </c>
      <c r="AU423" s="7" t="str">
        <f t="shared" ref="AU423:AU425" si="73">+$D423&amp;$AT423&amp;Z423</f>
        <v>154Rifas Departamentales 68%17670742</v>
      </c>
      <c r="AV423" t="str">
        <f>+_xlfn.XLOOKUP(AU423,CRUCE!I:I,CRUCE!M:M)</f>
        <v>READY</v>
      </c>
      <c r="AW423" t="s">
        <v>1907</v>
      </c>
      <c r="AX423">
        <f>+SUMIFS(CRUCE!C:C,CRUCE!A:A,D423,CRUCE!B:B,'2021'!H423)</f>
        <v>17670742</v>
      </c>
    </row>
    <row r="424" spans="1:50" x14ac:dyDescent="0.3">
      <c r="A424">
        <v>2021</v>
      </c>
      <c r="B424">
        <v>318</v>
      </c>
      <c r="C424">
        <v>1102070010502</v>
      </c>
      <c r="D424" s="5">
        <v>72</v>
      </c>
      <c r="E424" s="8" t="s">
        <v>786</v>
      </c>
      <c r="F424">
        <v>1102070010502</v>
      </c>
      <c r="G424" t="s">
        <v>1908</v>
      </c>
      <c r="H424" s="8" t="s">
        <v>787</v>
      </c>
      <c r="I424" t="s">
        <v>643</v>
      </c>
      <c r="J424" s="11">
        <v>5131870</v>
      </c>
      <c r="K424" s="11">
        <v>5131870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5131870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6496597</v>
      </c>
      <c r="Y424" s="11">
        <v>0</v>
      </c>
      <c r="Z424" s="17">
        <v>6496597</v>
      </c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11">
        <v>0</v>
      </c>
      <c r="AG424" s="11">
        <v>6496597</v>
      </c>
      <c r="AH424" s="11">
        <v>0</v>
      </c>
      <c r="AI424" s="12">
        <v>6496597</v>
      </c>
      <c r="AJ424" s="11">
        <v>6496597</v>
      </c>
      <c r="AK424" s="11">
        <v>0</v>
      </c>
      <c r="AL424" s="11">
        <v>0</v>
      </c>
      <c r="AM424" s="11">
        <v>6496597</v>
      </c>
      <c r="AN424" s="11">
        <v>6496597</v>
      </c>
      <c r="AO424" s="11">
        <v>0</v>
      </c>
      <c r="AP424" s="11">
        <v>6496597</v>
      </c>
      <c r="AQ424" s="11">
        <v>0</v>
      </c>
      <c r="AR424" s="11">
        <v>0</v>
      </c>
      <c r="AS424" t="s">
        <v>656</v>
      </c>
      <c r="AT424" s="4" t="str">
        <f t="shared" si="72"/>
        <v>Rifas Departamentales - Otros 25%</v>
      </c>
      <c r="AU424" s="7" t="str">
        <f t="shared" si="73"/>
        <v>72Rifas Departamentales - Otros 25%6496597</v>
      </c>
      <c r="AV424" t="str">
        <f>+_xlfn.XLOOKUP(AU424,CRUCE!I:I,CRUCE!M:M)</f>
        <v>READY</v>
      </c>
      <c r="AW424" t="s">
        <v>1907</v>
      </c>
      <c r="AX424">
        <f>+SUMIFS(CRUCE!C:C,CRUCE!A:A,D424,CRUCE!B:B,'2021'!H424)</f>
        <v>6496597</v>
      </c>
    </row>
    <row r="425" spans="1:50" x14ac:dyDescent="0.3">
      <c r="A425">
        <v>2021</v>
      </c>
      <c r="B425">
        <v>318</v>
      </c>
      <c r="C425">
        <v>1102070010503</v>
      </c>
      <c r="D425" s="5">
        <v>181</v>
      </c>
      <c r="E425" s="8" t="s">
        <v>788</v>
      </c>
      <c r="F425">
        <v>1102070010503</v>
      </c>
      <c r="G425" t="s">
        <v>1908</v>
      </c>
      <c r="H425" s="8" t="s">
        <v>789</v>
      </c>
      <c r="I425" t="s">
        <v>643</v>
      </c>
      <c r="J425" s="11">
        <v>1436924</v>
      </c>
      <c r="K425" s="11">
        <v>1436924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1436924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481670</v>
      </c>
      <c r="Y425" s="11">
        <v>0</v>
      </c>
      <c r="Z425" s="17">
        <v>481670</v>
      </c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481670</v>
      </c>
      <c r="AH425" s="11">
        <v>0</v>
      </c>
      <c r="AI425" s="12">
        <v>481670</v>
      </c>
      <c r="AJ425" s="11">
        <v>481670</v>
      </c>
      <c r="AK425" s="11">
        <v>481670</v>
      </c>
      <c r="AL425" s="11">
        <v>481670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t="s">
        <v>661</v>
      </c>
      <c r="AT425" s="4" t="str">
        <f t="shared" si="72"/>
        <v>Colciencias 7% Rifas Departamentales</v>
      </c>
      <c r="AU425" s="7" t="str">
        <f t="shared" si="73"/>
        <v>181Colciencias 7% Rifas Departamentales481670</v>
      </c>
      <c r="AV425" t="str">
        <f>+_xlfn.XLOOKUP(AU425,CRUCE!I:I,CRUCE!M:M)</f>
        <v>READY</v>
      </c>
      <c r="AW425" t="s">
        <v>1907</v>
      </c>
      <c r="AX425">
        <f>+SUMIFS(CRUCE!C:C,CRUCE!A:A,D425,CRUCE!B:B,'2021'!H425)</f>
        <v>481670</v>
      </c>
    </row>
    <row r="426" spans="1:50" hidden="1" x14ac:dyDescent="0.3">
      <c r="A426">
        <v>2021</v>
      </c>
      <c r="B426">
        <v>318</v>
      </c>
      <c r="C426">
        <v>11020700109</v>
      </c>
      <c r="D426" s="5" t="s">
        <v>44</v>
      </c>
      <c r="E426" s="8" t="s">
        <v>790</v>
      </c>
      <c r="F426">
        <v>11020700109</v>
      </c>
      <c r="H426" s="8" t="s">
        <v>791</v>
      </c>
      <c r="I426" t="s">
        <v>643</v>
      </c>
      <c r="J426" s="11">
        <v>110347870</v>
      </c>
      <c r="K426" s="11">
        <v>110347870</v>
      </c>
      <c r="L426" s="11">
        <v>420603034</v>
      </c>
      <c r="M426" s="11">
        <v>0</v>
      </c>
      <c r="N426" s="11">
        <v>420603034</v>
      </c>
      <c r="O426" s="11">
        <v>420603034</v>
      </c>
      <c r="P426" s="11">
        <v>0</v>
      </c>
      <c r="Q426" s="11">
        <v>530950904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417861126</v>
      </c>
      <c r="Y426" s="11">
        <v>0</v>
      </c>
      <c r="Z426" s="17">
        <v>417861126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417861126</v>
      </c>
      <c r="AH426" s="11">
        <v>0</v>
      </c>
      <c r="AI426" s="12">
        <v>417861126</v>
      </c>
      <c r="AJ426" s="11">
        <v>417861126</v>
      </c>
      <c r="AK426" s="11">
        <v>313395845</v>
      </c>
      <c r="AL426" s="11">
        <v>313395845</v>
      </c>
      <c r="AM426" s="11">
        <v>104465281</v>
      </c>
      <c r="AN426" s="11">
        <v>104465281</v>
      </c>
      <c r="AO426" s="11">
        <v>0</v>
      </c>
      <c r="AP426" s="11">
        <v>104465281</v>
      </c>
      <c r="AQ426" s="11">
        <v>0</v>
      </c>
      <c r="AR426" s="11">
        <v>0</v>
      </c>
      <c r="AS426" t="s">
        <v>48</v>
      </c>
      <c r="AT426"/>
    </row>
    <row r="427" spans="1:50" x14ac:dyDescent="0.3">
      <c r="A427">
        <v>2021</v>
      </c>
      <c r="B427">
        <v>318</v>
      </c>
      <c r="C427">
        <v>1102070010901</v>
      </c>
      <c r="D427" s="5">
        <v>154</v>
      </c>
      <c r="E427" s="8" t="s">
        <v>792</v>
      </c>
      <c r="F427">
        <v>1102070010901</v>
      </c>
      <c r="G427" t="s">
        <v>1908</v>
      </c>
      <c r="H427" s="8" t="s">
        <v>793</v>
      </c>
      <c r="I427" t="s">
        <v>643</v>
      </c>
      <c r="J427" s="11">
        <v>61980552</v>
      </c>
      <c r="K427" s="11">
        <v>61980552</v>
      </c>
      <c r="L427" s="11">
        <v>210301517</v>
      </c>
      <c r="M427" s="11">
        <v>0</v>
      </c>
      <c r="N427" s="11">
        <v>210301517</v>
      </c>
      <c r="O427" s="11">
        <v>210301517</v>
      </c>
      <c r="P427" s="11">
        <v>0</v>
      </c>
      <c r="Q427" s="11">
        <v>272282069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152792860</v>
      </c>
      <c r="Y427" s="11">
        <v>0</v>
      </c>
      <c r="Z427" s="17">
        <v>152792860</v>
      </c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11">
        <v>0</v>
      </c>
      <c r="AG427" s="11">
        <v>152792860</v>
      </c>
      <c r="AH427" s="11">
        <v>0</v>
      </c>
      <c r="AI427" s="12">
        <v>152792860</v>
      </c>
      <c r="AJ427" s="11">
        <v>152792860</v>
      </c>
      <c r="AK427" s="11">
        <v>152792860</v>
      </c>
      <c r="AL427" s="11">
        <v>152792860</v>
      </c>
      <c r="AM427" s="11">
        <v>0</v>
      </c>
      <c r="AN427" s="11">
        <v>0</v>
      </c>
      <c r="AO427" s="11">
        <v>0</v>
      </c>
      <c r="AP427" s="11">
        <v>0</v>
      </c>
      <c r="AQ427" s="11">
        <v>0</v>
      </c>
      <c r="AR427" s="11">
        <v>0</v>
      </c>
      <c r="AS427" t="s">
        <v>651</v>
      </c>
      <c r="AT427" s="4" t="str">
        <f t="shared" ref="AT427:AT432" si="74">+H427</f>
        <v>Juegos Novedosos - Super Astro 68%</v>
      </c>
      <c r="AU427" s="7" t="str">
        <f t="shared" ref="AU427:AU432" si="75">+$D427&amp;$AT427&amp;Z427</f>
        <v>154Juegos Novedosos - Super Astro 68%152792860</v>
      </c>
      <c r="AV427" t="str">
        <f>+_xlfn.XLOOKUP(AU427,CRUCE!I:I,CRUCE!M:M)</f>
        <v>READY</v>
      </c>
      <c r="AW427" t="s">
        <v>1907</v>
      </c>
      <c r="AX427">
        <f>+SUMIFS(CRUCE!C:C,CRUCE!A:A,D427,CRUCE!B:B,'2021'!H427)</f>
        <v>152792860</v>
      </c>
    </row>
    <row r="428" spans="1:50" x14ac:dyDescent="0.3">
      <c r="A428">
        <v>2021</v>
      </c>
      <c r="B428">
        <v>318</v>
      </c>
      <c r="C428">
        <v>1102070010902</v>
      </c>
      <c r="D428" s="5">
        <v>154</v>
      </c>
      <c r="E428" s="8" t="s">
        <v>794</v>
      </c>
      <c r="F428">
        <v>1102070010902</v>
      </c>
      <c r="G428" t="s">
        <v>1908</v>
      </c>
      <c r="H428" s="8" t="s">
        <v>795</v>
      </c>
      <c r="I428" t="s">
        <v>643</v>
      </c>
      <c r="J428" s="11">
        <v>13056000</v>
      </c>
      <c r="K428" s="11">
        <v>13056000</v>
      </c>
      <c r="L428" s="11">
        <v>210301517</v>
      </c>
      <c r="M428" s="11">
        <v>0</v>
      </c>
      <c r="N428" s="11">
        <v>210301517</v>
      </c>
      <c r="O428" s="11">
        <v>210301517</v>
      </c>
      <c r="P428" s="11">
        <v>0</v>
      </c>
      <c r="Q428" s="11">
        <v>223357517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160602985</v>
      </c>
      <c r="Y428" s="11">
        <v>0</v>
      </c>
      <c r="Z428" s="17">
        <v>160602985</v>
      </c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11">
        <v>0</v>
      </c>
      <c r="AG428" s="11">
        <v>160602985</v>
      </c>
      <c r="AH428" s="11">
        <v>0</v>
      </c>
      <c r="AI428" s="12">
        <v>160602985</v>
      </c>
      <c r="AJ428" s="11">
        <v>160602985</v>
      </c>
      <c r="AK428" s="11">
        <v>160602985</v>
      </c>
      <c r="AL428" s="11">
        <v>160602985</v>
      </c>
      <c r="AM428" s="11">
        <v>0</v>
      </c>
      <c r="AN428" s="11">
        <v>0</v>
      </c>
      <c r="AO428" s="11">
        <v>0</v>
      </c>
      <c r="AP428" s="11">
        <v>0</v>
      </c>
      <c r="AQ428" s="11">
        <v>0</v>
      </c>
      <c r="AR428" s="11">
        <v>0</v>
      </c>
      <c r="AS428" t="s">
        <v>651</v>
      </c>
      <c r="AT428" s="4" t="str">
        <f t="shared" si="74"/>
        <v>Juegos Novedosos -otros- 68%</v>
      </c>
      <c r="AU428" s="7" t="str">
        <f t="shared" si="75"/>
        <v>154Juegos Novedosos -otros- 68%160602985</v>
      </c>
      <c r="AV428" t="str">
        <f>+_xlfn.XLOOKUP(AU428,CRUCE!I:I,CRUCE!M:M)</f>
        <v>READY</v>
      </c>
      <c r="AW428" t="s">
        <v>1907</v>
      </c>
      <c r="AX428">
        <f>+SUMIFS(CRUCE!C:C,CRUCE!A:A,D428,CRUCE!B:B,'2021'!H428)</f>
        <v>160602985</v>
      </c>
    </row>
    <row r="429" spans="1:50" x14ac:dyDescent="0.3">
      <c r="A429">
        <v>2021</v>
      </c>
      <c r="B429">
        <v>318</v>
      </c>
      <c r="C429">
        <v>1102070010903</v>
      </c>
      <c r="D429" s="5">
        <v>72</v>
      </c>
      <c r="E429" s="8" t="s">
        <v>796</v>
      </c>
      <c r="F429">
        <v>1102070010903</v>
      </c>
      <c r="G429" t="s">
        <v>1908</v>
      </c>
      <c r="H429" s="8" t="s">
        <v>797</v>
      </c>
      <c r="I429" t="s">
        <v>643</v>
      </c>
      <c r="J429" s="11">
        <v>22786968</v>
      </c>
      <c r="K429" s="11">
        <v>22786968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22786968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50930953</v>
      </c>
      <c r="Y429" s="11">
        <v>0</v>
      </c>
      <c r="Z429" s="17">
        <v>50930953</v>
      </c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0</v>
      </c>
      <c r="AG429" s="11">
        <v>50930953</v>
      </c>
      <c r="AH429" s="11">
        <v>0</v>
      </c>
      <c r="AI429" s="12">
        <v>50930953</v>
      </c>
      <c r="AJ429" s="11">
        <v>50930953</v>
      </c>
      <c r="AK429" s="11">
        <v>0</v>
      </c>
      <c r="AL429" s="11">
        <v>0</v>
      </c>
      <c r="AM429" s="11">
        <v>50930953</v>
      </c>
      <c r="AN429" s="11">
        <v>50930953</v>
      </c>
      <c r="AO429" s="11">
        <v>0</v>
      </c>
      <c r="AP429" s="11">
        <v>50930953</v>
      </c>
      <c r="AQ429" s="11">
        <v>0</v>
      </c>
      <c r="AR429" s="11">
        <v>0</v>
      </c>
      <c r="AS429" t="s">
        <v>656</v>
      </c>
      <c r="AT429" s="4" t="str">
        <f t="shared" si="74"/>
        <v>Juegos Novedosos - Super Astro 25%</v>
      </c>
      <c r="AU429" s="7" t="str">
        <f t="shared" si="75"/>
        <v>72Juegos Novedosos - Super Astro 25%50930953</v>
      </c>
      <c r="AV429" t="str">
        <f>+_xlfn.XLOOKUP(AU429,CRUCE!I:I,CRUCE!M:M)</f>
        <v>READY</v>
      </c>
      <c r="AW429" t="s">
        <v>1907</v>
      </c>
      <c r="AX429">
        <f>+SUMIFS(CRUCE!C:C,CRUCE!A:A,D429,CRUCE!B:B,'2021'!H429)</f>
        <v>50930953</v>
      </c>
    </row>
    <row r="430" spans="1:50" x14ac:dyDescent="0.3">
      <c r="A430">
        <v>2021</v>
      </c>
      <c r="B430">
        <v>318</v>
      </c>
      <c r="C430">
        <v>1102070010904</v>
      </c>
      <c r="D430" s="5">
        <v>72</v>
      </c>
      <c r="E430" s="8" t="s">
        <v>798</v>
      </c>
      <c r="F430">
        <v>1102070010904</v>
      </c>
      <c r="G430" t="s">
        <v>1908</v>
      </c>
      <c r="H430" s="8" t="s">
        <v>799</v>
      </c>
      <c r="I430" t="s">
        <v>643</v>
      </c>
      <c r="J430" s="11">
        <v>4800000</v>
      </c>
      <c r="K430" s="11">
        <v>4800000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4800000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53534328</v>
      </c>
      <c r="Y430" s="11">
        <v>0</v>
      </c>
      <c r="Z430" s="17">
        <v>53534328</v>
      </c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11">
        <v>0</v>
      </c>
      <c r="AG430" s="11">
        <v>53534328</v>
      </c>
      <c r="AH430" s="11">
        <v>0</v>
      </c>
      <c r="AI430" s="12">
        <v>53534328</v>
      </c>
      <c r="AJ430" s="11">
        <v>53534328</v>
      </c>
      <c r="AK430" s="11">
        <v>0</v>
      </c>
      <c r="AL430" s="11">
        <v>0</v>
      </c>
      <c r="AM430" s="11">
        <v>53534328</v>
      </c>
      <c r="AN430" s="11">
        <v>53534328</v>
      </c>
      <c r="AO430" s="11">
        <v>0</v>
      </c>
      <c r="AP430" s="11">
        <v>53534328</v>
      </c>
      <c r="AQ430" s="11">
        <v>0</v>
      </c>
      <c r="AR430" s="11">
        <v>0</v>
      </c>
      <c r="AS430" t="s">
        <v>656</v>
      </c>
      <c r="AT430" s="4" t="str">
        <f t="shared" si="74"/>
        <v>Juegos Novedosos 25% -otros-</v>
      </c>
      <c r="AU430" s="7" t="str">
        <f t="shared" si="75"/>
        <v>72Juegos Novedosos 25% -otros-53534328</v>
      </c>
      <c r="AV430" t="str">
        <f>+_xlfn.XLOOKUP(AU430,CRUCE!I:I,CRUCE!M:M)</f>
        <v>READY</v>
      </c>
      <c r="AW430" t="s">
        <v>1907</v>
      </c>
      <c r="AX430">
        <f>+SUMIFS(CRUCE!C:C,CRUCE!A:A,D430,CRUCE!B:B,'2021'!H430)</f>
        <v>53534328</v>
      </c>
    </row>
    <row r="431" spans="1:50" x14ac:dyDescent="0.3">
      <c r="A431">
        <v>2021</v>
      </c>
      <c r="B431">
        <v>318</v>
      </c>
      <c r="C431">
        <v>1102070010905</v>
      </c>
      <c r="D431" s="5">
        <v>181</v>
      </c>
      <c r="E431" s="8" t="s">
        <v>800</v>
      </c>
      <c r="F431">
        <v>1102070010905</v>
      </c>
      <c r="G431" t="s">
        <v>1908</v>
      </c>
      <c r="H431" s="8" t="s">
        <v>801</v>
      </c>
      <c r="I431" t="s">
        <v>643</v>
      </c>
      <c r="J431" s="11">
        <v>6380350</v>
      </c>
      <c r="K431" s="11">
        <v>6380350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6380350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7">
        <v>0</v>
      </c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2">
        <v>0</v>
      </c>
      <c r="AJ431" s="11">
        <v>0</v>
      </c>
      <c r="AK431" s="11">
        <v>0</v>
      </c>
      <c r="AL431" s="11">
        <v>0</v>
      </c>
      <c r="AM431" s="11">
        <v>0</v>
      </c>
      <c r="AN431" s="11">
        <v>0</v>
      </c>
      <c r="AO431" s="11">
        <v>0</v>
      </c>
      <c r="AP431" s="11">
        <v>0</v>
      </c>
      <c r="AQ431" s="11">
        <v>0</v>
      </c>
      <c r="AR431" s="11">
        <v>0</v>
      </c>
      <c r="AS431" t="s">
        <v>661</v>
      </c>
      <c r="AT431" s="4" t="str">
        <f t="shared" si="74"/>
        <v>Colciencias 7%  Juegos Novedosos Super Astro</v>
      </c>
      <c r="AU431" s="7" t="str">
        <f t="shared" si="75"/>
        <v>181Colciencias 7%  Juegos Novedosos Super Astro0</v>
      </c>
      <c r="AV431" t="str">
        <f>+_xlfn.XLOOKUP(AU431,CRUCE!I:I,CRUCE!M:M)</f>
        <v>READY</v>
      </c>
      <c r="AW431" t="s">
        <v>1907</v>
      </c>
      <c r="AX431">
        <f>+SUMIFS(CRUCE!C:C,CRUCE!A:A,D431,CRUCE!B:B,'2021'!H431)</f>
        <v>0</v>
      </c>
    </row>
    <row r="432" spans="1:50" x14ac:dyDescent="0.3">
      <c r="A432">
        <v>2021</v>
      </c>
      <c r="B432">
        <v>318</v>
      </c>
      <c r="C432">
        <v>1102070010906</v>
      </c>
      <c r="D432" s="5">
        <v>181</v>
      </c>
      <c r="E432" s="8" t="s">
        <v>802</v>
      </c>
      <c r="F432">
        <v>1102070010906</v>
      </c>
      <c r="G432" t="s">
        <v>1908</v>
      </c>
      <c r="H432" s="8" t="s">
        <v>803</v>
      </c>
      <c r="I432" t="s">
        <v>643</v>
      </c>
      <c r="J432" s="11">
        <v>1344000</v>
      </c>
      <c r="K432" s="11">
        <v>1344000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1344000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  <c r="Z432" s="17">
        <v>0</v>
      </c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11">
        <v>0</v>
      </c>
      <c r="AI432" s="12">
        <v>0</v>
      </c>
      <c r="AJ432" s="11">
        <v>0</v>
      </c>
      <c r="AK432" s="11">
        <v>0</v>
      </c>
      <c r="AL432" s="11">
        <v>0</v>
      </c>
      <c r="AM432" s="11">
        <v>0</v>
      </c>
      <c r="AN432" s="11">
        <v>0</v>
      </c>
      <c r="AO432" s="11">
        <v>0</v>
      </c>
      <c r="AP432" s="11">
        <v>0</v>
      </c>
      <c r="AQ432" s="11">
        <v>0</v>
      </c>
      <c r="AR432" s="11">
        <v>0</v>
      </c>
      <c r="AS432" t="s">
        <v>661</v>
      </c>
      <c r="AT432" s="4" t="str">
        <f t="shared" si="74"/>
        <v>Colciencias 7%  Juegos Novedosos -otros-</v>
      </c>
      <c r="AU432" s="7" t="str">
        <f t="shared" si="75"/>
        <v>181Colciencias 7%  Juegos Novedosos -otros-0</v>
      </c>
      <c r="AV432" t="str">
        <f>+_xlfn.XLOOKUP(AU432,CRUCE!I:I,CRUCE!M:M)</f>
        <v>READY</v>
      </c>
      <c r="AW432" t="s">
        <v>1907</v>
      </c>
      <c r="AX432">
        <f>+SUMIFS(CRUCE!C:C,CRUCE!A:A,D432,CRUCE!B:B,'2021'!H432)</f>
        <v>0</v>
      </c>
    </row>
    <row r="433" spans="1:50" hidden="1" x14ac:dyDescent="0.3">
      <c r="A433">
        <v>2021</v>
      </c>
      <c r="B433">
        <v>318</v>
      </c>
      <c r="C433">
        <v>110207002</v>
      </c>
      <c r="D433" s="5" t="s">
        <v>44</v>
      </c>
      <c r="E433" s="8" t="s">
        <v>804</v>
      </c>
      <c r="F433">
        <v>110207002</v>
      </c>
      <c r="H433" s="8" t="s">
        <v>349</v>
      </c>
      <c r="I433" t="s">
        <v>643</v>
      </c>
      <c r="J433" s="11">
        <v>8446865337</v>
      </c>
      <c r="K433" s="11">
        <v>8446865337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8446865337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10323295674.700001</v>
      </c>
      <c r="Y433" s="11">
        <v>290988313.80000001</v>
      </c>
      <c r="Z433" s="17">
        <v>10032307360.9</v>
      </c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11">
        <v>0</v>
      </c>
      <c r="AG433" s="11">
        <v>10323295674.700001</v>
      </c>
      <c r="AH433" s="11">
        <v>290988313.80000001</v>
      </c>
      <c r="AI433" s="12">
        <v>10032307360.9</v>
      </c>
      <c r="AJ433" s="11">
        <v>10032307360.9</v>
      </c>
      <c r="AK433" s="11">
        <v>2084263261</v>
      </c>
      <c r="AL433" s="11">
        <v>2084263261</v>
      </c>
      <c r="AM433" s="11">
        <v>7948044099.8999996</v>
      </c>
      <c r="AN433" s="11">
        <v>8239032413.6999998</v>
      </c>
      <c r="AO433" s="11">
        <v>290988313.80000001</v>
      </c>
      <c r="AP433" s="11">
        <v>8239032413.6999998</v>
      </c>
      <c r="AQ433" s="11">
        <v>0</v>
      </c>
      <c r="AR433" s="11">
        <v>290988313.80000001</v>
      </c>
      <c r="AS433" t="s">
        <v>48</v>
      </c>
      <c r="AT433"/>
    </row>
    <row r="434" spans="1:50" hidden="1" x14ac:dyDescent="0.3">
      <c r="A434">
        <v>2021</v>
      </c>
      <c r="B434">
        <v>318</v>
      </c>
      <c r="C434">
        <v>11020700201</v>
      </c>
      <c r="D434" s="5" t="s">
        <v>44</v>
      </c>
      <c r="E434" s="8" t="s">
        <v>805</v>
      </c>
      <c r="F434">
        <v>11020700201</v>
      </c>
      <c r="H434" s="8" t="s">
        <v>351</v>
      </c>
      <c r="I434" t="s">
        <v>643</v>
      </c>
      <c r="J434" s="11">
        <v>8446865337</v>
      </c>
      <c r="K434" s="11">
        <v>8446865337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8446865337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10323295674.700001</v>
      </c>
      <c r="Y434" s="11">
        <v>290988313.80000001</v>
      </c>
      <c r="Z434" s="17">
        <v>10032307360.9</v>
      </c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11">
        <v>0</v>
      </c>
      <c r="AG434" s="11">
        <v>10323295674.700001</v>
      </c>
      <c r="AH434" s="11">
        <v>290988313.80000001</v>
      </c>
      <c r="AI434" s="12">
        <v>10032307360.9</v>
      </c>
      <c r="AJ434" s="11">
        <v>10032307360.9</v>
      </c>
      <c r="AK434" s="11">
        <v>2084263261</v>
      </c>
      <c r="AL434" s="11">
        <v>2084263261</v>
      </c>
      <c r="AM434" s="11">
        <v>7948044099.8999996</v>
      </c>
      <c r="AN434" s="11">
        <v>8239032413.6999998</v>
      </c>
      <c r="AO434" s="11">
        <v>290988313.80000001</v>
      </c>
      <c r="AP434" s="11">
        <v>8239032413.6999998</v>
      </c>
      <c r="AQ434" s="11">
        <v>0</v>
      </c>
      <c r="AR434" s="11">
        <v>290988313.80000001</v>
      </c>
      <c r="AS434" t="s">
        <v>48</v>
      </c>
      <c r="AT434"/>
    </row>
    <row r="435" spans="1:50" hidden="1" x14ac:dyDescent="0.3">
      <c r="A435">
        <v>2021</v>
      </c>
      <c r="B435">
        <v>318</v>
      </c>
      <c r="C435">
        <v>1102070020102</v>
      </c>
      <c r="D435" s="5" t="s">
        <v>44</v>
      </c>
      <c r="E435" s="8" t="s">
        <v>806</v>
      </c>
      <c r="F435">
        <v>1102070020102</v>
      </c>
      <c r="H435" s="8" t="s">
        <v>353</v>
      </c>
      <c r="I435" t="s">
        <v>643</v>
      </c>
      <c r="J435" s="11">
        <v>8446865337</v>
      </c>
      <c r="K435" s="11">
        <v>8446865337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8446865337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10323295674.700001</v>
      </c>
      <c r="Y435" s="11">
        <v>290988313.80000001</v>
      </c>
      <c r="Z435" s="17">
        <v>10032307360.9</v>
      </c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11">
        <v>0</v>
      </c>
      <c r="AG435" s="11">
        <v>10323295674.700001</v>
      </c>
      <c r="AH435" s="11">
        <v>290988313.80000001</v>
      </c>
      <c r="AI435" s="12">
        <v>10032307360.9</v>
      </c>
      <c r="AJ435" s="11">
        <v>10032307360.9</v>
      </c>
      <c r="AK435" s="11">
        <v>2084263261</v>
      </c>
      <c r="AL435" s="11">
        <v>2084263261</v>
      </c>
      <c r="AM435" s="11">
        <v>7948044099.8999996</v>
      </c>
      <c r="AN435" s="11">
        <v>8239032413.6999998</v>
      </c>
      <c r="AO435" s="11">
        <v>290988313.80000001</v>
      </c>
      <c r="AP435" s="11">
        <v>8239032413.6999998</v>
      </c>
      <c r="AQ435" s="11">
        <v>0</v>
      </c>
      <c r="AR435" s="11">
        <v>290988313.80000001</v>
      </c>
      <c r="AS435" t="s">
        <v>48</v>
      </c>
      <c r="AT435"/>
    </row>
    <row r="436" spans="1:50" hidden="1" x14ac:dyDescent="0.3">
      <c r="A436">
        <v>2021</v>
      </c>
      <c r="B436">
        <v>318</v>
      </c>
      <c r="C436">
        <v>110207002010201</v>
      </c>
      <c r="D436" s="5" t="s">
        <v>44</v>
      </c>
      <c r="E436" s="8" t="s">
        <v>807</v>
      </c>
      <c r="F436">
        <v>110207002010201</v>
      </c>
      <c r="H436" s="8" t="s">
        <v>355</v>
      </c>
      <c r="I436" t="s">
        <v>643</v>
      </c>
      <c r="J436" s="11">
        <v>8446865337</v>
      </c>
      <c r="K436" s="11">
        <v>8446865337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8446865337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10323295674.700001</v>
      </c>
      <c r="Y436" s="11">
        <v>290988313.80000001</v>
      </c>
      <c r="Z436" s="17">
        <v>10032307360.9</v>
      </c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11">
        <v>0</v>
      </c>
      <c r="AG436" s="11">
        <v>10323295674.700001</v>
      </c>
      <c r="AH436" s="11">
        <v>290988313.80000001</v>
      </c>
      <c r="AI436" s="12">
        <v>10032307360.9</v>
      </c>
      <c r="AJ436" s="11">
        <v>10032307360.9</v>
      </c>
      <c r="AK436" s="11">
        <v>2084263261</v>
      </c>
      <c r="AL436" s="11">
        <v>2084263261</v>
      </c>
      <c r="AM436" s="11">
        <v>7948044099.8999996</v>
      </c>
      <c r="AN436" s="11">
        <v>8239032413.6999998</v>
      </c>
      <c r="AO436" s="11">
        <v>290988313.80000001</v>
      </c>
      <c r="AP436" s="11">
        <v>8239032413.6999998</v>
      </c>
      <c r="AQ436" s="11">
        <v>0</v>
      </c>
      <c r="AR436" s="11">
        <v>290988313.80000001</v>
      </c>
      <c r="AS436" t="s">
        <v>48</v>
      </c>
      <c r="AT436"/>
    </row>
    <row r="437" spans="1:50" x14ac:dyDescent="0.3">
      <c r="A437">
        <v>2021</v>
      </c>
      <c r="B437">
        <v>318</v>
      </c>
      <c r="C437">
        <v>1.1020700201020099E+17</v>
      </c>
      <c r="D437" s="5">
        <v>58</v>
      </c>
      <c r="E437" s="8" t="s">
        <v>808</v>
      </c>
      <c r="F437">
        <v>1.1020700201020099E+17</v>
      </c>
      <c r="G437" t="s">
        <v>1908</v>
      </c>
      <c r="H437" s="8" t="s">
        <v>809</v>
      </c>
      <c r="I437" t="s">
        <v>643</v>
      </c>
      <c r="J437" s="11">
        <v>2111716334</v>
      </c>
      <c r="K437" s="11">
        <v>2111716334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2111716334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2059758103.4300001</v>
      </c>
      <c r="Y437" s="11">
        <v>72747078.450000003</v>
      </c>
      <c r="Z437" s="17">
        <v>1987011024.98</v>
      </c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11">
        <v>0</v>
      </c>
      <c r="AG437" s="11">
        <v>2059758103.4300001</v>
      </c>
      <c r="AH437" s="11">
        <v>72747078.450000003</v>
      </c>
      <c r="AI437" s="12">
        <v>1987011024.98</v>
      </c>
      <c r="AJ437" s="11">
        <v>1987011024.98</v>
      </c>
      <c r="AK437" s="11">
        <v>0</v>
      </c>
      <c r="AL437" s="11">
        <v>0</v>
      </c>
      <c r="AM437" s="11">
        <v>1987011024.98</v>
      </c>
      <c r="AN437" s="11">
        <v>2059758103.4300001</v>
      </c>
      <c r="AO437" s="11">
        <v>72747078.450000003</v>
      </c>
      <c r="AP437" s="11">
        <v>2059758103.4300001</v>
      </c>
      <c r="AQ437" s="11">
        <v>0</v>
      </c>
      <c r="AR437" s="11">
        <v>72747078.450000003</v>
      </c>
      <c r="AS437" t="s">
        <v>684</v>
      </c>
      <c r="AT437" s="4" t="str">
        <f t="shared" ref="AT437:AT439" si="76">+H437</f>
        <v>Monopolio Licores Producción Nacional 25%</v>
      </c>
      <c r="AU437" s="7" t="str">
        <f t="shared" ref="AU437:AU439" si="77">+$D437&amp;$AT437&amp;Z437</f>
        <v>58Monopolio Licores Producción Nacional 25%1987011024,98</v>
      </c>
      <c r="AV437" t="str">
        <f>+_xlfn.XLOOKUP(AU437,CRUCE!I:I,CRUCE!M:M)</f>
        <v>READY</v>
      </c>
      <c r="AW437" t="s">
        <v>1907</v>
      </c>
      <c r="AX437">
        <f>+SUMIFS(CRUCE!C:C,CRUCE!A:A,D437,CRUCE!B:B,'2021'!H437)</f>
        <v>1987011024.98</v>
      </c>
    </row>
    <row r="438" spans="1:50" x14ac:dyDescent="0.3">
      <c r="A438">
        <v>2021</v>
      </c>
      <c r="B438">
        <v>318</v>
      </c>
      <c r="C438">
        <v>1.1020700201020099E+17</v>
      </c>
      <c r="D438" s="5">
        <v>72</v>
      </c>
      <c r="E438" s="8" t="s">
        <v>810</v>
      </c>
      <c r="F438">
        <v>1.1020700201020099E+17</v>
      </c>
      <c r="G438" t="s">
        <v>1908</v>
      </c>
      <c r="H438" s="8" t="s">
        <v>104</v>
      </c>
      <c r="I438" t="s">
        <v>643</v>
      </c>
      <c r="J438" s="11">
        <v>2111716334</v>
      </c>
      <c r="K438" s="11">
        <v>2111716334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2111716334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2059883718.4200001</v>
      </c>
      <c r="Y438" s="11">
        <v>72872693.450000003</v>
      </c>
      <c r="Z438" s="17">
        <v>1987011024.97</v>
      </c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2059883718.4200001</v>
      </c>
      <c r="AH438" s="11">
        <v>72872693.450000003</v>
      </c>
      <c r="AI438" s="12">
        <v>1987011024.97</v>
      </c>
      <c r="AJ438" s="11">
        <v>1987011024.97</v>
      </c>
      <c r="AK438" s="11">
        <v>0</v>
      </c>
      <c r="AL438" s="11">
        <v>0</v>
      </c>
      <c r="AM438" s="11">
        <v>1987011024.97</v>
      </c>
      <c r="AN438" s="11">
        <v>2059883718.4200001</v>
      </c>
      <c r="AO438" s="11">
        <v>72872693.450000003</v>
      </c>
      <c r="AP438" s="11">
        <v>2059883718.4200001</v>
      </c>
      <c r="AQ438" s="11">
        <v>0</v>
      </c>
      <c r="AR438" s="11">
        <v>72872693.450000003</v>
      </c>
      <c r="AS438" t="s">
        <v>656</v>
      </c>
      <c r="AT438" s="4" t="str">
        <f t="shared" si="76"/>
        <v>Impuesto al consumo de cervezas, sifones, refajos y mezclas - Extranjeras</v>
      </c>
      <c r="AU438" s="7" t="str">
        <f t="shared" si="77"/>
        <v>72Impuesto al consumo de cervezas, sifones, refajos y mezclas - Extranjeras1987011024,97</v>
      </c>
      <c r="AV438" t="str">
        <f>+_xlfn.XLOOKUP(AU438,CRUCE!I:I,CRUCE!M:M)</f>
        <v>READY</v>
      </c>
      <c r="AW438" t="s">
        <v>1907</v>
      </c>
      <c r="AX438">
        <f>+SUMIFS(CRUCE!C:C,CRUCE!A:A,D438,CRUCE!B:B,'2021'!H438)</f>
        <v>1987011024.97</v>
      </c>
    </row>
    <row r="439" spans="1:50" x14ac:dyDescent="0.3">
      <c r="A439">
        <v>2021</v>
      </c>
      <c r="B439">
        <v>318</v>
      </c>
      <c r="C439">
        <v>1.1020700201020099E+17</v>
      </c>
      <c r="D439" s="5">
        <v>154</v>
      </c>
      <c r="E439" s="8" t="s">
        <v>811</v>
      </c>
      <c r="F439">
        <v>1.1020700201020099E+17</v>
      </c>
      <c r="G439" t="s">
        <v>1908</v>
      </c>
      <c r="H439" s="8" t="s">
        <v>812</v>
      </c>
      <c r="I439" t="s">
        <v>643</v>
      </c>
      <c r="J439" s="11">
        <v>4223432669</v>
      </c>
      <c r="K439" s="11">
        <v>4223432669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4223432669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6203653852.8500004</v>
      </c>
      <c r="Y439" s="11">
        <v>145368541.90000001</v>
      </c>
      <c r="Z439" s="17">
        <v>6058285310.9499998</v>
      </c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11">
        <v>0</v>
      </c>
      <c r="AG439" s="11">
        <v>6203653852.8500004</v>
      </c>
      <c r="AH439" s="11">
        <v>145368541.90000001</v>
      </c>
      <c r="AI439" s="12">
        <v>6058285310.9499998</v>
      </c>
      <c r="AJ439" s="11">
        <v>6058285310.9499998</v>
      </c>
      <c r="AK439" s="11">
        <v>2084263261</v>
      </c>
      <c r="AL439" s="11">
        <v>2084263261</v>
      </c>
      <c r="AM439" s="11">
        <v>3974022049.9499998</v>
      </c>
      <c r="AN439" s="11">
        <v>4119390591.8499999</v>
      </c>
      <c r="AO439" s="11">
        <v>145368541.90000001</v>
      </c>
      <c r="AP439" s="11">
        <v>4119390591.8499999</v>
      </c>
      <c r="AQ439" s="11">
        <v>0</v>
      </c>
      <c r="AR439" s="11">
        <v>145368541.90000001</v>
      </c>
      <c r="AS439" t="s">
        <v>651</v>
      </c>
      <c r="AT439" s="4" t="str">
        <f t="shared" si="76"/>
        <v>Monopolio de Licores Produccion Nacional Regimen Subsidiado 50%</v>
      </c>
      <c r="AU439" s="7" t="str">
        <f t="shared" si="77"/>
        <v>154Monopolio de Licores Produccion Nacional Regimen Subsidiado 50%6058285310,95</v>
      </c>
      <c r="AV439" t="str">
        <f>+_xlfn.XLOOKUP(AU439,CRUCE!I:I,CRUCE!M:M)</f>
        <v>READY</v>
      </c>
      <c r="AW439" t="s">
        <v>1907</v>
      </c>
      <c r="AX439">
        <f>+SUMIFS(CRUCE!C:C,CRUCE!A:A,D439,CRUCE!B:B,'2021'!H439)</f>
        <v>6058285310.9499998</v>
      </c>
    </row>
    <row r="440" spans="1:50" hidden="1" x14ac:dyDescent="0.3">
      <c r="A440">
        <v>2021</v>
      </c>
      <c r="B440">
        <v>318</v>
      </c>
      <c r="C440">
        <v>12</v>
      </c>
      <c r="D440" s="5" t="s">
        <v>44</v>
      </c>
      <c r="E440" s="8" t="s">
        <v>813</v>
      </c>
      <c r="F440">
        <v>12</v>
      </c>
      <c r="H440" s="8" t="s">
        <v>367</v>
      </c>
      <c r="I440" t="s">
        <v>643</v>
      </c>
      <c r="J440" s="11">
        <v>621146797</v>
      </c>
      <c r="K440" s="11">
        <v>621146797</v>
      </c>
      <c r="L440" s="11">
        <v>15376352838.73</v>
      </c>
      <c r="M440" s="11">
        <v>8702487605</v>
      </c>
      <c r="N440" s="11">
        <v>6673865233.7299995</v>
      </c>
      <c r="O440" s="11">
        <v>15376352838.73</v>
      </c>
      <c r="P440" s="11">
        <v>8702487605</v>
      </c>
      <c r="Q440" s="11">
        <v>7295012030.7299995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17423804338.959999</v>
      </c>
      <c r="Y440" s="11">
        <v>8941613311</v>
      </c>
      <c r="Z440" s="17">
        <v>8482191027.96</v>
      </c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11">
        <v>0</v>
      </c>
      <c r="AG440" s="11">
        <v>17423804338.959999</v>
      </c>
      <c r="AH440" s="11">
        <v>8941613311</v>
      </c>
      <c r="AI440" s="12">
        <v>8482191027.96</v>
      </c>
      <c r="AJ440" s="11">
        <v>8482191027.96</v>
      </c>
      <c r="AK440" s="11">
        <v>6412608872.2600002</v>
      </c>
      <c r="AL440" s="11">
        <v>6412608872.2600002</v>
      </c>
      <c r="AM440" s="11">
        <v>10772098320.700001</v>
      </c>
      <c r="AN440" s="11">
        <v>10772098320.700001</v>
      </c>
      <c r="AO440" s="11">
        <v>0</v>
      </c>
      <c r="AP440" s="11">
        <v>10772098320.700001</v>
      </c>
      <c r="AQ440" s="11">
        <v>0</v>
      </c>
      <c r="AR440" s="11">
        <v>0</v>
      </c>
      <c r="AS440" t="s">
        <v>48</v>
      </c>
      <c r="AT440"/>
    </row>
    <row r="441" spans="1:50" hidden="1" x14ac:dyDescent="0.3">
      <c r="A441">
        <v>2021</v>
      </c>
      <c r="B441">
        <v>318</v>
      </c>
      <c r="C441">
        <v>1205</v>
      </c>
      <c r="D441" s="5" t="s">
        <v>44</v>
      </c>
      <c r="E441" s="8" t="s">
        <v>814</v>
      </c>
      <c r="F441">
        <v>1205</v>
      </c>
      <c r="H441" s="8" t="s">
        <v>379</v>
      </c>
      <c r="I441" t="s">
        <v>643</v>
      </c>
      <c r="J441" s="11">
        <v>200000000</v>
      </c>
      <c r="K441" s="11">
        <v>200000000</v>
      </c>
      <c r="L441" s="11">
        <v>8702487605</v>
      </c>
      <c r="M441" s="11">
        <v>8702487605</v>
      </c>
      <c r="N441" s="11">
        <v>0</v>
      </c>
      <c r="O441" s="11">
        <v>8702487605</v>
      </c>
      <c r="P441" s="11">
        <v>8702487605</v>
      </c>
      <c r="Q441" s="11">
        <v>200000000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8776156175.2299995</v>
      </c>
      <c r="Y441" s="11">
        <v>8702487605</v>
      </c>
      <c r="Z441" s="17">
        <v>73668570.230000004</v>
      </c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11">
        <v>0</v>
      </c>
      <c r="AG441" s="11">
        <v>8776156175.2299995</v>
      </c>
      <c r="AH441" s="11">
        <v>8702487605</v>
      </c>
      <c r="AI441" s="12">
        <v>73668570.230000004</v>
      </c>
      <c r="AJ441" s="11">
        <v>73668570.230000004</v>
      </c>
      <c r="AK441" s="11">
        <v>32121910.530000001</v>
      </c>
      <c r="AL441" s="11">
        <v>32121910.530000001</v>
      </c>
      <c r="AM441" s="11">
        <v>8744034264.7000008</v>
      </c>
      <c r="AN441" s="11">
        <v>8744034264.7000008</v>
      </c>
      <c r="AO441" s="11">
        <v>0</v>
      </c>
      <c r="AP441" s="11">
        <v>8744034264.7000008</v>
      </c>
      <c r="AQ441" s="11">
        <v>0</v>
      </c>
      <c r="AR441" s="11">
        <v>0</v>
      </c>
      <c r="AS441" t="s">
        <v>48</v>
      </c>
      <c r="AT441"/>
    </row>
    <row r="442" spans="1:50" hidden="1" x14ac:dyDescent="0.3">
      <c r="A442">
        <v>2021</v>
      </c>
      <c r="B442">
        <v>318</v>
      </c>
      <c r="C442">
        <v>120502</v>
      </c>
      <c r="D442" s="5" t="s">
        <v>44</v>
      </c>
      <c r="E442" s="8" t="s">
        <v>815</v>
      </c>
      <c r="F442">
        <v>120502</v>
      </c>
      <c r="H442" s="8" t="s">
        <v>381</v>
      </c>
      <c r="I442" t="s">
        <v>643</v>
      </c>
      <c r="J442" s="11">
        <v>200000000</v>
      </c>
      <c r="K442" s="11">
        <v>200000000</v>
      </c>
      <c r="L442" s="11">
        <v>8702487605</v>
      </c>
      <c r="M442" s="11">
        <v>8702487605</v>
      </c>
      <c r="N442" s="11">
        <v>0</v>
      </c>
      <c r="O442" s="11">
        <v>8702487605</v>
      </c>
      <c r="P442" s="11">
        <v>8702487605</v>
      </c>
      <c r="Q442" s="11">
        <v>200000000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8776156175.2299995</v>
      </c>
      <c r="Y442" s="11">
        <v>8702487605</v>
      </c>
      <c r="Z442" s="17">
        <v>73668570.230000004</v>
      </c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11">
        <v>0</v>
      </c>
      <c r="AG442" s="11">
        <v>8776156175.2299995</v>
      </c>
      <c r="AH442" s="11">
        <v>8702487605</v>
      </c>
      <c r="AI442" s="12">
        <v>73668570.230000004</v>
      </c>
      <c r="AJ442" s="11">
        <v>73668570.230000004</v>
      </c>
      <c r="AK442" s="11">
        <v>32121910.530000001</v>
      </c>
      <c r="AL442" s="11">
        <v>32121910.530000001</v>
      </c>
      <c r="AM442" s="11">
        <v>8744034264.7000008</v>
      </c>
      <c r="AN442" s="11">
        <v>8744034264.7000008</v>
      </c>
      <c r="AO442" s="11">
        <v>0</v>
      </c>
      <c r="AP442" s="11">
        <v>8744034264.7000008</v>
      </c>
      <c r="AQ442" s="11">
        <v>0</v>
      </c>
      <c r="AR442" s="11">
        <v>0</v>
      </c>
      <c r="AS442" t="s">
        <v>48</v>
      </c>
      <c r="AT442"/>
    </row>
    <row r="443" spans="1:50" hidden="1" x14ac:dyDescent="0.3">
      <c r="A443">
        <v>2021</v>
      </c>
      <c r="B443">
        <v>318</v>
      </c>
      <c r="C443">
        <v>120502001</v>
      </c>
      <c r="D443" s="5" t="s">
        <v>44</v>
      </c>
      <c r="E443" s="8" t="s">
        <v>816</v>
      </c>
      <c r="F443">
        <v>120502001</v>
      </c>
      <c r="H443" s="8" t="s">
        <v>46</v>
      </c>
      <c r="I443" t="s">
        <v>643</v>
      </c>
      <c r="J443" s="11">
        <v>200000000</v>
      </c>
      <c r="K443" s="11">
        <v>200000000</v>
      </c>
      <c r="L443" s="11">
        <v>8702487605</v>
      </c>
      <c r="M443" s="11">
        <v>8702487605</v>
      </c>
      <c r="N443" s="11">
        <v>0</v>
      </c>
      <c r="O443" s="11">
        <v>8702487605</v>
      </c>
      <c r="P443" s="11">
        <v>8702487605</v>
      </c>
      <c r="Q443" s="11">
        <v>200000000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8776156175.2299995</v>
      </c>
      <c r="Y443" s="11">
        <v>8702487605</v>
      </c>
      <c r="Z443" s="17">
        <v>73668570.230000004</v>
      </c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11">
        <v>0</v>
      </c>
      <c r="AG443" s="11">
        <v>8776156175.2299995</v>
      </c>
      <c r="AH443" s="11">
        <v>8702487605</v>
      </c>
      <c r="AI443" s="12">
        <v>73668570.230000004</v>
      </c>
      <c r="AJ443" s="11">
        <v>73668570.230000004</v>
      </c>
      <c r="AK443" s="11">
        <v>32121910.530000001</v>
      </c>
      <c r="AL443" s="11">
        <v>32121910.530000001</v>
      </c>
      <c r="AM443" s="11">
        <v>8744034264.7000008</v>
      </c>
      <c r="AN443" s="11">
        <v>8744034264.7000008</v>
      </c>
      <c r="AO443" s="11">
        <v>0</v>
      </c>
      <c r="AP443" s="11">
        <v>8744034264.7000008</v>
      </c>
      <c r="AQ443" s="11">
        <v>0</v>
      </c>
      <c r="AR443" s="11">
        <v>0</v>
      </c>
      <c r="AS443" t="s">
        <v>48</v>
      </c>
      <c r="AT443"/>
    </row>
    <row r="444" spans="1:50" hidden="1" x14ac:dyDescent="0.3">
      <c r="A444">
        <v>2021</v>
      </c>
      <c r="B444">
        <v>318</v>
      </c>
      <c r="C444">
        <v>12050200101</v>
      </c>
      <c r="D444" s="5" t="s">
        <v>44</v>
      </c>
      <c r="E444" s="8" t="s">
        <v>817</v>
      </c>
      <c r="F444">
        <v>12050200101</v>
      </c>
      <c r="H444" s="8" t="s">
        <v>50</v>
      </c>
      <c r="I444" t="s">
        <v>643</v>
      </c>
      <c r="J444" s="11">
        <v>200000000</v>
      </c>
      <c r="K444" s="11">
        <v>200000000</v>
      </c>
      <c r="L444" s="11">
        <v>8702487605</v>
      </c>
      <c r="M444" s="11">
        <v>8702487605</v>
      </c>
      <c r="N444" s="11">
        <v>0</v>
      </c>
      <c r="O444" s="11">
        <v>8702487605</v>
      </c>
      <c r="P444" s="11">
        <v>8702487605</v>
      </c>
      <c r="Q444" s="11">
        <v>200000000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8776156175.2299995</v>
      </c>
      <c r="Y444" s="11">
        <v>8702487605</v>
      </c>
      <c r="Z444" s="17">
        <v>73668570.230000004</v>
      </c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11">
        <v>0</v>
      </c>
      <c r="AG444" s="11">
        <v>8776156175.2299995</v>
      </c>
      <c r="AH444" s="11">
        <v>8702487605</v>
      </c>
      <c r="AI444" s="12">
        <v>73668570.230000004</v>
      </c>
      <c r="AJ444" s="11">
        <v>73668570.230000004</v>
      </c>
      <c r="AK444" s="11">
        <v>32121910.530000001</v>
      </c>
      <c r="AL444" s="11">
        <v>32121910.530000001</v>
      </c>
      <c r="AM444" s="11">
        <v>8744034264.7000008</v>
      </c>
      <c r="AN444" s="11">
        <v>8744034264.7000008</v>
      </c>
      <c r="AO444" s="11">
        <v>0</v>
      </c>
      <c r="AP444" s="11">
        <v>8744034264.7000008</v>
      </c>
      <c r="AQ444" s="11">
        <v>0</v>
      </c>
      <c r="AR444" s="11">
        <v>0</v>
      </c>
      <c r="AS444" t="s">
        <v>48</v>
      </c>
      <c r="AT444"/>
    </row>
    <row r="445" spans="1:50" hidden="1" x14ac:dyDescent="0.3">
      <c r="A445">
        <v>2021</v>
      </c>
      <c r="B445">
        <v>318</v>
      </c>
      <c r="C445">
        <v>1205020010102</v>
      </c>
      <c r="D445" s="5" t="s">
        <v>44</v>
      </c>
      <c r="E445" s="8" t="s">
        <v>818</v>
      </c>
      <c r="F445">
        <v>1205020010102</v>
      </c>
      <c r="H445" s="8" t="s">
        <v>145</v>
      </c>
      <c r="I445" t="s">
        <v>643</v>
      </c>
      <c r="J445" s="11">
        <v>200000000</v>
      </c>
      <c r="K445" s="11">
        <v>200000000</v>
      </c>
      <c r="L445" s="11">
        <v>8702487605</v>
      </c>
      <c r="M445" s="11">
        <v>8702487605</v>
      </c>
      <c r="N445" s="11">
        <v>0</v>
      </c>
      <c r="O445" s="11">
        <v>8702487605</v>
      </c>
      <c r="P445" s="11">
        <v>8702487605</v>
      </c>
      <c r="Q445" s="11">
        <v>200000000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8776156175.2299995</v>
      </c>
      <c r="Y445" s="11">
        <v>8702487605</v>
      </c>
      <c r="Z445" s="17">
        <v>73668570.230000004</v>
      </c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11">
        <v>0</v>
      </c>
      <c r="AG445" s="11">
        <v>8776156175.2299995</v>
      </c>
      <c r="AH445" s="11">
        <v>8702487605</v>
      </c>
      <c r="AI445" s="12">
        <v>73668570.230000004</v>
      </c>
      <c r="AJ445" s="11">
        <v>73668570.230000004</v>
      </c>
      <c r="AK445" s="11">
        <v>32121910.530000001</v>
      </c>
      <c r="AL445" s="11">
        <v>32121910.530000001</v>
      </c>
      <c r="AM445" s="11">
        <v>8744034264.7000008</v>
      </c>
      <c r="AN445" s="11">
        <v>8744034264.7000008</v>
      </c>
      <c r="AO445" s="11">
        <v>0</v>
      </c>
      <c r="AP445" s="11">
        <v>8744034264.7000008</v>
      </c>
      <c r="AQ445" s="11">
        <v>0</v>
      </c>
      <c r="AR445" s="11">
        <v>0</v>
      </c>
      <c r="AS445" t="s">
        <v>48</v>
      </c>
      <c r="AT445"/>
    </row>
    <row r="446" spans="1:50" hidden="1" x14ac:dyDescent="0.3">
      <c r="A446">
        <v>2021</v>
      </c>
      <c r="B446">
        <v>318</v>
      </c>
      <c r="C446">
        <v>120502001010202</v>
      </c>
      <c r="D446" s="5" t="s">
        <v>44</v>
      </c>
      <c r="E446" s="8" t="s">
        <v>819</v>
      </c>
      <c r="F446">
        <v>120502001010202</v>
      </c>
      <c r="H446" s="8" t="s">
        <v>176</v>
      </c>
      <c r="I446" t="s">
        <v>643</v>
      </c>
      <c r="J446" s="11">
        <v>2000000</v>
      </c>
      <c r="K446" s="11">
        <v>2000000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2000000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942927.96</v>
      </c>
      <c r="Y446" s="11">
        <v>0</v>
      </c>
      <c r="Z446" s="17">
        <v>942927.96</v>
      </c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11">
        <v>0</v>
      </c>
      <c r="AG446" s="11">
        <v>942927.96</v>
      </c>
      <c r="AH446" s="11">
        <v>0</v>
      </c>
      <c r="AI446" s="12">
        <v>942927.96</v>
      </c>
      <c r="AJ446" s="11">
        <v>942927.96</v>
      </c>
      <c r="AK446" s="11">
        <v>0</v>
      </c>
      <c r="AL446" s="11">
        <v>0</v>
      </c>
      <c r="AM446" s="11">
        <v>942927.96</v>
      </c>
      <c r="AN446" s="11">
        <v>942927.96</v>
      </c>
      <c r="AO446" s="11">
        <v>0</v>
      </c>
      <c r="AP446" s="11">
        <v>942927.96</v>
      </c>
      <c r="AQ446" s="11">
        <v>0</v>
      </c>
      <c r="AR446" s="11">
        <v>0</v>
      </c>
      <c r="AS446" t="s">
        <v>48</v>
      </c>
      <c r="AT446"/>
    </row>
    <row r="447" spans="1:50" hidden="1" x14ac:dyDescent="0.3">
      <c r="A447">
        <v>2021</v>
      </c>
      <c r="B447">
        <v>318</v>
      </c>
      <c r="C447">
        <v>1.20502001010202E+17</v>
      </c>
      <c r="D447" s="5" t="s">
        <v>44</v>
      </c>
      <c r="E447" s="8" t="s">
        <v>820</v>
      </c>
      <c r="F447">
        <v>1.20502001010202E+17</v>
      </c>
      <c r="H447" s="8" t="s">
        <v>178</v>
      </c>
      <c r="I447" t="s">
        <v>643</v>
      </c>
      <c r="J447" s="11">
        <v>2000000</v>
      </c>
      <c r="K447" s="11">
        <v>2000000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2000000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942927.96</v>
      </c>
      <c r="Y447" s="11">
        <v>0</v>
      </c>
      <c r="Z447" s="17">
        <v>942927.96</v>
      </c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11">
        <v>0</v>
      </c>
      <c r="AG447" s="11">
        <v>942927.96</v>
      </c>
      <c r="AH447" s="11">
        <v>0</v>
      </c>
      <c r="AI447" s="12">
        <v>942927.96</v>
      </c>
      <c r="AJ447" s="11">
        <v>942927.96</v>
      </c>
      <c r="AK447" s="11">
        <v>0</v>
      </c>
      <c r="AL447" s="11">
        <v>0</v>
      </c>
      <c r="AM447" s="11">
        <v>942927.96</v>
      </c>
      <c r="AN447" s="11">
        <v>942927.96</v>
      </c>
      <c r="AO447" s="11">
        <v>0</v>
      </c>
      <c r="AP447" s="11">
        <v>942927.96</v>
      </c>
      <c r="AQ447" s="11">
        <v>0</v>
      </c>
      <c r="AR447" s="11">
        <v>0</v>
      </c>
      <c r="AS447" t="s">
        <v>48</v>
      </c>
      <c r="AT447"/>
    </row>
    <row r="448" spans="1:50" x14ac:dyDescent="0.3">
      <c r="A448">
        <v>2021</v>
      </c>
      <c r="B448">
        <v>318</v>
      </c>
      <c r="C448">
        <v>1.20502001010202E+20</v>
      </c>
      <c r="D448" s="5">
        <v>63</v>
      </c>
      <c r="E448" s="8" t="s">
        <v>821</v>
      </c>
      <c r="F448">
        <v>1.20502001010202E+20</v>
      </c>
      <c r="G448" t="s">
        <v>1909</v>
      </c>
      <c r="H448" s="8" t="s">
        <v>822</v>
      </c>
      <c r="I448" t="s">
        <v>643</v>
      </c>
      <c r="J448" s="11">
        <v>2000000</v>
      </c>
      <c r="K448" s="11">
        <v>2000000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2000000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942927.96</v>
      </c>
      <c r="Y448" s="11">
        <v>0</v>
      </c>
      <c r="Z448" s="17">
        <v>942927.96</v>
      </c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11">
        <v>0</v>
      </c>
      <c r="AG448" s="11">
        <v>942927.96</v>
      </c>
      <c r="AH448" s="11">
        <v>0</v>
      </c>
      <c r="AI448" s="12">
        <v>942927.96</v>
      </c>
      <c r="AJ448" s="11">
        <v>942927.96</v>
      </c>
      <c r="AK448" s="11">
        <v>0</v>
      </c>
      <c r="AL448" s="11">
        <v>0</v>
      </c>
      <c r="AM448" s="11">
        <v>942927.96</v>
      </c>
      <c r="AN448" s="11">
        <v>942927.96</v>
      </c>
      <c r="AO448" s="11">
        <v>0</v>
      </c>
      <c r="AP448" s="11">
        <v>942927.96</v>
      </c>
      <c r="AQ448" s="11">
        <v>0</v>
      </c>
      <c r="AR448" s="11">
        <v>0</v>
      </c>
      <c r="AS448" t="s">
        <v>716</v>
      </c>
      <c r="AT448" s="4" t="s">
        <v>1280</v>
      </c>
      <c r="AU448" s="7" t="str">
        <f>+$D448&amp;$AT448&amp;Z448</f>
        <v>63Depósitos Fondo de Estupefacientes942927,96</v>
      </c>
      <c r="AV448" t="str">
        <f>+_xlfn.XLOOKUP(AU448,CRUCE!I:I,CRUCE!M:M)</f>
        <v>READY</v>
      </c>
      <c r="AW448" t="s">
        <v>1907</v>
      </c>
      <c r="AX448">
        <f>+SUMIFS(CRUCE!C:C,CRUCE!A:A,D448,CRUCE!B:B,'2021'!H448)</f>
        <v>0</v>
      </c>
    </row>
    <row r="449" spans="1:50" hidden="1" x14ac:dyDescent="0.3">
      <c r="A449">
        <v>2021</v>
      </c>
      <c r="B449">
        <v>318</v>
      </c>
      <c r="C449">
        <v>120502001010206</v>
      </c>
      <c r="D449" s="5" t="s">
        <v>44</v>
      </c>
      <c r="E449" s="8" t="s">
        <v>823</v>
      </c>
      <c r="F449">
        <v>120502001010206</v>
      </c>
      <c r="H449" s="8" t="s">
        <v>242</v>
      </c>
      <c r="I449" t="s">
        <v>643</v>
      </c>
      <c r="J449" s="11">
        <v>198000000</v>
      </c>
      <c r="K449" s="11">
        <v>198000000</v>
      </c>
      <c r="L449" s="11">
        <v>8702487605</v>
      </c>
      <c r="M449" s="11">
        <v>8702487605</v>
      </c>
      <c r="N449" s="11">
        <v>0</v>
      </c>
      <c r="O449" s="11">
        <v>8702487605</v>
      </c>
      <c r="P449" s="11">
        <v>8702487605</v>
      </c>
      <c r="Q449" s="11">
        <v>198000000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8775213247.2700005</v>
      </c>
      <c r="Y449" s="11">
        <v>8702487605</v>
      </c>
      <c r="Z449" s="17">
        <v>72725642.269999996</v>
      </c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11">
        <v>0</v>
      </c>
      <c r="AG449" s="11">
        <v>8775213247.2700005</v>
      </c>
      <c r="AH449" s="11">
        <v>8702487605</v>
      </c>
      <c r="AI449" s="12">
        <v>72725642.269999996</v>
      </c>
      <c r="AJ449" s="11">
        <v>72725642.269999996</v>
      </c>
      <c r="AK449" s="11">
        <v>32121910.530000001</v>
      </c>
      <c r="AL449" s="11">
        <v>32121910.530000001</v>
      </c>
      <c r="AM449" s="11">
        <v>8743091336.7399998</v>
      </c>
      <c r="AN449" s="11">
        <v>8743091336.7399998</v>
      </c>
      <c r="AO449" s="11">
        <v>0</v>
      </c>
      <c r="AP449" s="11">
        <v>8743091336.7399998</v>
      </c>
      <c r="AQ449" s="11">
        <v>0</v>
      </c>
      <c r="AR449" s="11">
        <v>0</v>
      </c>
      <c r="AS449" t="s">
        <v>48</v>
      </c>
      <c r="AT449"/>
    </row>
    <row r="450" spans="1:50" hidden="1" x14ac:dyDescent="0.3">
      <c r="A450">
        <v>2021</v>
      </c>
      <c r="B450">
        <v>318</v>
      </c>
      <c r="C450">
        <v>1.20502001010206E+17</v>
      </c>
      <c r="D450" s="5" t="s">
        <v>44</v>
      </c>
      <c r="E450" s="8" t="s">
        <v>824</v>
      </c>
      <c r="F450">
        <v>1.20502001010206E+17</v>
      </c>
      <c r="H450" s="8" t="s">
        <v>244</v>
      </c>
      <c r="I450" t="s">
        <v>643</v>
      </c>
      <c r="J450" s="11">
        <v>66700549</v>
      </c>
      <c r="K450" s="11">
        <v>66700549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66700549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5310338.6900000004</v>
      </c>
      <c r="Y450" s="11">
        <v>0</v>
      </c>
      <c r="Z450" s="17">
        <v>5310338.6900000004</v>
      </c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11">
        <v>0</v>
      </c>
      <c r="AG450" s="11">
        <v>5310338.6900000004</v>
      </c>
      <c r="AH450" s="11">
        <v>0</v>
      </c>
      <c r="AI450" s="12">
        <v>5310338.6900000004</v>
      </c>
      <c r="AJ450" s="11">
        <v>5310338.6900000004</v>
      </c>
      <c r="AK450" s="11">
        <v>0</v>
      </c>
      <c r="AL450" s="11">
        <v>0</v>
      </c>
      <c r="AM450" s="11">
        <v>5310338.6900000004</v>
      </c>
      <c r="AN450" s="11">
        <v>5310338.6900000004</v>
      </c>
      <c r="AO450" s="11">
        <v>0</v>
      </c>
      <c r="AP450" s="11">
        <v>5310338.6900000004</v>
      </c>
      <c r="AQ450" s="11">
        <v>0</v>
      </c>
      <c r="AR450" s="11">
        <v>0</v>
      </c>
      <c r="AS450" t="s">
        <v>48</v>
      </c>
      <c r="AT450"/>
    </row>
    <row r="451" spans="1:50" x14ac:dyDescent="0.3">
      <c r="A451">
        <v>2021</v>
      </c>
      <c r="B451">
        <v>318</v>
      </c>
      <c r="C451">
        <v>1.20502001010206E+20</v>
      </c>
      <c r="D451" s="5">
        <v>58</v>
      </c>
      <c r="E451" s="8" t="s">
        <v>825</v>
      </c>
      <c r="F451">
        <v>1.20502001010206E+20</v>
      </c>
      <c r="G451" t="s">
        <v>1909</v>
      </c>
      <c r="H451" s="8" t="s">
        <v>826</v>
      </c>
      <c r="I451" t="s">
        <v>643</v>
      </c>
      <c r="J451" s="11">
        <v>66700549</v>
      </c>
      <c r="K451" s="11">
        <v>66700549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66700549</v>
      </c>
      <c r="R451" s="11">
        <v>0</v>
      </c>
      <c r="S451" s="11">
        <v>0</v>
      </c>
      <c r="T451" s="11">
        <v>0</v>
      </c>
      <c r="U451" s="11">
        <v>0</v>
      </c>
      <c r="V451" s="11">
        <v>0</v>
      </c>
      <c r="W451" s="11">
        <v>0</v>
      </c>
      <c r="X451" s="11">
        <v>5308449.12</v>
      </c>
      <c r="Y451" s="11">
        <v>0</v>
      </c>
      <c r="Z451" s="17">
        <v>5308449.12</v>
      </c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11">
        <v>0</v>
      </c>
      <c r="AG451" s="11">
        <v>5308449.12</v>
      </c>
      <c r="AH451" s="11">
        <v>0</v>
      </c>
      <c r="AI451" s="12">
        <v>5308449.12</v>
      </c>
      <c r="AJ451" s="11">
        <v>5308449.12</v>
      </c>
      <c r="AK451" s="11">
        <v>0</v>
      </c>
      <c r="AL451" s="11">
        <v>0</v>
      </c>
      <c r="AM451" s="11">
        <v>5308449.12</v>
      </c>
      <c r="AN451" s="11">
        <v>5308449.12</v>
      </c>
      <c r="AO451" s="11">
        <v>0</v>
      </c>
      <c r="AP451" s="11">
        <v>5308449.12</v>
      </c>
      <c r="AQ451" s="11">
        <v>0</v>
      </c>
      <c r="AR451" s="11">
        <v>0</v>
      </c>
      <c r="AS451" t="s">
        <v>684</v>
      </c>
      <c r="AT451" s="4" t="s">
        <v>1282</v>
      </c>
      <c r="AU451" s="7" t="str">
        <f t="shared" ref="AU451:AU456" si="78">+$D451&amp;$AT451&amp;Z451</f>
        <v>58Depósitos Rentas Cedidas5308449,12</v>
      </c>
      <c r="AV451" t="str">
        <f>+_xlfn.XLOOKUP(AU451,CRUCE!I:I,CRUCE!M:M)</f>
        <v>READY</v>
      </c>
      <c r="AW451" t="s">
        <v>1907</v>
      </c>
      <c r="AX451">
        <f>+SUMIFS(CRUCE!C:C,CRUCE!A:A,D451,CRUCE!B:B,'2021'!H451)</f>
        <v>0</v>
      </c>
    </row>
    <row r="452" spans="1:50" x14ac:dyDescent="0.3">
      <c r="A452">
        <v>2021</v>
      </c>
      <c r="B452">
        <v>318</v>
      </c>
      <c r="C452">
        <v>1.20502001010206E+20</v>
      </c>
      <c r="D452" s="5">
        <v>59</v>
      </c>
      <c r="E452" s="8" t="s">
        <v>827</v>
      </c>
      <c r="F452">
        <v>1.20502001010206E+20</v>
      </c>
      <c r="G452" t="s">
        <v>1909</v>
      </c>
      <c r="H452" s="8" t="s">
        <v>826</v>
      </c>
      <c r="I452" t="s">
        <v>643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1889.57</v>
      </c>
      <c r="Y452" s="11">
        <v>0</v>
      </c>
      <c r="Z452" s="17">
        <v>1889.57</v>
      </c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11">
        <v>0</v>
      </c>
      <c r="AG452" s="11">
        <v>1889.57</v>
      </c>
      <c r="AH452" s="11">
        <v>0</v>
      </c>
      <c r="AI452" s="12">
        <v>1889.57</v>
      </c>
      <c r="AJ452" s="11">
        <v>1889.57</v>
      </c>
      <c r="AK452" s="11">
        <v>0</v>
      </c>
      <c r="AL452" s="11">
        <v>0</v>
      </c>
      <c r="AM452" s="11">
        <v>1889.57</v>
      </c>
      <c r="AN452" s="11">
        <v>1889.57</v>
      </c>
      <c r="AO452" s="11">
        <v>0</v>
      </c>
      <c r="AP452" s="11">
        <v>1889.57</v>
      </c>
      <c r="AQ452" s="11">
        <v>0</v>
      </c>
      <c r="AR452" s="11">
        <v>0</v>
      </c>
      <c r="AS452" t="s">
        <v>828</v>
      </c>
      <c r="AT452" s="4" t="s">
        <v>1282</v>
      </c>
      <c r="AU452" s="7" t="str">
        <f t="shared" si="78"/>
        <v>59Depósitos Rentas Cedidas1889,57</v>
      </c>
      <c r="AV452" t="str">
        <f>+_xlfn.XLOOKUP(AU452,CRUCE!I:I,CRUCE!M:M)</f>
        <v>READY</v>
      </c>
      <c r="AW452" t="s">
        <v>1907</v>
      </c>
      <c r="AX452">
        <f>+SUMIFS(CRUCE!C:C,CRUCE!A:A,D452,CRUCE!B:B,'2021'!H452)</f>
        <v>0</v>
      </c>
    </row>
    <row r="453" spans="1:50" x14ac:dyDescent="0.3">
      <c r="A453">
        <v>2021</v>
      </c>
      <c r="B453">
        <v>318</v>
      </c>
      <c r="C453">
        <v>1.20502001010206E+17</v>
      </c>
      <c r="D453" s="5">
        <v>61</v>
      </c>
      <c r="E453" s="8" t="s">
        <v>829</v>
      </c>
      <c r="F453">
        <v>1.20502001010206E+17</v>
      </c>
      <c r="G453" t="s">
        <v>1909</v>
      </c>
      <c r="H453" s="8" t="s">
        <v>726</v>
      </c>
      <c r="I453" t="s">
        <v>643</v>
      </c>
      <c r="J453" s="11">
        <v>25000000</v>
      </c>
      <c r="K453" s="11">
        <v>25000000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25000000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2917812.94</v>
      </c>
      <c r="Y453" s="11">
        <v>0</v>
      </c>
      <c r="Z453" s="17">
        <v>2917812.94</v>
      </c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11">
        <v>0</v>
      </c>
      <c r="AG453" s="11">
        <v>2917812.94</v>
      </c>
      <c r="AH453" s="11">
        <v>0</v>
      </c>
      <c r="AI453" s="12">
        <v>2917812.94</v>
      </c>
      <c r="AJ453" s="11">
        <v>2917812.94</v>
      </c>
      <c r="AK453" s="11">
        <v>0</v>
      </c>
      <c r="AL453" s="11">
        <v>0</v>
      </c>
      <c r="AM453" s="11">
        <v>2917812.94</v>
      </c>
      <c r="AN453" s="11">
        <v>2917812.94</v>
      </c>
      <c r="AO453" s="11">
        <v>0</v>
      </c>
      <c r="AP453" s="11">
        <v>2917812.94</v>
      </c>
      <c r="AQ453" s="11">
        <v>0</v>
      </c>
      <c r="AR453" s="11">
        <v>0</v>
      </c>
      <c r="AS453" t="s">
        <v>727</v>
      </c>
      <c r="AT453" s="4" t="str">
        <f t="shared" ref="AT453:AT455" si="79">+H453</f>
        <v>Salud pública</v>
      </c>
      <c r="AU453" s="7" t="str">
        <f t="shared" si="78"/>
        <v>61Salud pública2917812,94</v>
      </c>
      <c r="AV453" t="e">
        <f>+_xlfn.XLOOKUP(AU453,CRUCE!I:I,CRUCE!M:M)</f>
        <v>#N/A</v>
      </c>
      <c r="AW453" t="s">
        <v>1907</v>
      </c>
      <c r="AX453">
        <f>+SUMIFS(CRUCE!C:C,CRUCE!A:A,D453,CRUCE!B:B,'2021'!H453)</f>
        <v>4277765409.9400001</v>
      </c>
    </row>
    <row r="454" spans="1:50" x14ac:dyDescent="0.3">
      <c r="A454">
        <v>2021</v>
      </c>
      <c r="B454">
        <v>318</v>
      </c>
      <c r="C454">
        <v>1.20502001010206E+17</v>
      </c>
      <c r="D454" s="5">
        <v>154</v>
      </c>
      <c r="E454" s="8" t="s">
        <v>830</v>
      </c>
      <c r="F454">
        <v>1.20502001010206E+17</v>
      </c>
      <c r="G454" t="s">
        <v>1909</v>
      </c>
      <c r="H454" s="8" t="s">
        <v>831</v>
      </c>
      <c r="I454" t="s">
        <v>643</v>
      </c>
      <c r="J454" s="11">
        <v>65904384</v>
      </c>
      <c r="K454" s="11">
        <v>65904384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65904384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59173265.93</v>
      </c>
      <c r="Y454" s="11">
        <v>0</v>
      </c>
      <c r="Z454" s="17">
        <v>59173265.93</v>
      </c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11">
        <v>0</v>
      </c>
      <c r="AG454" s="11">
        <v>59173265.93</v>
      </c>
      <c r="AH454" s="11">
        <v>0</v>
      </c>
      <c r="AI454" s="12">
        <v>59173265.93</v>
      </c>
      <c r="AJ454" s="11">
        <v>59173265.93</v>
      </c>
      <c r="AK454" s="11">
        <v>32121910.530000001</v>
      </c>
      <c r="AL454" s="11">
        <v>32121910.530000001</v>
      </c>
      <c r="AM454" s="11">
        <v>27051355.399999999</v>
      </c>
      <c r="AN454" s="11">
        <v>27051355.399999999</v>
      </c>
      <c r="AO454" s="11">
        <v>0</v>
      </c>
      <c r="AP454" s="11">
        <v>27051355.399999999</v>
      </c>
      <c r="AQ454" s="11">
        <v>0</v>
      </c>
      <c r="AR454" s="11">
        <v>0</v>
      </c>
      <c r="AS454" t="s">
        <v>651</v>
      </c>
      <c r="AT454" s="4" t="s">
        <v>1295</v>
      </c>
      <c r="AU454" s="7" t="str">
        <f t="shared" si="78"/>
        <v>154Depósitos Recursos ADRES59173265,93</v>
      </c>
      <c r="AV454" t="str">
        <f>+_xlfn.XLOOKUP(AU454,CRUCE!I:I,CRUCE!M:M)</f>
        <v>READY</v>
      </c>
      <c r="AW454" t="s">
        <v>1907</v>
      </c>
      <c r="AX454">
        <f>+SUMIFS(CRUCE!C:C,CRUCE!A:A,D454,CRUCE!B:B,'2021'!H454)</f>
        <v>0</v>
      </c>
    </row>
    <row r="455" spans="1:50" x14ac:dyDescent="0.3">
      <c r="A455">
        <v>2021</v>
      </c>
      <c r="B455">
        <v>318</v>
      </c>
      <c r="C455">
        <v>1.20502001010206E+17</v>
      </c>
      <c r="D455" s="5">
        <v>171</v>
      </c>
      <c r="E455" s="8" t="s">
        <v>832</v>
      </c>
      <c r="F455">
        <v>1.20502001010206E+17</v>
      </c>
      <c r="G455" t="s">
        <v>1909</v>
      </c>
      <c r="H455" s="8" t="s">
        <v>729</v>
      </c>
      <c r="I455" t="s">
        <v>643</v>
      </c>
      <c r="J455" s="11">
        <v>10000000</v>
      </c>
      <c r="K455" s="11">
        <v>10000000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10000000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684710.06</v>
      </c>
      <c r="Y455" s="11">
        <v>0</v>
      </c>
      <c r="Z455" s="17">
        <v>684710.06</v>
      </c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11">
        <v>0</v>
      </c>
      <c r="AG455" s="11">
        <v>684710.06</v>
      </c>
      <c r="AH455" s="11">
        <v>0</v>
      </c>
      <c r="AI455" s="12">
        <v>684710.06</v>
      </c>
      <c r="AJ455" s="11">
        <v>684710.06</v>
      </c>
      <c r="AK455" s="11">
        <v>0</v>
      </c>
      <c r="AL455" s="11">
        <v>0</v>
      </c>
      <c r="AM455" s="11">
        <v>684710.06</v>
      </c>
      <c r="AN455" s="11">
        <v>684710.06</v>
      </c>
      <c r="AO455" s="11">
        <v>0</v>
      </c>
      <c r="AP455" s="11">
        <v>684710.06</v>
      </c>
      <c r="AQ455" s="11">
        <v>0</v>
      </c>
      <c r="AR455" s="11">
        <v>0</v>
      </c>
      <c r="AS455" t="s">
        <v>730</v>
      </c>
      <c r="AT455" s="4" t="str">
        <f t="shared" si="79"/>
        <v>Subsidio a la oferta</v>
      </c>
      <c r="AU455" s="7" t="str">
        <f t="shared" si="78"/>
        <v>171Subsidio a la oferta684710,06</v>
      </c>
      <c r="AV455" t="e">
        <f>+_xlfn.XLOOKUP(AU455,CRUCE!I:I,CRUCE!M:M)</f>
        <v>#N/A</v>
      </c>
      <c r="AW455" t="s">
        <v>1907</v>
      </c>
      <c r="AX455">
        <f>+SUMIFS(CRUCE!C:C,CRUCE!A:A,D455,CRUCE!B:B,'2021'!H455)</f>
        <v>1725078004.0599999</v>
      </c>
    </row>
    <row r="456" spans="1:50" x14ac:dyDescent="0.3">
      <c r="A456">
        <v>2021</v>
      </c>
      <c r="B456">
        <v>318</v>
      </c>
      <c r="C456">
        <v>1.20502001010206E+17</v>
      </c>
      <c r="D456" s="5">
        <v>72</v>
      </c>
      <c r="E456" s="8" t="s">
        <v>833</v>
      </c>
      <c r="F456">
        <v>1.20502001010206E+17</v>
      </c>
      <c r="G456" t="s">
        <v>1909</v>
      </c>
      <c r="H456" s="8" t="s">
        <v>834</v>
      </c>
      <c r="I456" t="s">
        <v>643</v>
      </c>
      <c r="J456" s="11">
        <v>30395067</v>
      </c>
      <c r="K456" s="11">
        <v>30395067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30395067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4140916.49</v>
      </c>
      <c r="Y456" s="11">
        <v>0</v>
      </c>
      <c r="Z456" s="17">
        <v>4140916.49</v>
      </c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11">
        <v>0</v>
      </c>
      <c r="AG456" s="11">
        <v>4140916.49</v>
      </c>
      <c r="AH456" s="11">
        <v>0</v>
      </c>
      <c r="AI456" s="12">
        <v>4140916.49</v>
      </c>
      <c r="AJ456" s="11">
        <v>4140916.49</v>
      </c>
      <c r="AK456" s="11">
        <v>0</v>
      </c>
      <c r="AL456" s="11">
        <v>0</v>
      </c>
      <c r="AM456" s="11">
        <v>4140916.49</v>
      </c>
      <c r="AN456" s="11">
        <v>4140916.49</v>
      </c>
      <c r="AO456" s="11">
        <v>0</v>
      </c>
      <c r="AP456" s="11">
        <v>4140916.49</v>
      </c>
      <c r="AQ456" s="11">
        <v>0</v>
      </c>
      <c r="AR456" s="11">
        <v>0</v>
      </c>
      <c r="AS456" t="s">
        <v>656</v>
      </c>
      <c r="AT456" s="4" t="s">
        <v>1282</v>
      </c>
      <c r="AU456" s="7" t="str">
        <f t="shared" si="78"/>
        <v>72Depósitos Rentas Cedidas4140916,49</v>
      </c>
      <c r="AV456" t="str">
        <f>+_xlfn.XLOOKUP(AU456,CRUCE!I:I,CRUCE!M:M)</f>
        <v>READY</v>
      </c>
      <c r="AW456" t="s">
        <v>1907</v>
      </c>
      <c r="AX456">
        <f>+SUMIFS(CRUCE!C:C,CRUCE!A:A,D456,CRUCE!B:B,'2021'!H456)</f>
        <v>0</v>
      </c>
    </row>
    <row r="457" spans="1:50" hidden="1" x14ac:dyDescent="0.3">
      <c r="A457">
        <v>2021</v>
      </c>
      <c r="B457">
        <v>318</v>
      </c>
      <c r="C457">
        <v>1.20502001010206E+17</v>
      </c>
      <c r="D457" s="5" t="s">
        <v>44</v>
      </c>
      <c r="E457" s="8" t="s">
        <v>835</v>
      </c>
      <c r="F457">
        <v>1.20502001010206E+17</v>
      </c>
      <c r="H457" s="8" t="s">
        <v>267</v>
      </c>
      <c r="I457" t="s">
        <v>643</v>
      </c>
      <c r="J457" s="11">
        <v>0</v>
      </c>
      <c r="K457" s="11">
        <v>0</v>
      </c>
      <c r="L457" s="11">
        <v>8702487605</v>
      </c>
      <c r="M457" s="11">
        <v>8702487605</v>
      </c>
      <c r="N457" s="11">
        <v>0</v>
      </c>
      <c r="O457" s="11">
        <v>8702487605</v>
      </c>
      <c r="P457" s="11">
        <v>8702487605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8702610289.8899994</v>
      </c>
      <c r="Y457" s="11">
        <v>8702487605</v>
      </c>
      <c r="Z457" s="17">
        <v>122684.89</v>
      </c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11">
        <v>0</v>
      </c>
      <c r="AG457" s="11">
        <v>8702610289.8899994</v>
      </c>
      <c r="AH457" s="11">
        <v>8702487605</v>
      </c>
      <c r="AI457" s="12">
        <v>122684.89</v>
      </c>
      <c r="AJ457" s="11">
        <v>122684.89</v>
      </c>
      <c r="AK457" s="11">
        <v>0</v>
      </c>
      <c r="AL457" s="11">
        <v>0</v>
      </c>
      <c r="AM457" s="11">
        <v>8702610289.8899994</v>
      </c>
      <c r="AN457" s="11">
        <v>8702610289.8899994</v>
      </c>
      <c r="AO457" s="11">
        <v>0</v>
      </c>
      <c r="AP457" s="11">
        <v>8702610289.8899994</v>
      </c>
      <c r="AQ457" s="11">
        <v>0</v>
      </c>
      <c r="AR457" s="11">
        <v>0</v>
      </c>
      <c r="AS457" t="s">
        <v>48</v>
      </c>
      <c r="AT457"/>
    </row>
    <row r="458" spans="1:50" hidden="1" x14ac:dyDescent="0.3">
      <c r="A458">
        <v>2021</v>
      </c>
      <c r="B458">
        <v>318</v>
      </c>
      <c r="C458">
        <v>1.20502001010206E+20</v>
      </c>
      <c r="D458" s="5" t="s">
        <v>44</v>
      </c>
      <c r="E458" s="8" t="s">
        <v>836</v>
      </c>
      <c r="F458">
        <v>1.20502001010206E+20</v>
      </c>
      <c r="H458" s="8" t="s">
        <v>614</v>
      </c>
      <c r="I458" t="s">
        <v>643</v>
      </c>
      <c r="J458" s="11">
        <v>0</v>
      </c>
      <c r="K458" s="11">
        <v>0</v>
      </c>
      <c r="L458" s="11">
        <v>8702487605</v>
      </c>
      <c r="M458" s="11">
        <v>8702487605</v>
      </c>
      <c r="N458" s="11">
        <v>0</v>
      </c>
      <c r="O458" s="11">
        <v>8702487605</v>
      </c>
      <c r="P458" s="11">
        <v>8702487605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8702591991.3899994</v>
      </c>
      <c r="Y458" s="11">
        <v>8702487605</v>
      </c>
      <c r="Z458" s="17">
        <v>104386.39</v>
      </c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8702591991.3899994</v>
      </c>
      <c r="AH458" s="11">
        <v>8702487605</v>
      </c>
      <c r="AI458" s="12">
        <v>104386.39</v>
      </c>
      <c r="AJ458" s="11">
        <v>104386.39</v>
      </c>
      <c r="AK458" s="11">
        <v>0</v>
      </c>
      <c r="AL458" s="11">
        <v>0</v>
      </c>
      <c r="AM458" s="11">
        <v>8702591991.3899994</v>
      </c>
      <c r="AN458" s="11">
        <v>8702591991.3899994</v>
      </c>
      <c r="AO458" s="11">
        <v>0</v>
      </c>
      <c r="AP458" s="11">
        <v>8702591991.3899994</v>
      </c>
      <c r="AQ458" s="11">
        <v>0</v>
      </c>
      <c r="AR458" s="11">
        <v>0</v>
      </c>
      <c r="AS458" t="s">
        <v>48</v>
      </c>
      <c r="AT458"/>
    </row>
    <row r="459" spans="1:50" x14ac:dyDescent="0.3">
      <c r="A459">
        <v>2021</v>
      </c>
      <c r="B459">
        <v>318</v>
      </c>
      <c r="C459">
        <v>1.20502001010206E+35</v>
      </c>
      <c r="D459" s="5">
        <v>174</v>
      </c>
      <c r="E459" s="8" t="s">
        <v>837</v>
      </c>
      <c r="F459">
        <v>1.20502001010206E+35</v>
      </c>
      <c r="G459" t="s">
        <v>1909</v>
      </c>
      <c r="H459" s="8" t="s">
        <v>838</v>
      </c>
      <c r="I459" t="s">
        <v>643</v>
      </c>
      <c r="J459" s="11">
        <v>0</v>
      </c>
      <c r="K459" s="11">
        <v>0</v>
      </c>
      <c r="L459" s="11">
        <v>8702487605</v>
      </c>
      <c r="M459" s="11">
        <v>8702487605</v>
      </c>
      <c r="N459" s="11">
        <v>0</v>
      </c>
      <c r="O459" s="11">
        <v>8702487605</v>
      </c>
      <c r="P459" s="11">
        <v>8702487605</v>
      </c>
      <c r="Q459" s="11">
        <v>0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8702487605</v>
      </c>
      <c r="Y459" s="11">
        <v>8702487605</v>
      </c>
      <c r="Z459" s="17">
        <v>0</v>
      </c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8702487605</v>
      </c>
      <c r="AH459" s="11">
        <v>8702487605</v>
      </c>
      <c r="AI459" s="12">
        <v>0</v>
      </c>
      <c r="AJ459" s="11">
        <v>0</v>
      </c>
      <c r="AK459" s="11">
        <v>0</v>
      </c>
      <c r="AL459" s="11">
        <v>0</v>
      </c>
      <c r="AM459" s="11">
        <v>8702487605</v>
      </c>
      <c r="AN459" s="11">
        <v>8702487605</v>
      </c>
      <c r="AO459" s="11">
        <v>0</v>
      </c>
      <c r="AP459" s="11">
        <v>8702487605</v>
      </c>
      <c r="AQ459" s="11">
        <v>0</v>
      </c>
      <c r="AR459" s="11">
        <v>0</v>
      </c>
      <c r="AS459" t="s">
        <v>756</v>
      </c>
      <c r="AT459" s="4" t="str">
        <f t="shared" ref="AT459" si="80">+H459</f>
        <v>Cofinanciación Nacional</v>
      </c>
      <c r="AU459" s="7" t="str">
        <f t="shared" ref="AU459:AU460" si="81">+$D459&amp;$AT459&amp;Z459</f>
        <v>174Cofinanciación Nacional0</v>
      </c>
      <c r="AV459" t="str">
        <f>+_xlfn.XLOOKUP(AU459,CRUCE!I:I,CRUCE!M:M)</f>
        <v>READY</v>
      </c>
      <c r="AW459" t="s">
        <v>1907</v>
      </c>
      <c r="AX459">
        <f>+SUMIFS(CRUCE!C:C,CRUCE!A:A,D459,CRUCE!B:B,'2021'!H459)</f>
        <v>0</v>
      </c>
    </row>
    <row r="460" spans="1:50" x14ac:dyDescent="0.3">
      <c r="A460">
        <v>2021</v>
      </c>
      <c r="B460">
        <v>318</v>
      </c>
      <c r="C460">
        <v>1.20502001010206E+35</v>
      </c>
      <c r="D460" s="5">
        <v>65</v>
      </c>
      <c r="E460" s="8" t="s">
        <v>839</v>
      </c>
      <c r="F460">
        <v>1.20502001010206E+35</v>
      </c>
      <c r="G460" t="s">
        <v>1909</v>
      </c>
      <c r="H460" s="8" t="s">
        <v>838</v>
      </c>
      <c r="I460" t="s">
        <v>643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104386.39</v>
      </c>
      <c r="Y460" s="11">
        <v>0</v>
      </c>
      <c r="Z460" s="17">
        <v>104386.39</v>
      </c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104386.39</v>
      </c>
      <c r="AH460" s="11">
        <v>0</v>
      </c>
      <c r="AI460" s="12">
        <v>104386.39</v>
      </c>
      <c r="AJ460" s="11">
        <v>104386.39</v>
      </c>
      <c r="AK460" s="11">
        <v>0</v>
      </c>
      <c r="AL460" s="11">
        <v>0</v>
      </c>
      <c r="AM460" s="11">
        <v>104386.39</v>
      </c>
      <c r="AN460" s="11">
        <v>104386.39</v>
      </c>
      <c r="AO460" s="11">
        <v>0</v>
      </c>
      <c r="AP460" s="11">
        <v>104386.39</v>
      </c>
      <c r="AQ460" s="11">
        <v>0</v>
      </c>
      <c r="AR460" s="11">
        <v>0</v>
      </c>
      <c r="AS460" t="s">
        <v>840</v>
      </c>
      <c r="AT460" s="4" t="s">
        <v>1298</v>
      </c>
      <c r="AU460" s="7" t="str">
        <f t="shared" si="81"/>
        <v>65Depositos Aportes de la Nacion104386,39</v>
      </c>
      <c r="AV460" t="str">
        <f>+_xlfn.XLOOKUP(AU460,CRUCE!I:I,CRUCE!M:M)</f>
        <v>READY</v>
      </c>
      <c r="AW460" t="s">
        <v>1907</v>
      </c>
      <c r="AX460">
        <f>+SUMIFS(CRUCE!C:C,CRUCE!A:A,D460,CRUCE!B:B,'2021'!H460)</f>
        <v>0</v>
      </c>
    </row>
    <row r="461" spans="1:50" hidden="1" x14ac:dyDescent="0.3">
      <c r="A461">
        <v>2021</v>
      </c>
      <c r="B461">
        <v>318</v>
      </c>
      <c r="C461">
        <v>1.20502001010206E+20</v>
      </c>
      <c r="D461" s="5" t="s">
        <v>44</v>
      </c>
      <c r="E461" s="8" t="s">
        <v>841</v>
      </c>
      <c r="F461">
        <v>1.20502001010206E+20</v>
      </c>
      <c r="H461" s="8" t="s">
        <v>269</v>
      </c>
      <c r="I461" t="s">
        <v>643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18298.5</v>
      </c>
      <c r="Y461" s="11">
        <v>0</v>
      </c>
      <c r="Z461" s="17">
        <v>18298.5</v>
      </c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18298.5</v>
      </c>
      <c r="AH461" s="11">
        <v>0</v>
      </c>
      <c r="AI461" s="12">
        <v>18298.5</v>
      </c>
      <c r="AJ461" s="11">
        <v>18298.5</v>
      </c>
      <c r="AK461" s="11">
        <v>0</v>
      </c>
      <c r="AL461" s="11">
        <v>0</v>
      </c>
      <c r="AM461" s="11">
        <v>18298.5</v>
      </c>
      <c r="AN461" s="11">
        <v>18298.5</v>
      </c>
      <c r="AO461" s="11">
        <v>0</v>
      </c>
      <c r="AP461" s="11">
        <v>18298.5</v>
      </c>
      <c r="AQ461" s="11">
        <v>0</v>
      </c>
      <c r="AR461" s="11">
        <v>0</v>
      </c>
      <c r="AS461" t="s">
        <v>48</v>
      </c>
      <c r="AT461"/>
    </row>
    <row r="462" spans="1:50" x14ac:dyDescent="0.3">
      <c r="A462">
        <v>2021</v>
      </c>
      <c r="B462">
        <v>318</v>
      </c>
      <c r="C462">
        <v>1.20502001010206E+35</v>
      </c>
      <c r="D462" s="5">
        <v>152</v>
      </c>
      <c r="E462" s="8" t="s">
        <v>842</v>
      </c>
      <c r="F462">
        <v>1.20502001010206E+35</v>
      </c>
      <c r="G462" t="s">
        <v>1909</v>
      </c>
      <c r="H462" s="8" t="s">
        <v>843</v>
      </c>
      <c r="I462" t="s">
        <v>643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12226.6</v>
      </c>
      <c r="Y462" s="11">
        <v>0</v>
      </c>
      <c r="Z462" s="17">
        <v>12226.6</v>
      </c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12226.6</v>
      </c>
      <c r="AH462" s="11">
        <v>0</v>
      </c>
      <c r="AI462" s="12">
        <v>12226.6</v>
      </c>
      <c r="AJ462" s="11">
        <v>12226.6</v>
      </c>
      <c r="AK462" s="11">
        <v>0</v>
      </c>
      <c r="AL462" s="11">
        <v>0</v>
      </c>
      <c r="AM462" s="11">
        <v>12226.6</v>
      </c>
      <c r="AN462" s="11">
        <v>12226.6</v>
      </c>
      <c r="AO462" s="11">
        <v>0</v>
      </c>
      <c r="AP462" s="11">
        <v>12226.6</v>
      </c>
      <c r="AQ462" s="11">
        <v>0</v>
      </c>
      <c r="AR462" s="11">
        <v>0</v>
      </c>
      <c r="AS462" t="s">
        <v>844</v>
      </c>
      <c r="AT462" s="4" t="s">
        <v>905</v>
      </c>
      <c r="AU462" s="7" t="str">
        <f t="shared" ref="AU462:AU466" si="82">+$D462&amp;$AT462&amp;Z462</f>
        <v>152Superávit Excedentes Aportes Patronales ESE del Departamento12226,6</v>
      </c>
      <c r="AV462" t="str">
        <f>+_xlfn.XLOOKUP(AU462,CRUCE!I:I,CRUCE!M:M)</f>
        <v>READY</v>
      </c>
      <c r="AW462" t="s">
        <v>1907</v>
      </c>
      <c r="AX462">
        <f>+SUMIFS(CRUCE!C:C,CRUCE!A:A,D462,CRUCE!B:B,'2021'!H462)</f>
        <v>0</v>
      </c>
    </row>
    <row r="463" spans="1:50" x14ac:dyDescent="0.3">
      <c r="A463">
        <v>2021</v>
      </c>
      <c r="B463">
        <v>318</v>
      </c>
      <c r="C463">
        <v>1.20502001010206E+35</v>
      </c>
      <c r="D463" s="5">
        <v>167</v>
      </c>
      <c r="E463" s="8" t="s">
        <v>845</v>
      </c>
      <c r="F463">
        <v>1.20502001010206E+35</v>
      </c>
      <c r="G463" t="s">
        <v>1909</v>
      </c>
      <c r="H463" s="8" t="s">
        <v>846</v>
      </c>
      <c r="I463" t="s">
        <v>643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6071.9</v>
      </c>
      <c r="Y463" s="11">
        <v>0</v>
      </c>
      <c r="Z463" s="17">
        <v>6071.9</v>
      </c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11">
        <v>0</v>
      </c>
      <c r="AG463" s="11">
        <v>6071.9</v>
      </c>
      <c r="AH463" s="11">
        <v>0</v>
      </c>
      <c r="AI463" s="12">
        <v>6071.9</v>
      </c>
      <c r="AJ463" s="11">
        <v>6071.9</v>
      </c>
      <c r="AK463" s="11">
        <v>0</v>
      </c>
      <c r="AL463" s="11">
        <v>0</v>
      </c>
      <c r="AM463" s="11">
        <v>6071.9</v>
      </c>
      <c r="AN463" s="11">
        <v>6071.9</v>
      </c>
      <c r="AO463" s="11">
        <v>0</v>
      </c>
      <c r="AP463" s="11">
        <v>6071.9</v>
      </c>
      <c r="AQ463" s="11">
        <v>0</v>
      </c>
      <c r="AR463" s="11">
        <v>0</v>
      </c>
      <c r="AS463" t="s">
        <v>847</v>
      </c>
      <c r="AT463" s="4" t="s">
        <v>1295</v>
      </c>
      <c r="AU463" s="7" t="str">
        <f t="shared" si="82"/>
        <v>167Depósitos Recursos ADRES6071,9</v>
      </c>
      <c r="AV463" t="str">
        <f>+_xlfn.XLOOKUP(AU463,CRUCE!I:I,CRUCE!M:M)</f>
        <v>READY</v>
      </c>
      <c r="AW463" t="s">
        <v>1907</v>
      </c>
      <c r="AX463">
        <f>+SUMIFS(CRUCE!C:C,CRUCE!A:A,D463,CRUCE!B:B,'2021'!H463)</f>
        <v>0</v>
      </c>
    </row>
    <row r="464" spans="1:50" x14ac:dyDescent="0.3">
      <c r="A464">
        <v>2021</v>
      </c>
      <c r="B464">
        <v>318</v>
      </c>
      <c r="C464">
        <v>1.20502001010206E+17</v>
      </c>
      <c r="D464" s="5">
        <v>96</v>
      </c>
      <c r="E464" s="8" t="s">
        <v>848</v>
      </c>
      <c r="F464">
        <v>1.20502001010206E+17</v>
      </c>
      <c r="G464" t="s">
        <v>1909</v>
      </c>
      <c r="H464" s="8" t="s">
        <v>849</v>
      </c>
      <c r="I464" t="s">
        <v>643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11">
        <v>0</v>
      </c>
      <c r="U464" s="11">
        <v>0</v>
      </c>
      <c r="V464" s="11">
        <v>0</v>
      </c>
      <c r="W464" s="11">
        <v>0</v>
      </c>
      <c r="X464" s="11">
        <v>374345.28</v>
      </c>
      <c r="Y464" s="11">
        <v>0</v>
      </c>
      <c r="Z464" s="17">
        <v>374345.28</v>
      </c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11">
        <v>0</v>
      </c>
      <c r="AG464" s="11">
        <v>374345.28</v>
      </c>
      <c r="AH464" s="11">
        <v>0</v>
      </c>
      <c r="AI464" s="12">
        <v>374345.28</v>
      </c>
      <c r="AJ464" s="11">
        <v>374345.28</v>
      </c>
      <c r="AK464" s="11">
        <v>0</v>
      </c>
      <c r="AL464" s="11">
        <v>0</v>
      </c>
      <c r="AM464" s="11">
        <v>374345.28</v>
      </c>
      <c r="AN464" s="11">
        <v>374345.28</v>
      </c>
      <c r="AO464" s="11">
        <v>0</v>
      </c>
      <c r="AP464" s="11">
        <v>374345.28</v>
      </c>
      <c r="AQ464" s="11">
        <v>0</v>
      </c>
      <c r="AR464" s="11">
        <v>0</v>
      </c>
      <c r="AS464" t="s">
        <v>850</v>
      </c>
      <c r="AT464" s="4" t="s">
        <v>1300</v>
      </c>
      <c r="AU464" s="7" t="str">
        <f t="shared" si="82"/>
        <v>96Depósitos  Superávit Rentas Cedidas374345,28</v>
      </c>
      <c r="AV464" t="str">
        <f>+_xlfn.XLOOKUP(AU464,CRUCE!I:I,CRUCE!M:M)</f>
        <v>READY</v>
      </c>
      <c r="AW464" t="s">
        <v>1907</v>
      </c>
      <c r="AX464">
        <f>+SUMIFS(CRUCE!C:C,CRUCE!A:A,D464,CRUCE!B:B,'2021'!H464)</f>
        <v>0</v>
      </c>
    </row>
    <row r="465" spans="1:50" x14ac:dyDescent="0.3">
      <c r="A465">
        <v>2021</v>
      </c>
      <c r="B465">
        <v>318</v>
      </c>
      <c r="C465">
        <v>1.20502001010206E+17</v>
      </c>
      <c r="D465" s="5">
        <v>161</v>
      </c>
      <c r="E465" s="8" t="s">
        <v>851</v>
      </c>
      <c r="F465">
        <v>1.20502001010206E+17</v>
      </c>
      <c r="G465" t="s">
        <v>1909</v>
      </c>
      <c r="H465" s="8" t="s">
        <v>852</v>
      </c>
      <c r="I465" t="s">
        <v>643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583.33000000000004</v>
      </c>
      <c r="Y465" s="11">
        <v>0</v>
      </c>
      <c r="Z465" s="17">
        <v>583.33000000000004</v>
      </c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11">
        <v>0</v>
      </c>
      <c r="AG465" s="11">
        <v>583.33000000000004</v>
      </c>
      <c r="AH465" s="11">
        <v>0</v>
      </c>
      <c r="AI465" s="12">
        <v>583.33000000000004</v>
      </c>
      <c r="AJ465" s="11">
        <v>583.33000000000004</v>
      </c>
      <c r="AK465" s="11">
        <v>0</v>
      </c>
      <c r="AL465" s="11">
        <v>0</v>
      </c>
      <c r="AM465" s="11">
        <v>583.33000000000004</v>
      </c>
      <c r="AN465" s="11">
        <v>583.33000000000004</v>
      </c>
      <c r="AO465" s="11">
        <v>0</v>
      </c>
      <c r="AP465" s="11">
        <v>583.33000000000004</v>
      </c>
      <c r="AQ465" s="11">
        <v>0</v>
      </c>
      <c r="AR465" s="11">
        <v>0</v>
      </c>
      <c r="AS465" t="s">
        <v>853</v>
      </c>
      <c r="AT465" s="4" t="s">
        <v>1289</v>
      </c>
      <c r="AU465" s="7" t="str">
        <f t="shared" si="82"/>
        <v>161Depósitos Cofinanciación Nacional Salud Púbilca583,33</v>
      </c>
      <c r="AV465" t="str">
        <f>+_xlfn.XLOOKUP(AU465,CRUCE!I:I,CRUCE!M:M)</f>
        <v>READY</v>
      </c>
      <c r="AW465" t="s">
        <v>1907</v>
      </c>
      <c r="AX465">
        <f>+SUMIFS(CRUCE!C:C,CRUCE!A:A,D465,CRUCE!B:B,'2021'!H465)</f>
        <v>0</v>
      </c>
    </row>
    <row r="466" spans="1:50" x14ac:dyDescent="0.3">
      <c r="A466">
        <v>2021</v>
      </c>
      <c r="B466">
        <v>318</v>
      </c>
      <c r="C466">
        <v>1.20502001010206E+17</v>
      </c>
      <c r="D466" s="5">
        <v>102</v>
      </c>
      <c r="E466" s="8" t="s">
        <v>854</v>
      </c>
      <c r="F466">
        <v>1.20502001010206E+17</v>
      </c>
      <c r="G466" t="s">
        <v>1909</v>
      </c>
      <c r="H466" s="8" t="s">
        <v>855</v>
      </c>
      <c r="I466" t="s">
        <v>643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984.66</v>
      </c>
      <c r="Y466" s="11">
        <v>0</v>
      </c>
      <c r="Z466" s="17">
        <v>984.66</v>
      </c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11">
        <v>0</v>
      </c>
      <c r="AG466" s="11">
        <v>984.66</v>
      </c>
      <c r="AH466" s="11">
        <v>0</v>
      </c>
      <c r="AI466" s="12">
        <v>984.66</v>
      </c>
      <c r="AJ466" s="11">
        <v>984.66</v>
      </c>
      <c r="AK466" s="11">
        <v>0</v>
      </c>
      <c r="AL466" s="11">
        <v>0</v>
      </c>
      <c r="AM466" s="11">
        <v>984.66</v>
      </c>
      <c r="AN466" s="11">
        <v>984.66</v>
      </c>
      <c r="AO466" s="11">
        <v>0</v>
      </c>
      <c r="AP466" s="11">
        <v>984.66</v>
      </c>
      <c r="AQ466" s="11">
        <v>0</v>
      </c>
      <c r="AR466" s="11">
        <v>0</v>
      </c>
      <c r="AS466" t="s">
        <v>856</v>
      </c>
      <c r="AT466" s="4" t="s">
        <v>1291</v>
      </c>
      <c r="AU466" s="7" t="str">
        <f t="shared" si="82"/>
        <v>102Depósitos Cofinanciación Nacional de Otros Gastos en salud984,66</v>
      </c>
      <c r="AV466" t="str">
        <f>+_xlfn.XLOOKUP(AU466,CRUCE!I:I,CRUCE!M:M)</f>
        <v>READY</v>
      </c>
      <c r="AW466" t="s">
        <v>1907</v>
      </c>
      <c r="AX466">
        <f>+SUMIFS(CRUCE!C:C,CRUCE!A:A,D466,CRUCE!B:B,'2021'!H466)</f>
        <v>0</v>
      </c>
    </row>
    <row r="467" spans="1:50" hidden="1" x14ac:dyDescent="0.3">
      <c r="A467">
        <v>2021</v>
      </c>
      <c r="B467">
        <v>318</v>
      </c>
      <c r="C467">
        <v>1208</v>
      </c>
      <c r="D467" s="5" t="s">
        <v>44</v>
      </c>
      <c r="E467" s="8" t="s">
        <v>857</v>
      </c>
      <c r="F467">
        <v>1208</v>
      </c>
      <c r="H467" s="8" t="s">
        <v>858</v>
      </c>
      <c r="I467" t="s">
        <v>643</v>
      </c>
      <c r="J467" s="11">
        <v>421146797</v>
      </c>
      <c r="K467" s="11">
        <v>421146797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421146797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1973754370</v>
      </c>
      <c r="Y467" s="11">
        <v>239097146</v>
      </c>
      <c r="Z467" s="17">
        <v>1734657224</v>
      </c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11">
        <v>0</v>
      </c>
      <c r="AG467" s="11">
        <v>1973754370</v>
      </c>
      <c r="AH467" s="11">
        <v>239097146</v>
      </c>
      <c r="AI467" s="12">
        <v>1734657224</v>
      </c>
      <c r="AJ467" s="11">
        <v>1734657224</v>
      </c>
      <c r="AK467" s="11">
        <v>1734657224</v>
      </c>
      <c r="AL467" s="11">
        <v>1734657224</v>
      </c>
      <c r="AM467" s="11">
        <v>0</v>
      </c>
      <c r="AN467" s="11">
        <v>0</v>
      </c>
      <c r="AO467" s="11">
        <v>0</v>
      </c>
      <c r="AP467" s="11">
        <v>0</v>
      </c>
      <c r="AQ467" s="11">
        <v>0</v>
      </c>
      <c r="AR467" s="11">
        <v>0</v>
      </c>
      <c r="AS467" t="s">
        <v>48</v>
      </c>
      <c r="AT467"/>
    </row>
    <row r="468" spans="1:50" hidden="1" x14ac:dyDescent="0.3">
      <c r="A468">
        <v>2021</v>
      </c>
      <c r="B468">
        <v>318</v>
      </c>
      <c r="C468">
        <v>120804</v>
      </c>
      <c r="D468" s="5" t="s">
        <v>44</v>
      </c>
      <c r="E468" s="8" t="s">
        <v>859</v>
      </c>
      <c r="F468">
        <v>120804</v>
      </c>
      <c r="H468" s="8" t="s">
        <v>860</v>
      </c>
      <c r="I468" t="s">
        <v>643</v>
      </c>
      <c r="J468" s="11">
        <v>421146797</v>
      </c>
      <c r="K468" s="11">
        <v>421146797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421146797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1973754370</v>
      </c>
      <c r="Y468" s="11">
        <v>239097146</v>
      </c>
      <c r="Z468" s="17">
        <v>1734657224</v>
      </c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11">
        <v>0</v>
      </c>
      <c r="AG468" s="11">
        <v>1973754370</v>
      </c>
      <c r="AH468" s="11">
        <v>239097146</v>
      </c>
      <c r="AI468" s="12">
        <v>1734657224</v>
      </c>
      <c r="AJ468" s="11">
        <v>1734657224</v>
      </c>
      <c r="AK468" s="11">
        <v>1734657224</v>
      </c>
      <c r="AL468" s="11">
        <v>1734657224</v>
      </c>
      <c r="AM468" s="11">
        <v>0</v>
      </c>
      <c r="AN468" s="11">
        <v>0</v>
      </c>
      <c r="AO468" s="11">
        <v>0</v>
      </c>
      <c r="AP468" s="11">
        <v>0</v>
      </c>
      <c r="AQ468" s="11">
        <v>0</v>
      </c>
      <c r="AR468" s="11">
        <v>0</v>
      </c>
      <c r="AS468" t="s">
        <v>48</v>
      </c>
      <c r="AT468"/>
    </row>
    <row r="469" spans="1:50" hidden="1" x14ac:dyDescent="0.3">
      <c r="A469">
        <v>2021</v>
      </c>
      <c r="B469">
        <v>318</v>
      </c>
      <c r="C469">
        <v>120804001</v>
      </c>
      <c r="D469" s="5" t="s">
        <v>44</v>
      </c>
      <c r="E469" s="8" t="s">
        <v>861</v>
      </c>
      <c r="F469">
        <v>120804001</v>
      </c>
      <c r="H469" s="8" t="s">
        <v>862</v>
      </c>
      <c r="I469" t="s">
        <v>643</v>
      </c>
      <c r="J469" s="11">
        <v>421146797</v>
      </c>
      <c r="K469" s="11">
        <v>421146797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421146797</v>
      </c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1973754370</v>
      </c>
      <c r="Y469" s="11">
        <v>239097146</v>
      </c>
      <c r="Z469" s="17">
        <v>1734657224</v>
      </c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11">
        <v>0</v>
      </c>
      <c r="AG469" s="11">
        <v>1973754370</v>
      </c>
      <c r="AH469" s="11">
        <v>239097146</v>
      </c>
      <c r="AI469" s="12">
        <v>1734657224</v>
      </c>
      <c r="AJ469" s="11">
        <v>1734657224</v>
      </c>
      <c r="AK469" s="11">
        <v>1734657224</v>
      </c>
      <c r="AL469" s="11">
        <v>1734657224</v>
      </c>
      <c r="AM469" s="11">
        <v>0</v>
      </c>
      <c r="AN469" s="11">
        <v>0</v>
      </c>
      <c r="AO469" s="11">
        <v>0</v>
      </c>
      <c r="AP469" s="11">
        <v>0</v>
      </c>
      <c r="AQ469" s="11">
        <v>0</v>
      </c>
      <c r="AR469" s="11">
        <v>0</v>
      </c>
      <c r="AS469" t="s">
        <v>48</v>
      </c>
      <c r="AT469"/>
    </row>
    <row r="470" spans="1:50" x14ac:dyDescent="0.3">
      <c r="A470">
        <v>2021</v>
      </c>
      <c r="B470">
        <v>318</v>
      </c>
      <c r="C470">
        <v>12080400101</v>
      </c>
      <c r="D470" s="5">
        <v>154</v>
      </c>
      <c r="E470" s="8" t="s">
        <v>863</v>
      </c>
      <c r="F470">
        <v>12080400101</v>
      </c>
      <c r="G470" t="s">
        <v>1908</v>
      </c>
      <c r="H470" s="8" t="s">
        <v>864</v>
      </c>
      <c r="I470" t="s">
        <v>643</v>
      </c>
      <c r="J470" s="11">
        <v>324283033</v>
      </c>
      <c r="K470" s="11">
        <v>324283033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324283033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239097146</v>
      </c>
      <c r="Y470" s="11">
        <v>239097146</v>
      </c>
      <c r="Z470" s="17">
        <v>0</v>
      </c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11">
        <v>0</v>
      </c>
      <c r="AG470" s="11">
        <v>239097146</v>
      </c>
      <c r="AH470" s="11">
        <v>239097146</v>
      </c>
      <c r="AI470" s="12">
        <v>0</v>
      </c>
      <c r="AJ470" s="11">
        <v>0</v>
      </c>
      <c r="AK470" s="11">
        <v>0</v>
      </c>
      <c r="AL470" s="11">
        <v>0</v>
      </c>
      <c r="AM470" s="11">
        <v>0</v>
      </c>
      <c r="AN470" s="11">
        <v>0</v>
      </c>
      <c r="AO470" s="11">
        <v>0</v>
      </c>
      <c r="AP470" s="11">
        <v>0</v>
      </c>
      <c r="AQ470" s="11">
        <v>0</v>
      </c>
      <c r="AR470" s="11">
        <v>0</v>
      </c>
      <c r="AS470" t="s">
        <v>651</v>
      </c>
      <c r="AT470" s="4" t="str">
        <f t="shared" ref="AT470:AT472" si="83">+H470</f>
        <v>Premios de juegos de suerte y azar no reclamados - Juego de Loterias</v>
      </c>
      <c r="AU470" s="7" t="str">
        <f t="shared" ref="AU470:AU472" si="84">+$D470&amp;$AT470&amp;Z470</f>
        <v>154Premios de juegos de suerte y azar no reclamados - Juego de Loterias0</v>
      </c>
      <c r="AV470" t="str">
        <f>+_xlfn.XLOOKUP(AU470,CRUCE!I:I,CRUCE!M:M)</f>
        <v>READY</v>
      </c>
      <c r="AW470" t="s">
        <v>1907</v>
      </c>
      <c r="AX470">
        <f>+SUMIFS(CRUCE!C:C,CRUCE!A:A,D470,CRUCE!B:B,'2021'!H470)</f>
        <v>0</v>
      </c>
    </row>
    <row r="471" spans="1:50" x14ac:dyDescent="0.3">
      <c r="A471">
        <v>2021</v>
      </c>
      <c r="B471">
        <v>318</v>
      </c>
      <c r="C471">
        <v>12080400102</v>
      </c>
      <c r="D471" s="5">
        <v>154</v>
      </c>
      <c r="E471" s="8" t="s">
        <v>865</v>
      </c>
      <c r="F471">
        <v>12080400102</v>
      </c>
      <c r="G471" t="s">
        <v>1908</v>
      </c>
      <c r="H471" s="8" t="s">
        <v>866</v>
      </c>
      <c r="I471" t="s">
        <v>643</v>
      </c>
      <c r="J471" s="11">
        <v>54749084</v>
      </c>
      <c r="K471" s="11">
        <v>54749084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54749084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1185609352</v>
      </c>
      <c r="Y471" s="11">
        <v>0</v>
      </c>
      <c r="Z471" s="17">
        <v>1185609352</v>
      </c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11">
        <v>0</v>
      </c>
      <c r="AG471" s="11">
        <v>1185609352</v>
      </c>
      <c r="AH471" s="11">
        <v>0</v>
      </c>
      <c r="AI471" s="12">
        <v>1185609352</v>
      </c>
      <c r="AJ471" s="11">
        <v>1185609352</v>
      </c>
      <c r="AK471" s="11">
        <v>1185609352</v>
      </c>
      <c r="AL471" s="11">
        <v>1185609352</v>
      </c>
      <c r="AM471" s="11">
        <v>0</v>
      </c>
      <c r="AN471" s="11">
        <v>0</v>
      </c>
      <c r="AO471" s="11">
        <v>0</v>
      </c>
      <c r="AP471" s="11">
        <v>0</v>
      </c>
      <c r="AQ471" s="11">
        <v>0</v>
      </c>
      <c r="AR471" s="11">
        <v>0</v>
      </c>
      <c r="AS471" t="s">
        <v>651</v>
      </c>
      <c r="AT471" s="4" t="str">
        <f t="shared" si="83"/>
        <v>Premios de juegos de suerte y azar no reclamados - Juego de apuestas permanentes o chance</v>
      </c>
      <c r="AU471" s="7" t="str">
        <f t="shared" si="84"/>
        <v>154Premios de juegos de suerte y azar no reclamados - Juego de apuestas permanentes o chance1185609352</v>
      </c>
      <c r="AV471" t="str">
        <f>+_xlfn.XLOOKUP(AU471,CRUCE!I:I,CRUCE!M:M)</f>
        <v>READY</v>
      </c>
      <c r="AW471" t="s">
        <v>1907</v>
      </c>
      <c r="AX471">
        <f>+SUMIFS(CRUCE!C:C,CRUCE!A:A,D471,CRUCE!B:B,'2021'!H471)</f>
        <v>1185609352</v>
      </c>
    </row>
    <row r="472" spans="1:50" x14ac:dyDescent="0.3">
      <c r="A472">
        <v>2021</v>
      </c>
      <c r="B472">
        <v>318</v>
      </c>
      <c r="C472">
        <v>12080400103</v>
      </c>
      <c r="D472" s="5">
        <v>154</v>
      </c>
      <c r="E472" s="8" t="s">
        <v>867</v>
      </c>
      <c r="F472">
        <v>12080400103</v>
      </c>
      <c r="G472" t="s">
        <v>1908</v>
      </c>
      <c r="H472" s="8" t="s">
        <v>868</v>
      </c>
      <c r="I472" t="s">
        <v>643</v>
      </c>
      <c r="J472" s="11">
        <v>42114680</v>
      </c>
      <c r="K472" s="11">
        <v>42114680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42114680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549047872</v>
      </c>
      <c r="Y472" s="11">
        <v>0</v>
      </c>
      <c r="Z472" s="17">
        <v>549047872</v>
      </c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11">
        <v>0</v>
      </c>
      <c r="AG472" s="11">
        <v>549047872</v>
      </c>
      <c r="AH472" s="11">
        <v>0</v>
      </c>
      <c r="AI472" s="12">
        <v>549047872</v>
      </c>
      <c r="AJ472" s="11">
        <v>549047872</v>
      </c>
      <c r="AK472" s="11">
        <v>549047872</v>
      </c>
      <c r="AL472" s="11">
        <v>549047872</v>
      </c>
      <c r="AM472" s="11">
        <v>0</v>
      </c>
      <c r="AN472" s="11">
        <v>0</v>
      </c>
      <c r="AO472" s="11">
        <v>0</v>
      </c>
      <c r="AP472" s="11">
        <v>0</v>
      </c>
      <c r="AQ472" s="11">
        <v>0</v>
      </c>
      <c r="AR472" s="11">
        <v>0</v>
      </c>
      <c r="AS472" t="s">
        <v>651</v>
      </c>
      <c r="AT472" s="4" t="str">
        <f t="shared" si="83"/>
        <v>Premios de juegos de suerte y azar no reclamados - Juegos novedosos - superastro</v>
      </c>
      <c r="AU472" s="7" t="str">
        <f t="shared" si="84"/>
        <v>154Premios de juegos de suerte y azar no reclamados - Juegos novedosos - superastro549047872</v>
      </c>
      <c r="AV472" t="str">
        <f>+_xlfn.XLOOKUP(AU472,CRUCE!I:I,CRUCE!M:M)</f>
        <v>READY</v>
      </c>
      <c r="AW472" t="s">
        <v>1907</v>
      </c>
      <c r="AX472">
        <f>+SUMIFS(CRUCE!C:C,CRUCE!A:A,D472,CRUCE!B:B,'2021'!H472)</f>
        <v>549047872</v>
      </c>
    </row>
    <row r="473" spans="1:50" hidden="1" x14ac:dyDescent="0.3">
      <c r="A473">
        <v>2021</v>
      </c>
      <c r="B473">
        <v>318</v>
      </c>
      <c r="C473">
        <v>1210</v>
      </c>
      <c r="D473" s="5" t="s">
        <v>44</v>
      </c>
      <c r="E473" s="8" t="s">
        <v>869</v>
      </c>
      <c r="F473">
        <v>1210</v>
      </c>
      <c r="H473" s="8" t="s">
        <v>474</v>
      </c>
      <c r="I473" t="s">
        <v>643</v>
      </c>
      <c r="J473" s="11">
        <v>0</v>
      </c>
      <c r="K473" s="11">
        <v>0</v>
      </c>
      <c r="L473" s="11">
        <v>6673865233.7299995</v>
      </c>
      <c r="M473" s="11">
        <v>0</v>
      </c>
      <c r="N473" s="11">
        <v>6673865233.7299995</v>
      </c>
      <c r="O473" s="11">
        <v>6673865233.7299995</v>
      </c>
      <c r="P473" s="11">
        <v>0</v>
      </c>
      <c r="Q473" s="11">
        <v>6673865233.7299995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6673865233.7299995</v>
      </c>
      <c r="Y473" s="11">
        <v>0</v>
      </c>
      <c r="Z473" s="17">
        <v>6673865233.7299995</v>
      </c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6673865233.7299995</v>
      </c>
      <c r="AH473" s="11">
        <v>0</v>
      </c>
      <c r="AI473" s="12">
        <v>6673865233.7299995</v>
      </c>
      <c r="AJ473" s="11">
        <v>6673865233.7299995</v>
      </c>
      <c r="AK473" s="11">
        <v>4645829737.7299995</v>
      </c>
      <c r="AL473" s="11">
        <v>4645829737.7299995</v>
      </c>
      <c r="AM473" s="11">
        <v>2028035496</v>
      </c>
      <c r="AN473" s="11">
        <v>2028035496</v>
      </c>
      <c r="AO473" s="11">
        <v>0</v>
      </c>
      <c r="AP473" s="11">
        <v>2028035496</v>
      </c>
      <c r="AQ473" s="11">
        <v>0</v>
      </c>
      <c r="AR473" s="11">
        <v>0</v>
      </c>
      <c r="AS473" t="s">
        <v>48</v>
      </c>
      <c r="AT473"/>
    </row>
    <row r="474" spans="1:50" hidden="1" x14ac:dyDescent="0.3">
      <c r="A474">
        <v>2021</v>
      </c>
      <c r="B474">
        <v>318</v>
      </c>
      <c r="C474">
        <v>121002</v>
      </c>
      <c r="D474" s="5" t="s">
        <v>44</v>
      </c>
      <c r="E474" s="8" t="s">
        <v>870</v>
      </c>
      <c r="F474">
        <v>121002</v>
      </c>
      <c r="H474" s="8" t="s">
        <v>476</v>
      </c>
      <c r="I474" t="s">
        <v>643</v>
      </c>
      <c r="J474" s="11">
        <v>0</v>
      </c>
      <c r="K474" s="11">
        <v>0</v>
      </c>
      <c r="L474" s="11">
        <v>6673865233.7299995</v>
      </c>
      <c r="M474" s="11">
        <v>0</v>
      </c>
      <c r="N474" s="11">
        <v>6673865233.7299995</v>
      </c>
      <c r="O474" s="11">
        <v>6673865233.7299995</v>
      </c>
      <c r="P474" s="11">
        <v>0</v>
      </c>
      <c r="Q474" s="11">
        <v>6673865233.7299995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6673865233.7299995</v>
      </c>
      <c r="Y474" s="11">
        <v>0</v>
      </c>
      <c r="Z474" s="17">
        <v>6673865233.7299995</v>
      </c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0</v>
      </c>
      <c r="AG474" s="11">
        <v>6673865233.7299995</v>
      </c>
      <c r="AH474" s="11">
        <v>0</v>
      </c>
      <c r="AI474" s="12">
        <v>6673865233.7299995</v>
      </c>
      <c r="AJ474" s="11">
        <v>6673865233.7299995</v>
      </c>
      <c r="AK474" s="11">
        <v>4645829737.7299995</v>
      </c>
      <c r="AL474" s="11">
        <v>4645829737.7299995</v>
      </c>
      <c r="AM474" s="11">
        <v>2028035496</v>
      </c>
      <c r="AN474" s="11">
        <v>2028035496</v>
      </c>
      <c r="AO474" s="11">
        <v>0</v>
      </c>
      <c r="AP474" s="11">
        <v>2028035496</v>
      </c>
      <c r="AQ474" s="11">
        <v>0</v>
      </c>
      <c r="AR474" s="11">
        <v>0</v>
      </c>
      <c r="AS474" t="s">
        <v>48</v>
      </c>
      <c r="AT474"/>
    </row>
    <row r="475" spans="1:50" hidden="1" x14ac:dyDescent="0.3">
      <c r="A475">
        <v>2021</v>
      </c>
      <c r="B475">
        <v>318</v>
      </c>
      <c r="C475">
        <v>121002002</v>
      </c>
      <c r="D475" s="5" t="s">
        <v>44</v>
      </c>
      <c r="E475" s="8" t="s">
        <v>871</v>
      </c>
      <c r="F475">
        <v>121002002</v>
      </c>
      <c r="H475" s="8" t="s">
        <v>482</v>
      </c>
      <c r="I475" t="s">
        <v>643</v>
      </c>
      <c r="J475" s="11">
        <v>0</v>
      </c>
      <c r="K475" s="11">
        <v>0</v>
      </c>
      <c r="L475" s="11">
        <v>6673865233.7299995</v>
      </c>
      <c r="M475" s="11">
        <v>0</v>
      </c>
      <c r="N475" s="11">
        <v>6673865233.7299995</v>
      </c>
      <c r="O475" s="11">
        <v>6673865233.7299995</v>
      </c>
      <c r="P475" s="11">
        <v>0</v>
      </c>
      <c r="Q475" s="11">
        <v>6673865233.7299995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6673865233.7299995</v>
      </c>
      <c r="Y475" s="11">
        <v>0</v>
      </c>
      <c r="Z475" s="17">
        <v>6673865233.7299995</v>
      </c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11">
        <v>0</v>
      </c>
      <c r="AG475" s="11">
        <v>6673865233.7299995</v>
      </c>
      <c r="AH475" s="11">
        <v>0</v>
      </c>
      <c r="AI475" s="12">
        <v>6673865233.7299995</v>
      </c>
      <c r="AJ475" s="11">
        <v>6673865233.7299995</v>
      </c>
      <c r="AK475" s="11">
        <v>4645829737.7299995</v>
      </c>
      <c r="AL475" s="11">
        <v>4645829737.7299995</v>
      </c>
      <c r="AM475" s="11">
        <v>2028035496</v>
      </c>
      <c r="AN475" s="11">
        <v>2028035496</v>
      </c>
      <c r="AO475" s="11">
        <v>0</v>
      </c>
      <c r="AP475" s="11">
        <v>2028035496</v>
      </c>
      <c r="AQ475" s="11">
        <v>0</v>
      </c>
      <c r="AR475" s="11">
        <v>0</v>
      </c>
      <c r="AS475" t="s">
        <v>48</v>
      </c>
      <c r="AT475"/>
    </row>
    <row r="476" spans="1:50" x14ac:dyDescent="0.3">
      <c r="A476">
        <v>2021</v>
      </c>
      <c r="B476">
        <v>318</v>
      </c>
      <c r="C476">
        <v>12100200204</v>
      </c>
      <c r="D476" s="5">
        <v>98</v>
      </c>
      <c r="E476" s="8" t="s">
        <v>872</v>
      </c>
      <c r="F476">
        <v>12100200204</v>
      </c>
      <c r="G476" t="s">
        <v>1910</v>
      </c>
      <c r="H476" s="8" t="s">
        <v>873</v>
      </c>
      <c r="I476" t="s">
        <v>643</v>
      </c>
      <c r="J476" s="11">
        <v>0</v>
      </c>
      <c r="K476" s="11">
        <v>0</v>
      </c>
      <c r="L476" s="11">
        <v>1579918492.76</v>
      </c>
      <c r="M476" s="11">
        <v>0</v>
      </c>
      <c r="N476" s="11">
        <v>1579918492.76</v>
      </c>
      <c r="O476" s="11">
        <v>1579918492.76</v>
      </c>
      <c r="P476" s="11">
        <v>0</v>
      </c>
      <c r="Q476" s="11">
        <v>1579918492.76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1579918492.76</v>
      </c>
      <c r="Y476" s="11">
        <v>0</v>
      </c>
      <c r="Z476" s="17">
        <v>1579918492.76</v>
      </c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11">
        <v>0</v>
      </c>
      <c r="AG476" s="11">
        <v>1579918492.76</v>
      </c>
      <c r="AH476" s="11">
        <v>0</v>
      </c>
      <c r="AI476" s="12">
        <v>1579918492.76</v>
      </c>
      <c r="AJ476" s="11">
        <v>1579918492.76</v>
      </c>
      <c r="AK476" s="11">
        <v>1579918492.76</v>
      </c>
      <c r="AL476" s="11">
        <v>1579918492.76</v>
      </c>
      <c r="AM476" s="11">
        <v>0</v>
      </c>
      <c r="AN476" s="11">
        <v>0</v>
      </c>
      <c r="AO476" s="11">
        <v>0</v>
      </c>
      <c r="AP476" s="11">
        <v>0</v>
      </c>
      <c r="AQ476" s="11">
        <v>0</v>
      </c>
      <c r="AR476" s="11">
        <v>0</v>
      </c>
      <c r="AS476" t="s">
        <v>874</v>
      </c>
      <c r="AT476" s="4" t="str">
        <f t="shared" ref="AT476:AT488" si="85">+H476</f>
        <v>Superávit SGP Salud Pública</v>
      </c>
      <c r="AU476" s="7" t="str">
        <f t="shared" ref="AU476:AU488" si="86">+$D476&amp;$AT476&amp;Z476</f>
        <v>98Superávit SGP Salud Pública1579918492,76</v>
      </c>
      <c r="AV476" t="e">
        <f>+_xlfn.XLOOKUP(AU476,CRUCE!I:I,CRUCE!M:M)</f>
        <v>#N/A</v>
      </c>
      <c r="AW476" t="s">
        <v>1907</v>
      </c>
      <c r="AX476">
        <f>+SUMIFS(CRUCE!C:C,CRUCE!A:A,D476,CRUCE!B:B,'2021'!H476)</f>
        <v>1704867658.76</v>
      </c>
    </row>
    <row r="477" spans="1:50" x14ac:dyDescent="0.3">
      <c r="A477">
        <v>2021</v>
      </c>
      <c r="B477">
        <v>318</v>
      </c>
      <c r="C477">
        <v>12100200207</v>
      </c>
      <c r="D477" s="5">
        <v>91</v>
      </c>
      <c r="E477" s="8" t="s">
        <v>875</v>
      </c>
      <c r="F477">
        <v>12100200207</v>
      </c>
      <c r="G477" t="s">
        <v>1910</v>
      </c>
      <c r="H477" s="8" t="s">
        <v>490</v>
      </c>
      <c r="I477" t="s">
        <v>643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7">
        <v>0</v>
      </c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2">
        <v>0</v>
      </c>
      <c r="AJ477" s="11">
        <v>0</v>
      </c>
      <c r="AK477" s="11">
        <v>0</v>
      </c>
      <c r="AL477" s="11">
        <v>0</v>
      </c>
      <c r="AM477" s="11">
        <v>0</v>
      </c>
      <c r="AN477" s="11">
        <v>0</v>
      </c>
      <c r="AO477" s="11">
        <v>0</v>
      </c>
      <c r="AP477" s="11">
        <v>0</v>
      </c>
      <c r="AQ477" s="11">
        <v>0</v>
      </c>
      <c r="AR477" s="11">
        <v>0</v>
      </c>
      <c r="AS477" t="s">
        <v>491</v>
      </c>
      <c r="AT477" s="4" t="str">
        <f t="shared" si="85"/>
        <v xml:space="preserve">Superávit Recurso Destinado del Monopolio </v>
      </c>
      <c r="AU477" s="7" t="str">
        <f t="shared" si="86"/>
        <v>91Superávit Recurso Destinado del Monopolio 0</v>
      </c>
      <c r="AV477" t="e">
        <f>+_xlfn.XLOOKUP(AU477,CRUCE!I:I,CRUCE!M:M)</f>
        <v>#N/A</v>
      </c>
      <c r="AW477" t="s">
        <v>1907</v>
      </c>
      <c r="AX477">
        <f>+SUMIFS(CRUCE!C:C,CRUCE!A:A,D477,CRUCE!B:B,'2021'!H477)</f>
        <v>725133446.03000009</v>
      </c>
    </row>
    <row r="478" spans="1:50" x14ac:dyDescent="0.3">
      <c r="A478">
        <v>2021</v>
      </c>
      <c r="B478">
        <v>318</v>
      </c>
      <c r="C478">
        <v>12100200208</v>
      </c>
      <c r="D478" s="5">
        <v>184</v>
      </c>
      <c r="E478" s="8" t="s">
        <v>876</v>
      </c>
      <c r="F478">
        <v>12100200208</v>
      </c>
      <c r="G478" t="s">
        <v>1910</v>
      </c>
      <c r="H478" s="8" t="s">
        <v>877</v>
      </c>
      <c r="I478" t="s">
        <v>643</v>
      </c>
      <c r="J478" s="11">
        <v>0</v>
      </c>
      <c r="K478" s="11">
        <v>0</v>
      </c>
      <c r="L478" s="11">
        <v>33078292</v>
      </c>
      <c r="M478" s="11">
        <v>0</v>
      </c>
      <c r="N478" s="11">
        <v>33078292</v>
      </c>
      <c r="O478" s="11">
        <v>33078292</v>
      </c>
      <c r="P478" s="11">
        <v>0</v>
      </c>
      <c r="Q478" s="11">
        <v>33078292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33078292</v>
      </c>
      <c r="Y478" s="11">
        <v>0</v>
      </c>
      <c r="Z478" s="17">
        <v>33078292</v>
      </c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11">
        <v>0</v>
      </c>
      <c r="AG478" s="11">
        <v>33078292</v>
      </c>
      <c r="AH478" s="11">
        <v>0</v>
      </c>
      <c r="AI478" s="12">
        <v>33078292</v>
      </c>
      <c r="AJ478" s="11">
        <v>33078292</v>
      </c>
      <c r="AK478" s="11">
        <v>33078292</v>
      </c>
      <c r="AL478" s="11">
        <v>33078292</v>
      </c>
      <c r="AM478" s="11">
        <v>0</v>
      </c>
      <c r="AN478" s="11">
        <v>0</v>
      </c>
      <c r="AO478" s="11">
        <v>0</v>
      </c>
      <c r="AP478" s="11">
        <v>0</v>
      </c>
      <c r="AQ478" s="11">
        <v>0</v>
      </c>
      <c r="AR478" s="11">
        <v>0</v>
      </c>
      <c r="AS478" t="s">
        <v>878</v>
      </c>
      <c r="AT478" s="4" t="str">
        <f t="shared" si="85"/>
        <v>Superávit Resolución Minsalud 626 COVID de 2020</v>
      </c>
      <c r="AU478" s="7" t="str">
        <f t="shared" si="86"/>
        <v>184Superávit Resolución Minsalud 626 COVID de 202033078292</v>
      </c>
      <c r="AV478" t="str">
        <f>+_xlfn.XLOOKUP(AU478,CRUCE!I:I,CRUCE!M:M)</f>
        <v>READY</v>
      </c>
      <c r="AW478" t="s">
        <v>1907</v>
      </c>
      <c r="AX478">
        <f>+SUMIFS(CRUCE!C:C,CRUCE!A:A,D478,CRUCE!B:B,'2021'!H478)</f>
        <v>33078292</v>
      </c>
    </row>
    <row r="479" spans="1:50" x14ac:dyDescent="0.3">
      <c r="A479">
        <v>2021</v>
      </c>
      <c r="B479">
        <v>318</v>
      </c>
      <c r="C479">
        <v>12100200224</v>
      </c>
      <c r="D479" s="5">
        <v>96</v>
      </c>
      <c r="E479" s="8" t="s">
        <v>879</v>
      </c>
      <c r="F479">
        <v>12100200224</v>
      </c>
      <c r="G479" t="s">
        <v>1910</v>
      </c>
      <c r="H479" s="8" t="s">
        <v>849</v>
      </c>
      <c r="I479" t="s">
        <v>643</v>
      </c>
      <c r="J479" s="11">
        <v>0</v>
      </c>
      <c r="K479" s="11">
        <v>0</v>
      </c>
      <c r="L479" s="11">
        <v>2740682600.8600001</v>
      </c>
      <c r="M479" s="11">
        <v>0</v>
      </c>
      <c r="N479" s="11">
        <v>2740682600.8600001</v>
      </c>
      <c r="O479" s="11">
        <v>2740682600.8600001</v>
      </c>
      <c r="P479" s="11">
        <v>0</v>
      </c>
      <c r="Q479" s="11">
        <v>2740682600.8600001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2740682600.8600001</v>
      </c>
      <c r="Y479" s="11">
        <v>0</v>
      </c>
      <c r="Z479" s="17">
        <v>2740682600.8600001</v>
      </c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11">
        <v>0</v>
      </c>
      <c r="AG479" s="11">
        <v>2740682600.8600001</v>
      </c>
      <c r="AH479" s="11">
        <v>0</v>
      </c>
      <c r="AI479" s="12">
        <v>2740682600.8600001</v>
      </c>
      <c r="AJ479" s="11">
        <v>2740682600.8600001</v>
      </c>
      <c r="AK479" s="11">
        <v>712647104.86000001</v>
      </c>
      <c r="AL479" s="11">
        <v>712647104.86000001</v>
      </c>
      <c r="AM479" s="11">
        <v>2028035496</v>
      </c>
      <c r="AN479" s="11">
        <v>2028035496</v>
      </c>
      <c r="AO479" s="11">
        <v>0</v>
      </c>
      <c r="AP479" s="11">
        <v>2028035496</v>
      </c>
      <c r="AQ479" s="11">
        <v>0</v>
      </c>
      <c r="AR479" s="11">
        <v>0</v>
      </c>
      <c r="AS479" t="s">
        <v>850</v>
      </c>
      <c r="AT479" s="4" t="s">
        <v>884</v>
      </c>
      <c r="AU479" s="7" t="str">
        <f t="shared" si="86"/>
        <v>96Superávit Rentas Cedidas Subcuenta Otros Gastos en Salud2740682600,86</v>
      </c>
      <c r="AV479" t="str">
        <f>+_xlfn.XLOOKUP(AU479,CRUCE!I:I,CRUCE!M:M)</f>
        <v>READY</v>
      </c>
      <c r="AW479" t="s">
        <v>1907</v>
      </c>
      <c r="AX479">
        <f>+SUMIFS(CRUCE!C:C,CRUCE!A:A,D479,CRUCE!B:B,'2021'!H479)</f>
        <v>0</v>
      </c>
    </row>
    <row r="480" spans="1:50" x14ac:dyDescent="0.3">
      <c r="A480">
        <v>2021</v>
      </c>
      <c r="B480">
        <v>318</v>
      </c>
      <c r="C480">
        <v>12100200225</v>
      </c>
      <c r="D480" s="5">
        <v>198</v>
      </c>
      <c r="E480" s="8" t="s">
        <v>880</v>
      </c>
      <c r="F480">
        <v>12100200225</v>
      </c>
      <c r="G480" t="s">
        <v>1910</v>
      </c>
      <c r="H480" s="8" t="s">
        <v>881</v>
      </c>
      <c r="I480" t="s">
        <v>643</v>
      </c>
      <c r="J480" s="11">
        <v>0</v>
      </c>
      <c r="K480" s="11">
        <v>0</v>
      </c>
      <c r="L480" s="11">
        <v>468599154.12</v>
      </c>
      <c r="M480" s="11">
        <v>0</v>
      </c>
      <c r="N480" s="11">
        <v>468599154.12</v>
      </c>
      <c r="O480" s="11">
        <v>468599154.12</v>
      </c>
      <c r="P480" s="11">
        <v>0</v>
      </c>
      <c r="Q480" s="11">
        <v>468599154.12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468599154.12</v>
      </c>
      <c r="Y480" s="11">
        <v>0</v>
      </c>
      <c r="Z480" s="17">
        <v>468599154.12</v>
      </c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0</v>
      </c>
      <c r="AG480" s="11">
        <v>468599154.12</v>
      </c>
      <c r="AH480" s="11">
        <v>0</v>
      </c>
      <c r="AI480" s="12">
        <v>468599154.12</v>
      </c>
      <c r="AJ480" s="11">
        <v>468599154.12</v>
      </c>
      <c r="AK480" s="11">
        <v>468599154.12</v>
      </c>
      <c r="AL480" s="11">
        <v>468599154.12</v>
      </c>
      <c r="AM480" s="11">
        <v>0</v>
      </c>
      <c r="AN480" s="11">
        <v>0</v>
      </c>
      <c r="AO480" s="11">
        <v>0</v>
      </c>
      <c r="AP480" s="11">
        <v>0</v>
      </c>
      <c r="AQ480" s="11">
        <v>0</v>
      </c>
      <c r="AR480" s="11">
        <v>0</v>
      </c>
      <c r="AS480" t="s">
        <v>882</v>
      </c>
      <c r="AT480" s="4" t="str">
        <f t="shared" si="85"/>
        <v>Superávit Fondo de SAlvamento y Grantias para la Salud FONSAET</v>
      </c>
      <c r="AU480" s="7" t="str">
        <f t="shared" si="86"/>
        <v>198Superávit Fondo de SAlvamento y Grantias para la Salud FONSAET468599154,12</v>
      </c>
      <c r="AV480" t="str">
        <f>+_xlfn.XLOOKUP(AU480,CRUCE!I:I,CRUCE!M:M)</f>
        <v>READY</v>
      </c>
      <c r="AW480" t="s">
        <v>1907</v>
      </c>
      <c r="AX480">
        <f>+SUMIFS(CRUCE!C:C,CRUCE!A:A,D480,CRUCE!B:B,'2021'!H480)</f>
        <v>468599154.12</v>
      </c>
    </row>
    <row r="481" spans="1:50" x14ac:dyDescent="0.3">
      <c r="A481">
        <v>2021</v>
      </c>
      <c r="B481">
        <v>318</v>
      </c>
      <c r="C481">
        <v>12100200226</v>
      </c>
      <c r="D481" s="5">
        <v>199</v>
      </c>
      <c r="E481" s="8" t="s">
        <v>883</v>
      </c>
      <c r="F481">
        <v>12100200226</v>
      </c>
      <c r="G481" t="s">
        <v>1910</v>
      </c>
      <c r="H481" s="8" t="s">
        <v>884</v>
      </c>
      <c r="I481" t="s">
        <v>643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0</v>
      </c>
      <c r="Z481" s="17">
        <v>0</v>
      </c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0</v>
      </c>
      <c r="AI481" s="12">
        <v>0</v>
      </c>
      <c r="AJ481" s="11">
        <v>0</v>
      </c>
      <c r="AK481" s="11">
        <v>0</v>
      </c>
      <c r="AL481" s="11">
        <v>0</v>
      </c>
      <c r="AM481" s="11">
        <v>0</v>
      </c>
      <c r="AN481" s="11">
        <v>0</v>
      </c>
      <c r="AO481" s="11">
        <v>0</v>
      </c>
      <c r="AP481" s="11">
        <v>0</v>
      </c>
      <c r="AQ481" s="11">
        <v>0</v>
      </c>
      <c r="AR481" s="11">
        <v>0</v>
      </c>
      <c r="AS481" t="s">
        <v>885</v>
      </c>
      <c r="AT481" s="4" t="str">
        <f t="shared" si="85"/>
        <v>Superávit Rentas Cedidas Subcuenta Otros Gastos en Salud</v>
      </c>
      <c r="AU481" s="7" t="str">
        <f t="shared" si="86"/>
        <v>199Superávit Rentas Cedidas Subcuenta Otros Gastos en Salud0</v>
      </c>
      <c r="AV481" t="str">
        <f>+_xlfn.XLOOKUP(AU481,CRUCE!I:I,CRUCE!M:M)</f>
        <v>READY</v>
      </c>
      <c r="AW481" t="s">
        <v>1907</v>
      </c>
      <c r="AX481">
        <f>+SUMIFS(CRUCE!C:C,CRUCE!A:A,D481,CRUCE!B:B,'2021'!H481)</f>
        <v>0</v>
      </c>
    </row>
    <row r="482" spans="1:50" x14ac:dyDescent="0.3">
      <c r="A482">
        <v>2021</v>
      </c>
      <c r="B482">
        <v>318</v>
      </c>
      <c r="C482">
        <v>12100200227</v>
      </c>
      <c r="D482" s="5">
        <v>200</v>
      </c>
      <c r="E482" s="8" t="s">
        <v>886</v>
      </c>
      <c r="F482">
        <v>12100200227</v>
      </c>
      <c r="G482" t="s">
        <v>1910</v>
      </c>
      <c r="H482" s="8" t="s">
        <v>887</v>
      </c>
      <c r="I482" t="s">
        <v>643</v>
      </c>
      <c r="J482" s="11">
        <v>0</v>
      </c>
      <c r="K482" s="11">
        <v>0</v>
      </c>
      <c r="L482" s="11">
        <v>772313.93</v>
      </c>
      <c r="M482" s="11">
        <v>0</v>
      </c>
      <c r="N482" s="11">
        <v>772313.93</v>
      </c>
      <c r="O482" s="11">
        <v>772313.93</v>
      </c>
      <c r="P482" s="11">
        <v>0</v>
      </c>
      <c r="Q482" s="11">
        <v>772313.93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772313.93</v>
      </c>
      <c r="Y482" s="11">
        <v>0</v>
      </c>
      <c r="Z482" s="17">
        <v>772313.93</v>
      </c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11">
        <v>0</v>
      </c>
      <c r="AG482" s="11">
        <v>772313.93</v>
      </c>
      <c r="AH482" s="11">
        <v>0</v>
      </c>
      <c r="AI482" s="12">
        <v>772313.93</v>
      </c>
      <c r="AJ482" s="11">
        <v>772313.93</v>
      </c>
      <c r="AK482" s="11">
        <v>772313.93</v>
      </c>
      <c r="AL482" s="11">
        <v>772313.93</v>
      </c>
      <c r="AM482" s="11">
        <v>0</v>
      </c>
      <c r="AN482" s="11">
        <v>0</v>
      </c>
      <c r="AO482" s="11">
        <v>0</v>
      </c>
      <c r="AP482" s="11">
        <v>0</v>
      </c>
      <c r="AQ482" s="11">
        <v>0</v>
      </c>
      <c r="AR482" s="11">
        <v>0</v>
      </c>
      <c r="AS482" t="s">
        <v>888</v>
      </c>
      <c r="AT482" s="4" t="str">
        <f t="shared" si="85"/>
        <v>Superávit COLCIENCIAS</v>
      </c>
      <c r="AU482" s="7" t="str">
        <f t="shared" si="86"/>
        <v>200Superávit COLCIENCIAS772313,93</v>
      </c>
      <c r="AV482" t="str">
        <f>+_xlfn.XLOOKUP(AU482,CRUCE!I:I,CRUCE!M:M)</f>
        <v>READY</v>
      </c>
      <c r="AW482" t="s">
        <v>1907</v>
      </c>
      <c r="AX482">
        <f>+SUMIFS(CRUCE!C:C,CRUCE!A:A,D482,CRUCE!B:B,'2021'!H482)</f>
        <v>772313.93</v>
      </c>
    </row>
    <row r="483" spans="1:50" x14ac:dyDescent="0.3">
      <c r="A483">
        <v>2021</v>
      </c>
      <c r="B483">
        <v>318</v>
      </c>
      <c r="C483">
        <v>12100200228</v>
      </c>
      <c r="D483" s="5">
        <v>99</v>
      </c>
      <c r="E483" s="8" t="s">
        <v>889</v>
      </c>
      <c r="F483">
        <v>12100200228</v>
      </c>
      <c r="G483" t="s">
        <v>1910</v>
      </c>
      <c r="H483" s="8" t="s">
        <v>890</v>
      </c>
      <c r="I483" t="s">
        <v>643</v>
      </c>
      <c r="J483" s="11">
        <v>0</v>
      </c>
      <c r="K483" s="11">
        <v>0</v>
      </c>
      <c r="L483" s="11">
        <v>571581421.21000004</v>
      </c>
      <c r="M483" s="11">
        <v>0</v>
      </c>
      <c r="N483" s="11">
        <v>571581421.21000004</v>
      </c>
      <c r="O483" s="11">
        <v>571581421.21000004</v>
      </c>
      <c r="P483" s="11">
        <v>0</v>
      </c>
      <c r="Q483" s="11">
        <v>571581421.21000004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571581421.21000004</v>
      </c>
      <c r="Y483" s="11">
        <v>0</v>
      </c>
      <c r="Z483" s="17">
        <v>571581421.21000004</v>
      </c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11">
        <v>0</v>
      </c>
      <c r="AG483" s="11">
        <v>571581421.21000004</v>
      </c>
      <c r="AH483" s="11">
        <v>0</v>
      </c>
      <c r="AI483" s="12">
        <v>571581421.21000004</v>
      </c>
      <c r="AJ483" s="11">
        <v>571581421.21000004</v>
      </c>
      <c r="AK483" s="11">
        <v>571581421.21000004</v>
      </c>
      <c r="AL483" s="11">
        <v>571581421.21000004</v>
      </c>
      <c r="AM483" s="11">
        <v>0</v>
      </c>
      <c r="AN483" s="11">
        <v>0</v>
      </c>
      <c r="AO483" s="11">
        <v>0</v>
      </c>
      <c r="AP483" s="11">
        <v>0</v>
      </c>
      <c r="AQ483" s="11">
        <v>0</v>
      </c>
      <c r="AR483" s="11">
        <v>0</v>
      </c>
      <c r="AS483" t="s">
        <v>891</v>
      </c>
      <c r="AT483" s="4" t="str">
        <f t="shared" si="85"/>
        <v>Superávit Fondo de Estupefacientes</v>
      </c>
      <c r="AU483" s="7" t="str">
        <f t="shared" si="86"/>
        <v>99Superávit Fondo de Estupefacientes571581421,21</v>
      </c>
      <c r="AV483" t="str">
        <f>+_xlfn.XLOOKUP(AU483,CRUCE!I:I,CRUCE!M:M)</f>
        <v>READY</v>
      </c>
      <c r="AW483" t="s">
        <v>1907</v>
      </c>
      <c r="AX483">
        <f>+SUMIFS(CRUCE!C:C,CRUCE!A:A,D483,CRUCE!B:B,'2021'!H483)</f>
        <v>571581421.21000004</v>
      </c>
    </row>
    <row r="484" spans="1:50" x14ac:dyDescent="0.3">
      <c r="A484">
        <v>2021</v>
      </c>
      <c r="B484">
        <v>318</v>
      </c>
      <c r="C484">
        <v>12100200229</v>
      </c>
      <c r="D484" s="5">
        <v>191</v>
      </c>
      <c r="E484" s="8" t="s">
        <v>892</v>
      </c>
      <c r="F484">
        <v>12100200229</v>
      </c>
      <c r="G484" t="s">
        <v>1910</v>
      </c>
      <c r="H484" s="8" t="s">
        <v>893</v>
      </c>
      <c r="I484" t="s">
        <v>643</v>
      </c>
      <c r="J484" s="11">
        <v>0</v>
      </c>
      <c r="K484" s="11">
        <v>0</v>
      </c>
      <c r="L484" s="11">
        <v>33937548.719999999</v>
      </c>
      <c r="M484" s="11">
        <v>0</v>
      </c>
      <c r="N484" s="11">
        <v>33937548.719999999</v>
      </c>
      <c r="O484" s="11">
        <v>33937548.719999999</v>
      </c>
      <c r="P484" s="11">
        <v>0</v>
      </c>
      <c r="Q484" s="11">
        <v>33937548.719999999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33937548.719999999</v>
      </c>
      <c r="Y484" s="11">
        <v>0</v>
      </c>
      <c r="Z484" s="17">
        <v>33937548.719999999</v>
      </c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11">
        <v>0</v>
      </c>
      <c r="AG484" s="11">
        <v>33937548.719999999</v>
      </c>
      <c r="AH484" s="11">
        <v>0</v>
      </c>
      <c r="AI484" s="12">
        <v>33937548.719999999</v>
      </c>
      <c r="AJ484" s="11">
        <v>33937548.719999999</v>
      </c>
      <c r="AK484" s="11">
        <v>33937548.719999999</v>
      </c>
      <c r="AL484" s="11">
        <v>33937548.719999999</v>
      </c>
      <c r="AM484" s="11">
        <v>0</v>
      </c>
      <c r="AN484" s="11">
        <v>0</v>
      </c>
      <c r="AO484" s="11">
        <v>0</v>
      </c>
      <c r="AP484" s="11">
        <v>0</v>
      </c>
      <c r="AQ484" s="11">
        <v>0</v>
      </c>
      <c r="AR484" s="11">
        <v>0</v>
      </c>
      <c r="AS484" t="s">
        <v>894</v>
      </c>
      <c r="AT484" s="4" t="str">
        <f t="shared" si="85"/>
        <v>Superávit Rentas Cedidas Subcuenta Regimen Subsidiado</v>
      </c>
      <c r="AU484" s="7" t="str">
        <f t="shared" si="86"/>
        <v>191Superávit Rentas Cedidas Subcuenta Regimen Subsidiado33937548,72</v>
      </c>
      <c r="AV484" t="str">
        <f>+_xlfn.XLOOKUP(AU484,CRUCE!I:I,CRUCE!M:M)</f>
        <v>READY</v>
      </c>
      <c r="AW484" t="s">
        <v>1907</v>
      </c>
      <c r="AX484">
        <f>+SUMIFS(CRUCE!C:C,CRUCE!A:A,D484,CRUCE!B:B,'2021'!H484)</f>
        <v>33937548.719999999</v>
      </c>
    </row>
    <row r="485" spans="1:50" x14ac:dyDescent="0.3">
      <c r="A485">
        <v>2021</v>
      </c>
      <c r="B485">
        <v>318</v>
      </c>
      <c r="C485">
        <v>12100200230</v>
      </c>
      <c r="D485" s="5">
        <v>97</v>
      </c>
      <c r="E485" s="8" t="s">
        <v>895</v>
      </c>
      <c r="F485">
        <v>12100200230</v>
      </c>
      <c r="G485" t="s">
        <v>1910</v>
      </c>
      <c r="H485" s="8" t="s">
        <v>896</v>
      </c>
      <c r="I485" t="s">
        <v>643</v>
      </c>
      <c r="J485" s="11">
        <v>0</v>
      </c>
      <c r="K485" s="11">
        <v>0</v>
      </c>
      <c r="L485" s="11">
        <v>3434211.2</v>
      </c>
      <c r="M485" s="11">
        <v>0</v>
      </c>
      <c r="N485" s="11">
        <v>3434211.2</v>
      </c>
      <c r="O485" s="11">
        <v>3434211.2</v>
      </c>
      <c r="P485" s="11">
        <v>0</v>
      </c>
      <c r="Q485" s="11">
        <v>3434211.2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3434211.2</v>
      </c>
      <c r="Y485" s="11">
        <v>0</v>
      </c>
      <c r="Z485" s="17">
        <v>3434211.2</v>
      </c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11">
        <v>0</v>
      </c>
      <c r="AG485" s="11">
        <v>3434211.2</v>
      </c>
      <c r="AH485" s="11">
        <v>0</v>
      </c>
      <c r="AI485" s="12">
        <v>3434211.2</v>
      </c>
      <c r="AJ485" s="11">
        <v>3434211.2</v>
      </c>
      <c r="AK485" s="11">
        <v>3434211.2</v>
      </c>
      <c r="AL485" s="11">
        <v>3434211.2</v>
      </c>
      <c r="AM485" s="11">
        <v>0</v>
      </c>
      <c r="AN485" s="11">
        <v>0</v>
      </c>
      <c r="AO485" s="11">
        <v>0</v>
      </c>
      <c r="AP485" s="11">
        <v>0</v>
      </c>
      <c r="AQ485" s="11">
        <v>0</v>
      </c>
      <c r="AR485" s="11">
        <v>0</v>
      </c>
      <c r="AS485" t="s">
        <v>897</v>
      </c>
      <c r="AT485" s="4" t="str">
        <f t="shared" si="85"/>
        <v>Superávit SGP Prestacion del Servivio</v>
      </c>
      <c r="AU485" s="7" t="str">
        <f t="shared" si="86"/>
        <v>97Superávit SGP Prestacion del Servivio3434211,2</v>
      </c>
      <c r="AV485" t="str">
        <f>+_xlfn.XLOOKUP(AU485,CRUCE!I:I,CRUCE!M:M)</f>
        <v>READY</v>
      </c>
      <c r="AW485" t="s">
        <v>1907</v>
      </c>
      <c r="AX485">
        <f>+SUMIFS(CRUCE!C:C,CRUCE!A:A,D485,CRUCE!B:B,'2021'!H485)</f>
        <v>3434211.2</v>
      </c>
    </row>
    <row r="486" spans="1:50" x14ac:dyDescent="0.3">
      <c r="A486">
        <v>2021</v>
      </c>
      <c r="B486">
        <v>318</v>
      </c>
      <c r="C486">
        <v>12100200231</v>
      </c>
      <c r="D486" s="5">
        <v>192</v>
      </c>
      <c r="E486" s="8" t="s">
        <v>898</v>
      </c>
      <c r="F486">
        <v>12100200231</v>
      </c>
      <c r="G486" t="s">
        <v>1910</v>
      </c>
      <c r="H486" s="8" t="s">
        <v>899</v>
      </c>
      <c r="I486" t="s">
        <v>643</v>
      </c>
      <c r="J486" s="11">
        <v>0</v>
      </c>
      <c r="K486" s="11">
        <v>0</v>
      </c>
      <c r="L486" s="11">
        <v>3039348.21</v>
      </c>
      <c r="M486" s="11">
        <v>0</v>
      </c>
      <c r="N486" s="11">
        <v>3039348.21</v>
      </c>
      <c r="O486" s="11">
        <v>3039348.21</v>
      </c>
      <c r="P486" s="11">
        <v>0</v>
      </c>
      <c r="Q486" s="11">
        <v>3039348.21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3039348.21</v>
      </c>
      <c r="Y486" s="11">
        <v>0</v>
      </c>
      <c r="Z486" s="17">
        <v>3039348.21</v>
      </c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11">
        <v>0</v>
      </c>
      <c r="AG486" s="11">
        <v>3039348.21</v>
      </c>
      <c r="AH486" s="11">
        <v>0</v>
      </c>
      <c r="AI486" s="12">
        <v>3039348.21</v>
      </c>
      <c r="AJ486" s="11">
        <v>3039348.21</v>
      </c>
      <c r="AK486" s="11">
        <v>3039348.21</v>
      </c>
      <c r="AL486" s="11">
        <v>3039348.21</v>
      </c>
      <c r="AM486" s="11">
        <v>0</v>
      </c>
      <c r="AN486" s="11">
        <v>0</v>
      </c>
      <c r="AO486" s="11">
        <v>0</v>
      </c>
      <c r="AP486" s="11">
        <v>0</v>
      </c>
      <c r="AQ486" s="11">
        <v>0</v>
      </c>
      <c r="AR486" s="11">
        <v>0</v>
      </c>
      <c r="AS486" t="s">
        <v>900</v>
      </c>
      <c r="AT486" s="4" t="str">
        <f t="shared" si="85"/>
        <v>Superávit SGP Subsidio de la Oferta</v>
      </c>
      <c r="AU486" s="7" t="str">
        <f t="shared" si="86"/>
        <v>192Superávit SGP Subsidio de la Oferta3039348,21</v>
      </c>
      <c r="AV486" t="str">
        <f>+_xlfn.XLOOKUP(AU486,CRUCE!I:I,CRUCE!M:M)</f>
        <v>READY</v>
      </c>
      <c r="AW486" t="s">
        <v>1907</v>
      </c>
      <c r="AX486">
        <f>+SUMIFS(CRUCE!C:C,CRUCE!A:A,D486,CRUCE!B:B,'2021'!H486)</f>
        <v>3039348.21</v>
      </c>
    </row>
    <row r="487" spans="1:50" x14ac:dyDescent="0.3">
      <c r="A487">
        <v>2021</v>
      </c>
      <c r="B487">
        <v>318</v>
      </c>
      <c r="C487">
        <v>12100200232</v>
      </c>
      <c r="D487" s="5">
        <v>193</v>
      </c>
      <c r="E487" s="8" t="s">
        <v>901</v>
      </c>
      <c r="F487">
        <v>12100200232</v>
      </c>
      <c r="G487" t="s">
        <v>1910</v>
      </c>
      <c r="H487" s="8" t="s">
        <v>902</v>
      </c>
      <c r="I487" t="s">
        <v>643</v>
      </c>
      <c r="J487" s="11">
        <v>0</v>
      </c>
      <c r="K487" s="11">
        <v>0</v>
      </c>
      <c r="L487" s="11">
        <v>1216600524.0999999</v>
      </c>
      <c r="M487" s="11">
        <v>0</v>
      </c>
      <c r="N487" s="11">
        <v>1216600524.0999999</v>
      </c>
      <c r="O487" s="11">
        <v>1216600524.0999999</v>
      </c>
      <c r="P487" s="11">
        <v>0</v>
      </c>
      <c r="Q487" s="11">
        <v>1216600524.0999999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1216600524.0999999</v>
      </c>
      <c r="Y487" s="11">
        <v>0</v>
      </c>
      <c r="Z487" s="17">
        <v>1216600524.0999999</v>
      </c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11">
        <v>0</v>
      </c>
      <c r="AG487" s="11">
        <v>1216600524.0999999</v>
      </c>
      <c r="AH487" s="11">
        <v>0</v>
      </c>
      <c r="AI487" s="12">
        <v>1216600524.0999999</v>
      </c>
      <c r="AJ487" s="11">
        <v>1216600524.0999999</v>
      </c>
      <c r="AK487" s="11">
        <v>1216600524.0999999</v>
      </c>
      <c r="AL487" s="11">
        <v>1216600524.0999999</v>
      </c>
      <c r="AM487" s="11">
        <v>0</v>
      </c>
      <c r="AN487" s="11">
        <v>0</v>
      </c>
      <c r="AO487" s="11">
        <v>0</v>
      </c>
      <c r="AP487" s="11">
        <v>0</v>
      </c>
      <c r="AQ487" s="11">
        <v>0</v>
      </c>
      <c r="AR487" s="11">
        <v>0</v>
      </c>
      <c r="AS487" t="s">
        <v>903</v>
      </c>
      <c r="AT487" s="4" t="str">
        <f t="shared" si="85"/>
        <v>Superávit Rentas Cedidas Prestacion del Servicio</v>
      </c>
      <c r="AU487" s="7" t="str">
        <f t="shared" si="86"/>
        <v>193Superávit Rentas Cedidas Prestacion del Servicio1216600524,1</v>
      </c>
      <c r="AV487" t="str">
        <f>+_xlfn.XLOOKUP(AU487,CRUCE!I:I,CRUCE!M:M)</f>
        <v>READY</v>
      </c>
      <c r="AW487" t="s">
        <v>1907</v>
      </c>
      <c r="AX487">
        <f>+SUMIFS(CRUCE!C:C,CRUCE!A:A,D487,CRUCE!B:B,'2021'!H487)</f>
        <v>1216600524.0999999</v>
      </c>
    </row>
    <row r="488" spans="1:50" x14ac:dyDescent="0.3">
      <c r="A488">
        <v>2021</v>
      </c>
      <c r="B488">
        <v>318</v>
      </c>
      <c r="C488">
        <v>12100200233</v>
      </c>
      <c r="D488" s="5">
        <v>194</v>
      </c>
      <c r="E488" s="8" t="s">
        <v>904</v>
      </c>
      <c r="F488">
        <v>12100200233</v>
      </c>
      <c r="G488" t="s">
        <v>1910</v>
      </c>
      <c r="H488" s="8" t="s">
        <v>905</v>
      </c>
      <c r="I488" t="s">
        <v>643</v>
      </c>
      <c r="J488" s="11">
        <v>0</v>
      </c>
      <c r="K488" s="11">
        <v>0</v>
      </c>
      <c r="L488" s="11">
        <v>22221326.620000001</v>
      </c>
      <c r="M488" s="11">
        <v>0</v>
      </c>
      <c r="N488" s="11">
        <v>22221326.620000001</v>
      </c>
      <c r="O488" s="11">
        <v>22221326.620000001</v>
      </c>
      <c r="P488" s="11">
        <v>0</v>
      </c>
      <c r="Q488" s="11">
        <v>22221326.620000001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22221326.620000001</v>
      </c>
      <c r="Y488" s="11">
        <v>0</v>
      </c>
      <c r="Z488" s="17">
        <v>22221326.620000001</v>
      </c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11">
        <v>0</v>
      </c>
      <c r="AG488" s="11">
        <v>22221326.620000001</v>
      </c>
      <c r="AH488" s="11">
        <v>0</v>
      </c>
      <c r="AI488" s="12">
        <v>22221326.620000001</v>
      </c>
      <c r="AJ488" s="11">
        <v>22221326.620000001</v>
      </c>
      <c r="AK488" s="11">
        <v>22221326.620000001</v>
      </c>
      <c r="AL488" s="11">
        <v>22221326.620000001</v>
      </c>
      <c r="AM488" s="11">
        <v>0</v>
      </c>
      <c r="AN488" s="11">
        <v>0</v>
      </c>
      <c r="AO488" s="11">
        <v>0</v>
      </c>
      <c r="AP488" s="11">
        <v>0</v>
      </c>
      <c r="AQ488" s="11">
        <v>0</v>
      </c>
      <c r="AR488" s="11">
        <v>0</v>
      </c>
      <c r="AS488" t="s">
        <v>906</v>
      </c>
      <c r="AT488" s="4" t="str">
        <f t="shared" si="85"/>
        <v>Superávit Excedentes Aportes Patronales ESE del Departamento</v>
      </c>
      <c r="AU488" s="7" t="str">
        <f t="shared" si="86"/>
        <v>194Superávit Excedentes Aportes Patronales ESE del Departamento22221326,62</v>
      </c>
      <c r="AV488" t="str">
        <f>+_xlfn.XLOOKUP(AU488,CRUCE!I:I,CRUCE!M:M)</f>
        <v>READY</v>
      </c>
      <c r="AW488" t="s">
        <v>1907</v>
      </c>
      <c r="AX488">
        <f>+SUMIFS(CRUCE!C:C,CRUCE!A:A,D488,CRUCE!B:B,'2021'!H488)</f>
        <v>22221326.620000001</v>
      </c>
    </row>
    <row r="489" spans="1:50" hidden="1" x14ac:dyDescent="0.3">
      <c r="A489">
        <v>2021</v>
      </c>
      <c r="B489">
        <v>318</v>
      </c>
      <c r="C489">
        <v>1213</v>
      </c>
      <c r="D489" s="5" t="s">
        <v>44</v>
      </c>
      <c r="E489" s="8" t="s">
        <v>907</v>
      </c>
      <c r="F489">
        <v>1213</v>
      </c>
      <c r="H489" s="8" t="s">
        <v>546</v>
      </c>
      <c r="I489" t="s">
        <v>643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28560</v>
      </c>
      <c r="Y489" s="11">
        <v>28560</v>
      </c>
      <c r="Z489" s="17">
        <v>0</v>
      </c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11">
        <v>0</v>
      </c>
      <c r="AG489" s="11">
        <v>28560</v>
      </c>
      <c r="AH489" s="11">
        <v>28560</v>
      </c>
      <c r="AI489" s="12">
        <v>0</v>
      </c>
      <c r="AJ489" s="11">
        <v>0</v>
      </c>
      <c r="AK489" s="11">
        <v>0</v>
      </c>
      <c r="AL489" s="11">
        <v>0</v>
      </c>
      <c r="AM489" s="11">
        <v>28560</v>
      </c>
      <c r="AN489" s="11">
        <v>28560</v>
      </c>
      <c r="AO489" s="11">
        <v>0</v>
      </c>
      <c r="AP489" s="11">
        <v>28560</v>
      </c>
      <c r="AQ489" s="11">
        <v>0</v>
      </c>
      <c r="AR489" s="11">
        <v>0</v>
      </c>
      <c r="AS489" t="s">
        <v>48</v>
      </c>
      <c r="AT489"/>
    </row>
    <row r="490" spans="1:50" x14ac:dyDescent="0.3">
      <c r="A490">
        <v>2021</v>
      </c>
      <c r="B490">
        <v>318</v>
      </c>
      <c r="C490">
        <v>121301</v>
      </c>
      <c r="D490" s="5">
        <v>63</v>
      </c>
      <c r="E490" s="8" t="s">
        <v>908</v>
      </c>
      <c r="F490">
        <v>121301</v>
      </c>
      <c r="G490" t="s">
        <v>1908</v>
      </c>
      <c r="H490" s="8" t="s">
        <v>459</v>
      </c>
      <c r="I490" t="s">
        <v>643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28560</v>
      </c>
      <c r="Y490" s="11">
        <v>28560</v>
      </c>
      <c r="Z490" s="17">
        <v>0</v>
      </c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11">
        <v>0</v>
      </c>
      <c r="AG490" s="11">
        <v>28560</v>
      </c>
      <c r="AH490" s="11">
        <v>28560</v>
      </c>
      <c r="AI490" s="12">
        <v>0</v>
      </c>
      <c r="AJ490" s="11">
        <v>0</v>
      </c>
      <c r="AK490" s="11">
        <v>0</v>
      </c>
      <c r="AL490" s="11">
        <v>0</v>
      </c>
      <c r="AM490" s="11">
        <v>28560</v>
      </c>
      <c r="AN490" s="11">
        <v>28560</v>
      </c>
      <c r="AO490" s="11">
        <v>0</v>
      </c>
      <c r="AP490" s="11">
        <v>28560</v>
      </c>
      <c r="AQ490" s="11">
        <v>0</v>
      </c>
      <c r="AR490" s="11">
        <v>0</v>
      </c>
      <c r="AS490" t="s">
        <v>716</v>
      </c>
      <c r="AT490" s="4" t="str">
        <f>+H490</f>
        <v>Reintegros</v>
      </c>
      <c r="AU490" s="7" t="str">
        <f>+$D490&amp;$AT490&amp;Z490</f>
        <v>63Reintegros0</v>
      </c>
      <c r="AV490" t="str">
        <f>+_xlfn.XLOOKUP(AU490,CRUCE!I:I,CRUCE!M:M)</f>
        <v>READY</v>
      </c>
      <c r="AW490" t="s">
        <v>1907</v>
      </c>
      <c r="AX490">
        <f>+SUMIFS(CRUCE!C:C,CRUCE!A:A,D490,CRUCE!B:B,'2021'!H490)</f>
        <v>0</v>
      </c>
    </row>
    <row r="491" spans="1:50" hidden="1" x14ac:dyDescent="0.3">
      <c r="A491">
        <v>2021</v>
      </c>
      <c r="B491">
        <v>6</v>
      </c>
      <c r="C491">
        <v>1</v>
      </c>
      <c r="D491" s="5" t="s">
        <v>44</v>
      </c>
      <c r="E491" s="14">
        <v>45297</v>
      </c>
      <c r="F491">
        <v>1</v>
      </c>
      <c r="H491" s="8" t="s">
        <v>46</v>
      </c>
      <c r="I491" t="s">
        <v>909</v>
      </c>
      <c r="J491" s="11">
        <v>98474554259.690002</v>
      </c>
      <c r="K491" s="11">
        <v>98474554259.690002</v>
      </c>
      <c r="L491" s="11">
        <v>15703820307.889999</v>
      </c>
      <c r="M491" s="11">
        <v>0</v>
      </c>
      <c r="N491" s="11">
        <v>15703820307.889999</v>
      </c>
      <c r="O491" s="11">
        <v>15703820307.889999</v>
      </c>
      <c r="P491" s="11">
        <v>0</v>
      </c>
      <c r="Q491" s="11">
        <v>114178374567.58</v>
      </c>
      <c r="R491" s="11">
        <v>0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20138978147.549999</v>
      </c>
      <c r="Y491" s="11">
        <v>0</v>
      </c>
      <c r="Z491" s="17">
        <v>20138978147.549999</v>
      </c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11">
        <v>0</v>
      </c>
      <c r="AG491" s="11">
        <v>20138978147.549999</v>
      </c>
      <c r="AH491" s="11">
        <v>0</v>
      </c>
      <c r="AI491" s="12">
        <v>20138978147.549999</v>
      </c>
      <c r="AJ491" s="11">
        <v>20138978147.549999</v>
      </c>
      <c r="AK491" s="11">
        <v>20039126668.610001</v>
      </c>
      <c r="AL491" s="11">
        <v>20039126668.610001</v>
      </c>
      <c r="AM491" s="11">
        <v>99851478.939999998</v>
      </c>
      <c r="AN491" s="11">
        <v>99851478.939999998</v>
      </c>
      <c r="AO491" s="11">
        <v>0</v>
      </c>
      <c r="AP491" s="11">
        <v>99851478.939999998</v>
      </c>
      <c r="AQ491" s="11">
        <v>0</v>
      </c>
      <c r="AR491" s="11">
        <v>0</v>
      </c>
      <c r="AS491" t="s">
        <v>48</v>
      </c>
      <c r="AT491"/>
    </row>
    <row r="492" spans="1:50" hidden="1" x14ac:dyDescent="0.3">
      <c r="A492">
        <v>2021</v>
      </c>
      <c r="B492">
        <v>6</v>
      </c>
      <c r="C492">
        <v>11</v>
      </c>
      <c r="D492" s="5" t="s">
        <v>44</v>
      </c>
      <c r="E492" s="14">
        <v>45602</v>
      </c>
      <c r="F492">
        <v>11</v>
      </c>
      <c r="H492" s="8" t="s">
        <v>50</v>
      </c>
      <c r="I492" t="s">
        <v>909</v>
      </c>
      <c r="J492" s="11">
        <v>98474554259.690002</v>
      </c>
      <c r="K492" s="11">
        <v>98474554259.690002</v>
      </c>
      <c r="L492" s="11">
        <v>15703820307.889999</v>
      </c>
      <c r="M492" s="11">
        <v>0</v>
      </c>
      <c r="N492" s="11">
        <v>15703820307.889999</v>
      </c>
      <c r="O492" s="11">
        <v>15703820307.889999</v>
      </c>
      <c r="P492" s="11">
        <v>0</v>
      </c>
      <c r="Q492" s="11">
        <v>114178374567.58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20138972528.029999</v>
      </c>
      <c r="Y492" s="11">
        <v>0</v>
      </c>
      <c r="Z492" s="17">
        <v>20138972528.029999</v>
      </c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11">
        <v>0</v>
      </c>
      <c r="AG492" s="11">
        <v>20138972528.029999</v>
      </c>
      <c r="AH492" s="11">
        <v>0</v>
      </c>
      <c r="AI492" s="12">
        <v>20138972528.029999</v>
      </c>
      <c r="AJ492" s="11">
        <v>20138972528.029999</v>
      </c>
      <c r="AK492" s="11">
        <v>20039126668.610001</v>
      </c>
      <c r="AL492" s="11">
        <v>20039126668.610001</v>
      </c>
      <c r="AM492" s="11">
        <v>99845859.420000002</v>
      </c>
      <c r="AN492" s="11">
        <v>99845859.420000002</v>
      </c>
      <c r="AO492" s="11">
        <v>0</v>
      </c>
      <c r="AP492" s="11">
        <v>99845859.420000002</v>
      </c>
      <c r="AQ492" s="11">
        <v>0</v>
      </c>
      <c r="AR492" s="11">
        <v>0</v>
      </c>
      <c r="AS492" t="s">
        <v>48</v>
      </c>
      <c r="AT492"/>
    </row>
    <row r="493" spans="1:50" hidden="1" x14ac:dyDescent="0.3">
      <c r="A493">
        <v>2021</v>
      </c>
      <c r="B493">
        <v>6</v>
      </c>
      <c r="C493">
        <v>1102</v>
      </c>
      <c r="D493" s="5" t="s">
        <v>44</v>
      </c>
      <c r="E493" s="8" t="s">
        <v>910</v>
      </c>
      <c r="F493">
        <v>1102</v>
      </c>
      <c r="H493" s="8" t="s">
        <v>145</v>
      </c>
      <c r="I493" t="s">
        <v>909</v>
      </c>
      <c r="J493" s="11">
        <v>98474554259.690002</v>
      </c>
      <c r="K493" s="11">
        <v>98474554259.690002</v>
      </c>
      <c r="L493" s="11">
        <v>15703820307.889999</v>
      </c>
      <c r="M493" s="11">
        <v>0</v>
      </c>
      <c r="N493" s="11">
        <v>15703820307.889999</v>
      </c>
      <c r="O493" s="11">
        <v>15703820307.889999</v>
      </c>
      <c r="P493" s="11">
        <v>0</v>
      </c>
      <c r="Q493" s="11">
        <v>114178374567.58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20138972528.029999</v>
      </c>
      <c r="Y493" s="11">
        <v>0</v>
      </c>
      <c r="Z493" s="17">
        <v>20138972528.029999</v>
      </c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11">
        <v>0</v>
      </c>
      <c r="AG493" s="11">
        <v>20138972528.029999</v>
      </c>
      <c r="AH493" s="11">
        <v>0</v>
      </c>
      <c r="AI493" s="12">
        <v>20138972528.029999</v>
      </c>
      <c r="AJ493" s="11">
        <v>20138972528.029999</v>
      </c>
      <c r="AK493" s="11">
        <v>20039126668.610001</v>
      </c>
      <c r="AL493" s="11">
        <v>20039126668.610001</v>
      </c>
      <c r="AM493" s="11">
        <v>99845859.420000002</v>
      </c>
      <c r="AN493" s="11">
        <v>99845859.420000002</v>
      </c>
      <c r="AO493" s="11">
        <v>0</v>
      </c>
      <c r="AP493" s="11">
        <v>99845859.420000002</v>
      </c>
      <c r="AQ493" s="11">
        <v>0</v>
      </c>
      <c r="AR493" s="11">
        <v>0</v>
      </c>
      <c r="AS493" t="s">
        <v>48</v>
      </c>
      <c r="AT493"/>
    </row>
    <row r="494" spans="1:50" hidden="1" x14ac:dyDescent="0.3">
      <c r="A494">
        <v>2021</v>
      </c>
      <c r="B494">
        <v>6</v>
      </c>
      <c r="C494">
        <v>110206</v>
      </c>
      <c r="D494" s="5" t="s">
        <v>44</v>
      </c>
      <c r="E494" s="8" t="s">
        <v>911</v>
      </c>
      <c r="F494">
        <v>110206</v>
      </c>
      <c r="H494" s="8" t="s">
        <v>242</v>
      </c>
      <c r="I494" t="s">
        <v>909</v>
      </c>
      <c r="J494" s="11">
        <v>98474554259.690002</v>
      </c>
      <c r="K494" s="11">
        <v>98474554259.690002</v>
      </c>
      <c r="L494" s="11">
        <v>15703820307.889999</v>
      </c>
      <c r="M494" s="11">
        <v>0</v>
      </c>
      <c r="N494" s="11">
        <v>15703820307.889999</v>
      </c>
      <c r="O494" s="11">
        <v>15703820307.889999</v>
      </c>
      <c r="P494" s="11">
        <v>0</v>
      </c>
      <c r="Q494" s="11">
        <v>114178374567.58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20138972528.029999</v>
      </c>
      <c r="Y494" s="11">
        <v>0</v>
      </c>
      <c r="Z494" s="17">
        <v>20138972528.029999</v>
      </c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11">
        <v>0</v>
      </c>
      <c r="AG494" s="11">
        <v>20138972528.029999</v>
      </c>
      <c r="AH494" s="11">
        <v>0</v>
      </c>
      <c r="AI494" s="12">
        <v>20138972528.029999</v>
      </c>
      <c r="AJ494" s="11">
        <v>20138972528.029999</v>
      </c>
      <c r="AK494" s="11">
        <v>20039126668.610001</v>
      </c>
      <c r="AL494" s="11">
        <v>20039126668.610001</v>
      </c>
      <c r="AM494" s="11">
        <v>99845859.420000002</v>
      </c>
      <c r="AN494" s="11">
        <v>99845859.420000002</v>
      </c>
      <c r="AO494" s="11">
        <v>0</v>
      </c>
      <c r="AP494" s="11">
        <v>99845859.420000002</v>
      </c>
      <c r="AQ494" s="11">
        <v>0</v>
      </c>
      <c r="AR494" s="11">
        <v>0</v>
      </c>
      <c r="AS494" t="s">
        <v>48</v>
      </c>
      <c r="AT494"/>
    </row>
    <row r="495" spans="1:50" hidden="1" x14ac:dyDescent="0.3">
      <c r="A495">
        <v>2021</v>
      </c>
      <c r="B495">
        <v>6</v>
      </c>
      <c r="C495">
        <v>110206002</v>
      </c>
      <c r="D495" s="5" t="s">
        <v>44</v>
      </c>
      <c r="E495" s="8" t="s">
        <v>912</v>
      </c>
      <c r="F495">
        <v>110206002</v>
      </c>
      <c r="H495" s="8" t="s">
        <v>913</v>
      </c>
      <c r="I495" t="s">
        <v>909</v>
      </c>
      <c r="J495" s="11">
        <v>98474554259.690002</v>
      </c>
      <c r="K495" s="11">
        <v>98474554259.690002</v>
      </c>
      <c r="L495" s="11">
        <v>15703820307.889999</v>
      </c>
      <c r="M495" s="11">
        <v>0</v>
      </c>
      <c r="N495" s="11">
        <v>15703820307.889999</v>
      </c>
      <c r="O495" s="11">
        <v>15703820307.889999</v>
      </c>
      <c r="P495" s="11">
        <v>0</v>
      </c>
      <c r="Q495" s="11">
        <v>114178374567.58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20138972528.029999</v>
      </c>
      <c r="Y495" s="11">
        <v>0</v>
      </c>
      <c r="Z495" s="17">
        <v>20138972528.029999</v>
      </c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11">
        <v>0</v>
      </c>
      <c r="AG495" s="11">
        <v>20138972528.029999</v>
      </c>
      <c r="AH495" s="11">
        <v>0</v>
      </c>
      <c r="AI495" s="12">
        <v>20138972528.029999</v>
      </c>
      <c r="AJ495" s="11">
        <v>20138972528.029999</v>
      </c>
      <c r="AK495" s="11">
        <v>20039126668.610001</v>
      </c>
      <c r="AL495" s="11">
        <v>20039126668.610001</v>
      </c>
      <c r="AM495" s="11">
        <v>99845859.420000002</v>
      </c>
      <c r="AN495" s="11">
        <v>99845859.420000002</v>
      </c>
      <c r="AO495" s="11">
        <v>0</v>
      </c>
      <c r="AP495" s="11">
        <v>99845859.420000002</v>
      </c>
      <c r="AQ495" s="11">
        <v>0</v>
      </c>
      <c r="AR495" s="11">
        <v>0</v>
      </c>
      <c r="AS495" t="s">
        <v>48</v>
      </c>
      <c r="AT495"/>
    </row>
    <row r="496" spans="1:50" hidden="1" x14ac:dyDescent="0.3">
      <c r="A496">
        <v>2021</v>
      </c>
      <c r="B496">
        <v>6</v>
      </c>
      <c r="C496">
        <v>11020600201</v>
      </c>
      <c r="D496" s="5" t="s">
        <v>44</v>
      </c>
      <c r="E496" s="8" t="s">
        <v>914</v>
      </c>
      <c r="F496">
        <v>11020600201</v>
      </c>
      <c r="H496" s="8" t="s">
        <v>915</v>
      </c>
      <c r="I496" t="s">
        <v>909</v>
      </c>
      <c r="J496" s="11">
        <v>1235060014</v>
      </c>
      <c r="K496" s="11">
        <v>1235060014</v>
      </c>
      <c r="L496" s="11">
        <v>1428177961</v>
      </c>
      <c r="M496" s="11">
        <v>0</v>
      </c>
      <c r="N496" s="11">
        <v>1428177961</v>
      </c>
      <c r="O496" s="11">
        <v>1428177961</v>
      </c>
      <c r="P496" s="11">
        <v>0</v>
      </c>
      <c r="Q496" s="11">
        <v>2663237975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1440761047.1700001</v>
      </c>
      <c r="Y496" s="11">
        <v>0</v>
      </c>
      <c r="Z496" s="17">
        <v>1440761047.1700001</v>
      </c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11">
        <v>0</v>
      </c>
      <c r="AG496" s="11">
        <v>1440761047.1700001</v>
      </c>
      <c r="AH496" s="11">
        <v>0</v>
      </c>
      <c r="AI496" s="12">
        <v>1440761047.1700001</v>
      </c>
      <c r="AJ496" s="11">
        <v>1440761047.1700001</v>
      </c>
      <c r="AK496" s="11">
        <v>1340915187.75</v>
      </c>
      <c r="AL496" s="11">
        <v>1340915187.75</v>
      </c>
      <c r="AM496" s="11">
        <v>99845859.420000002</v>
      </c>
      <c r="AN496" s="11">
        <v>99845859.420000002</v>
      </c>
      <c r="AO496" s="11">
        <v>0</v>
      </c>
      <c r="AP496" s="11">
        <v>99845859.420000002</v>
      </c>
      <c r="AQ496" s="11">
        <v>0</v>
      </c>
      <c r="AR496" s="11">
        <v>0</v>
      </c>
      <c r="AS496" t="s">
        <v>48</v>
      </c>
      <c r="AT496"/>
    </row>
    <row r="497" spans="1:50" x14ac:dyDescent="0.3">
      <c r="A497">
        <v>2021</v>
      </c>
      <c r="B497">
        <v>6</v>
      </c>
      <c r="C497">
        <v>1102060020101</v>
      </c>
      <c r="D497" s="5">
        <v>70</v>
      </c>
      <c r="E497" s="8" t="s">
        <v>916</v>
      </c>
      <c r="F497">
        <v>1102060020101</v>
      </c>
      <c r="G497" t="s">
        <v>1908</v>
      </c>
      <c r="H497" s="8" t="s">
        <v>917</v>
      </c>
      <c r="I497" t="s">
        <v>909</v>
      </c>
      <c r="J497" s="11">
        <v>169768867</v>
      </c>
      <c r="K497" s="11">
        <v>169768867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169768867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148037623</v>
      </c>
      <c r="Y497" s="11">
        <v>0</v>
      </c>
      <c r="Z497" s="17">
        <v>148037623</v>
      </c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11">
        <v>0</v>
      </c>
      <c r="AG497" s="11">
        <v>148037623</v>
      </c>
      <c r="AH497" s="11">
        <v>0</v>
      </c>
      <c r="AI497" s="12">
        <v>148037623</v>
      </c>
      <c r="AJ497" s="11">
        <v>148037623</v>
      </c>
      <c r="AK497" s="11">
        <v>148037623</v>
      </c>
      <c r="AL497" s="11">
        <v>148037623</v>
      </c>
      <c r="AM497" s="11">
        <v>0</v>
      </c>
      <c r="AN497" s="11">
        <v>0</v>
      </c>
      <c r="AO497" s="11">
        <v>0</v>
      </c>
      <c r="AP497" s="11">
        <v>0</v>
      </c>
      <c r="AQ497" s="11">
        <v>0</v>
      </c>
      <c r="AR497" s="11">
        <v>0</v>
      </c>
      <c r="AS497" t="s">
        <v>918</v>
      </c>
      <c r="AT497" s="4" t="str">
        <f t="shared" ref="AT497:AT500" si="87">+H497</f>
        <v>Fortalecimiento de la prestación de servicios de salud y las acciones de Salud Pública durante la pa</v>
      </c>
      <c r="AU497" s="7" t="str">
        <f t="shared" ref="AU497:AU500" si="88">+$D497&amp;$AT497&amp;Z497</f>
        <v>70Fortalecimiento de la prestación de servicios de salud y las acciones de Salud Pública durante la pa148037623</v>
      </c>
      <c r="AV497" t="e">
        <f>+_xlfn.XLOOKUP(AU497,CRUCE!I:I,CRUCE!M:M)</f>
        <v>#N/A</v>
      </c>
      <c r="AW497" t="s">
        <v>1907</v>
      </c>
      <c r="AX497">
        <f>+SUMIFS(CRUCE!C:C,CRUCE!A:A,D497,CRUCE!B:B,'2021'!H497)</f>
        <v>1440761047.1700001</v>
      </c>
    </row>
    <row r="498" spans="1:50" x14ac:dyDescent="0.3">
      <c r="A498">
        <v>2021</v>
      </c>
      <c r="B498">
        <v>6</v>
      </c>
      <c r="C498">
        <v>1102060020102</v>
      </c>
      <c r="D498" s="5">
        <v>70</v>
      </c>
      <c r="E498" s="8" t="s">
        <v>919</v>
      </c>
      <c r="F498">
        <v>1102060020102</v>
      </c>
      <c r="G498" t="s">
        <v>1908</v>
      </c>
      <c r="H498" s="8" t="s">
        <v>920</v>
      </c>
      <c r="I498" t="s">
        <v>909</v>
      </c>
      <c r="J498" s="11">
        <v>0</v>
      </c>
      <c r="K498" s="11">
        <v>0</v>
      </c>
      <c r="L498" s="11">
        <v>1428177961</v>
      </c>
      <c r="M498" s="11">
        <v>0</v>
      </c>
      <c r="N498" s="11">
        <v>1428177961</v>
      </c>
      <c r="O498" s="11">
        <v>1428177961</v>
      </c>
      <c r="P498" s="11">
        <v>0</v>
      </c>
      <c r="Q498" s="11">
        <v>1428177961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240367783.75</v>
      </c>
      <c r="Y498" s="11">
        <v>0</v>
      </c>
      <c r="Z498" s="17">
        <v>240367783.75</v>
      </c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11">
        <v>0</v>
      </c>
      <c r="AG498" s="11">
        <v>240367783.75</v>
      </c>
      <c r="AH498" s="11">
        <v>0</v>
      </c>
      <c r="AI498" s="12">
        <v>240367783.75</v>
      </c>
      <c r="AJ498" s="11">
        <v>240367783.75</v>
      </c>
      <c r="AK498" s="11">
        <v>240367783.75</v>
      </c>
      <c r="AL498" s="11">
        <v>240367783.75</v>
      </c>
      <c r="AM498" s="11">
        <v>0</v>
      </c>
      <c r="AN498" s="11">
        <v>0</v>
      </c>
      <c r="AO498" s="11">
        <v>0</v>
      </c>
      <c r="AP498" s="11">
        <v>0</v>
      </c>
      <c r="AQ498" s="11">
        <v>0</v>
      </c>
      <c r="AR498" s="11">
        <v>0</v>
      </c>
      <c r="AS498" t="s">
        <v>918</v>
      </c>
      <c r="AT498" s="4" t="str">
        <f t="shared" si="87"/>
        <v>Fortalecimiento de la Prestación de Servicios de Salud y las acciones de Salud Pública durante la pa</v>
      </c>
      <c r="AU498" s="7" t="str">
        <f t="shared" si="88"/>
        <v>70Fortalecimiento de la Prestación de Servicios de Salud y las acciones de Salud Pública durante la pa240367783,75</v>
      </c>
      <c r="AV498" t="e">
        <f>+_xlfn.XLOOKUP(AU498,CRUCE!I:I,CRUCE!M:M)</f>
        <v>#N/A</v>
      </c>
      <c r="AW498" t="s">
        <v>1907</v>
      </c>
      <c r="AX498">
        <f>+SUMIFS(CRUCE!C:C,CRUCE!A:A,D498,CRUCE!B:B,'2021'!H498)</f>
        <v>1440761047.1700001</v>
      </c>
    </row>
    <row r="499" spans="1:50" x14ac:dyDescent="0.3">
      <c r="A499">
        <v>2021</v>
      </c>
      <c r="B499">
        <v>6</v>
      </c>
      <c r="C499">
        <v>1102060020103</v>
      </c>
      <c r="D499" s="5">
        <v>70</v>
      </c>
      <c r="E499" s="8" t="s">
        <v>921</v>
      </c>
      <c r="F499">
        <v>1102060020103</v>
      </c>
      <c r="G499" t="s">
        <v>1908</v>
      </c>
      <c r="H499" s="8" t="s">
        <v>917</v>
      </c>
      <c r="I499" t="s">
        <v>909</v>
      </c>
      <c r="J499" s="11">
        <v>1065291147</v>
      </c>
      <c r="K499" s="11">
        <v>1065291147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1065291147</v>
      </c>
      <c r="R499" s="11">
        <v>0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952509781</v>
      </c>
      <c r="Y499" s="11">
        <v>0</v>
      </c>
      <c r="Z499" s="17">
        <v>952509781</v>
      </c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11">
        <v>0</v>
      </c>
      <c r="AG499" s="11">
        <v>952509781</v>
      </c>
      <c r="AH499" s="11">
        <v>0</v>
      </c>
      <c r="AI499" s="12">
        <v>952509781</v>
      </c>
      <c r="AJ499" s="11">
        <v>952509781</v>
      </c>
      <c r="AK499" s="11">
        <v>952509781</v>
      </c>
      <c r="AL499" s="11">
        <v>952509781</v>
      </c>
      <c r="AM499" s="11">
        <v>0</v>
      </c>
      <c r="AN499" s="11">
        <v>0</v>
      </c>
      <c r="AO499" s="11">
        <v>0</v>
      </c>
      <c r="AP499" s="11">
        <v>0</v>
      </c>
      <c r="AQ499" s="11">
        <v>0</v>
      </c>
      <c r="AR499" s="11">
        <v>0</v>
      </c>
      <c r="AS499" t="s">
        <v>918</v>
      </c>
      <c r="AT499" s="4" t="str">
        <f t="shared" si="87"/>
        <v>Fortalecimiento de la prestación de servicios de salud y las acciones de Salud Pública durante la pa</v>
      </c>
      <c r="AU499" s="7" t="str">
        <f t="shared" si="88"/>
        <v>70Fortalecimiento de la prestación de servicios de salud y las acciones de Salud Pública durante la pa952509781</v>
      </c>
      <c r="AV499" t="e">
        <f>+_xlfn.XLOOKUP(AU499,CRUCE!I:I,CRUCE!M:M)</f>
        <v>#N/A</v>
      </c>
      <c r="AW499" t="s">
        <v>1907</v>
      </c>
      <c r="AX499">
        <f>+SUMIFS(CRUCE!C:C,CRUCE!A:A,D499,CRUCE!B:B,'2021'!H499)</f>
        <v>1440761047.1700001</v>
      </c>
    </row>
    <row r="500" spans="1:50" x14ac:dyDescent="0.3">
      <c r="A500">
        <v>2021</v>
      </c>
      <c r="B500">
        <v>6</v>
      </c>
      <c r="C500">
        <v>1102060020104</v>
      </c>
      <c r="D500" s="5">
        <v>70</v>
      </c>
      <c r="E500" s="8" t="s">
        <v>922</v>
      </c>
      <c r="F500">
        <v>1102060020104</v>
      </c>
      <c r="G500" t="s">
        <v>1908</v>
      </c>
      <c r="H500" s="8" t="s">
        <v>923</v>
      </c>
      <c r="I500" t="s">
        <v>909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99845859.420000002</v>
      </c>
      <c r="Y500" s="11">
        <v>0</v>
      </c>
      <c r="Z500" s="17">
        <v>99845859.420000002</v>
      </c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11">
        <v>0</v>
      </c>
      <c r="AG500" s="11">
        <v>99845859.420000002</v>
      </c>
      <c r="AH500" s="11">
        <v>0</v>
      </c>
      <c r="AI500" s="12">
        <v>99845859.420000002</v>
      </c>
      <c r="AJ500" s="11">
        <v>99845859.420000002</v>
      </c>
      <c r="AK500" s="11">
        <v>0</v>
      </c>
      <c r="AL500" s="11">
        <v>0</v>
      </c>
      <c r="AM500" s="11">
        <v>99845859.420000002</v>
      </c>
      <c r="AN500" s="11">
        <v>99845859.420000002</v>
      </c>
      <c r="AO500" s="11">
        <v>0</v>
      </c>
      <c r="AP500" s="11">
        <v>99845859.420000002</v>
      </c>
      <c r="AQ500" s="11">
        <v>0</v>
      </c>
      <c r="AR500" s="11">
        <v>0</v>
      </c>
      <c r="AS500" t="s">
        <v>918</v>
      </c>
      <c r="AT500" s="4" t="str">
        <f t="shared" si="87"/>
        <v>Fortalecimiento de la prestación de servicios de salud y las acciones de salud pública durante la pa</v>
      </c>
      <c r="AU500" s="7" t="str">
        <f t="shared" si="88"/>
        <v>70Fortalecimiento de la prestación de servicios de salud y las acciones de salud pública durante la pa99845859,42</v>
      </c>
      <c r="AV500" t="e">
        <f>+_xlfn.XLOOKUP(AU500,CRUCE!I:I,CRUCE!M:M)</f>
        <v>#N/A</v>
      </c>
      <c r="AW500" t="s">
        <v>1907</v>
      </c>
      <c r="AX500">
        <f>+SUMIFS(CRUCE!C:C,CRUCE!A:A,D500,CRUCE!B:B,'2021'!H500)</f>
        <v>1440761047.1700001</v>
      </c>
    </row>
    <row r="501" spans="1:50" hidden="1" x14ac:dyDescent="0.3">
      <c r="A501">
        <v>2021</v>
      </c>
      <c r="B501">
        <v>6</v>
      </c>
      <c r="C501">
        <v>11020600203</v>
      </c>
      <c r="D501" s="5" t="s">
        <v>44</v>
      </c>
      <c r="E501" s="8" t="s">
        <v>924</v>
      </c>
      <c r="F501">
        <v>11020600203</v>
      </c>
      <c r="H501" s="8" t="s">
        <v>925</v>
      </c>
      <c r="I501" t="s">
        <v>909</v>
      </c>
      <c r="J501" s="11">
        <v>88323019442.690002</v>
      </c>
      <c r="K501" s="11">
        <v>88323019442.690002</v>
      </c>
      <c r="L501" s="11">
        <v>13381865231.889999</v>
      </c>
      <c r="M501" s="11">
        <v>0</v>
      </c>
      <c r="N501" s="11">
        <v>13381865231.889999</v>
      </c>
      <c r="O501" s="11">
        <v>13381865231.889999</v>
      </c>
      <c r="P501" s="11">
        <v>0</v>
      </c>
      <c r="Q501" s="11">
        <v>101704884674.58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13697094673.860001</v>
      </c>
      <c r="Y501" s="11">
        <v>0</v>
      </c>
      <c r="Z501" s="17">
        <v>13697094673.860001</v>
      </c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11">
        <v>0</v>
      </c>
      <c r="AG501" s="11">
        <v>13697094673.860001</v>
      </c>
      <c r="AH501" s="11">
        <v>0</v>
      </c>
      <c r="AI501" s="12">
        <v>13697094673.860001</v>
      </c>
      <c r="AJ501" s="11">
        <v>13697094673.860001</v>
      </c>
      <c r="AK501" s="11">
        <v>13697094673.860001</v>
      </c>
      <c r="AL501" s="11">
        <v>13697094673.860001</v>
      </c>
      <c r="AM501" s="11">
        <v>0</v>
      </c>
      <c r="AN501" s="11">
        <v>0</v>
      </c>
      <c r="AO501" s="11">
        <v>0</v>
      </c>
      <c r="AP501" s="11">
        <v>0</v>
      </c>
      <c r="AQ501" s="11">
        <v>0</v>
      </c>
      <c r="AR501" s="11">
        <v>0</v>
      </c>
      <c r="AS501" t="s">
        <v>48</v>
      </c>
      <c r="AT501"/>
    </row>
    <row r="502" spans="1:50" x14ac:dyDescent="0.3">
      <c r="A502">
        <v>2021</v>
      </c>
      <c r="B502">
        <v>6</v>
      </c>
      <c r="C502">
        <v>1102060020304</v>
      </c>
      <c r="D502" s="5">
        <v>70</v>
      </c>
      <c r="E502" s="8" t="s">
        <v>926</v>
      </c>
      <c r="F502">
        <v>1102060020304</v>
      </c>
      <c r="G502" t="s">
        <v>1908</v>
      </c>
      <c r="H502" s="8" t="s">
        <v>927</v>
      </c>
      <c r="I502" t="s">
        <v>909</v>
      </c>
      <c r="J502" s="11">
        <v>5379226408.6599998</v>
      </c>
      <c r="K502" s="11">
        <v>5379226408.6599998</v>
      </c>
      <c r="L502" s="11">
        <v>839109824</v>
      </c>
      <c r="M502" s="11">
        <v>0</v>
      </c>
      <c r="N502" s="11">
        <v>839109824</v>
      </c>
      <c r="O502" s="11">
        <v>839109824</v>
      </c>
      <c r="P502" s="11">
        <v>0</v>
      </c>
      <c r="Q502" s="11">
        <v>6218336232.6599998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3342280963.52</v>
      </c>
      <c r="Y502" s="11">
        <v>0</v>
      </c>
      <c r="Z502" s="17">
        <v>3342280963.52</v>
      </c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3342280963.52</v>
      </c>
      <c r="AH502" s="11">
        <v>0</v>
      </c>
      <c r="AI502" s="12">
        <v>3342280963.52</v>
      </c>
      <c r="AJ502" s="11">
        <v>3342280963.52</v>
      </c>
      <c r="AK502" s="11">
        <v>3342280963.52</v>
      </c>
      <c r="AL502" s="11">
        <v>3342280963.52</v>
      </c>
      <c r="AM502" s="11">
        <v>0</v>
      </c>
      <c r="AN502" s="11">
        <v>0</v>
      </c>
      <c r="AO502" s="11">
        <v>0</v>
      </c>
      <c r="AP502" s="11">
        <v>0</v>
      </c>
      <c r="AQ502" s="11">
        <v>0</v>
      </c>
      <c r="AR502" s="11">
        <v>0</v>
      </c>
      <c r="AS502" t="s">
        <v>918</v>
      </c>
      <c r="AT502" s="4" t="str">
        <f t="shared" ref="AT502:AT519" si="89">+H502</f>
        <v xml:space="preserve">Remodelación, modernización y equipamiento de áreas resultantes del reforzamiento estructural y del </v>
      </c>
      <c r="AU502" s="7" t="str">
        <f t="shared" ref="AU502:AU519" si="90">+$D502&amp;$AT502&amp;Z502</f>
        <v>70Remodelación, modernización y equipamiento de áreas resultantes del reforzamiento estructural y del 3342280963,52</v>
      </c>
      <c r="AV502" t="str">
        <f>+_xlfn.XLOOKUP(AU502,CRUCE!I:I,CRUCE!M:M)</f>
        <v>READY</v>
      </c>
      <c r="AW502" t="s">
        <v>1907</v>
      </c>
      <c r="AX502">
        <f>+SUMIFS(CRUCE!C:C,CRUCE!A:A,D502,CRUCE!B:B,'2021'!H502)</f>
        <v>3342280963.52</v>
      </c>
    </row>
    <row r="503" spans="1:50" x14ac:dyDescent="0.3">
      <c r="A503">
        <v>2021</v>
      </c>
      <c r="B503">
        <v>6</v>
      </c>
      <c r="C503">
        <v>1102060020306</v>
      </c>
      <c r="D503" s="5">
        <v>70</v>
      </c>
      <c r="E503" s="8" t="s">
        <v>928</v>
      </c>
      <c r="F503">
        <v>1102060020306</v>
      </c>
      <c r="G503" t="s">
        <v>1908</v>
      </c>
      <c r="H503" s="8" t="s">
        <v>929</v>
      </c>
      <c r="I503" t="s">
        <v>909</v>
      </c>
      <c r="J503" s="11">
        <v>2714111</v>
      </c>
      <c r="K503" s="11">
        <v>2714111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2714111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7">
        <v>0</v>
      </c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0</v>
      </c>
      <c r="AI503" s="12">
        <v>0</v>
      </c>
      <c r="AJ503" s="11">
        <v>0</v>
      </c>
      <c r="AK503" s="11">
        <v>0</v>
      </c>
      <c r="AL503" s="11">
        <v>0</v>
      </c>
      <c r="AM503" s="11">
        <v>0</v>
      </c>
      <c r="AN503" s="11">
        <v>0</v>
      </c>
      <c r="AO503" s="11">
        <v>0</v>
      </c>
      <c r="AP503" s="11">
        <v>0</v>
      </c>
      <c r="AQ503" s="11">
        <v>0</v>
      </c>
      <c r="AR503" s="11">
        <v>0</v>
      </c>
      <c r="AS503" t="s">
        <v>918</v>
      </c>
      <c r="AT503" s="4" t="str">
        <f t="shared" si="89"/>
        <v xml:space="preserve">Fortalecimiento de la Calidad educativa en las instituciones educativas, mediante la incorpación de </v>
      </c>
      <c r="AU503" s="7" t="str">
        <f t="shared" si="90"/>
        <v>70Fortalecimiento de la Calidad educativa en las instituciones educativas, mediante la incorpación de 0</v>
      </c>
      <c r="AV503" t="str">
        <f>+_xlfn.XLOOKUP(AU503,CRUCE!I:I,CRUCE!M:M)</f>
        <v>READY</v>
      </c>
      <c r="AW503" t="s">
        <v>1907</v>
      </c>
      <c r="AX503">
        <f>+SUMIFS(CRUCE!C:C,CRUCE!A:A,D503,CRUCE!B:B,'2021'!H503)</f>
        <v>0</v>
      </c>
    </row>
    <row r="504" spans="1:50" x14ac:dyDescent="0.3">
      <c r="A504">
        <v>2021</v>
      </c>
      <c r="B504">
        <v>6</v>
      </c>
      <c r="C504">
        <v>1102060020308</v>
      </c>
      <c r="D504" s="5">
        <v>70</v>
      </c>
      <c r="E504" s="8" t="s">
        <v>930</v>
      </c>
      <c r="F504">
        <v>1102060020308</v>
      </c>
      <c r="G504" t="s">
        <v>1908</v>
      </c>
      <c r="H504" s="8" t="s">
        <v>931</v>
      </c>
      <c r="I504" t="s">
        <v>909</v>
      </c>
      <c r="J504" s="11">
        <v>0</v>
      </c>
      <c r="K504" s="11">
        <v>0</v>
      </c>
      <c r="L504" s="11">
        <v>7199513365.8900003</v>
      </c>
      <c r="M504" s="11">
        <v>0</v>
      </c>
      <c r="N504" s="11">
        <v>7199513365.8900003</v>
      </c>
      <c r="O504" s="11">
        <v>7199513365.8900003</v>
      </c>
      <c r="P504" s="11">
        <v>0</v>
      </c>
      <c r="Q504" s="11">
        <v>7199513365.8900003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142000000</v>
      </c>
      <c r="Y504" s="11">
        <v>0</v>
      </c>
      <c r="Z504" s="17">
        <v>142000000</v>
      </c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11">
        <v>0</v>
      </c>
      <c r="AG504" s="11">
        <v>142000000</v>
      </c>
      <c r="AH504" s="11">
        <v>0</v>
      </c>
      <c r="AI504" s="12">
        <v>142000000</v>
      </c>
      <c r="AJ504" s="11">
        <v>142000000</v>
      </c>
      <c r="AK504" s="11">
        <v>142000000</v>
      </c>
      <c r="AL504" s="11">
        <v>142000000</v>
      </c>
      <c r="AM504" s="11">
        <v>0</v>
      </c>
      <c r="AN504" s="11">
        <v>0</v>
      </c>
      <c r="AO504" s="11">
        <v>0</v>
      </c>
      <c r="AP504" s="11">
        <v>0</v>
      </c>
      <c r="AQ504" s="11">
        <v>0</v>
      </c>
      <c r="AR504" s="11">
        <v>0</v>
      </c>
      <c r="AS504" t="s">
        <v>918</v>
      </c>
      <c r="AT504" s="4" t="str">
        <f t="shared" si="89"/>
        <v xml:space="preserve">Desarrollo de Instrumentos y Herramientas para la planeación y gestión del ordenamiento territorial </v>
      </c>
      <c r="AU504" s="7" t="str">
        <f t="shared" si="90"/>
        <v>70Desarrollo de Instrumentos y Herramientas para la planeación y gestión del ordenamiento territorial 142000000</v>
      </c>
      <c r="AV504" t="str">
        <f>+_xlfn.XLOOKUP(AU504,CRUCE!I:I,CRUCE!M:M)</f>
        <v>READY</v>
      </c>
      <c r="AW504" t="s">
        <v>1907</v>
      </c>
      <c r="AX504">
        <f>+SUMIFS(CRUCE!C:C,CRUCE!A:A,D504,CRUCE!B:B,'2021'!H504)</f>
        <v>142000000</v>
      </c>
    </row>
    <row r="505" spans="1:50" x14ac:dyDescent="0.3">
      <c r="A505">
        <v>2021</v>
      </c>
      <c r="B505">
        <v>6</v>
      </c>
      <c r="C505">
        <v>1102060020312</v>
      </c>
      <c r="D505" s="5">
        <v>70</v>
      </c>
      <c r="E505" s="8" t="s">
        <v>932</v>
      </c>
      <c r="F505">
        <v>1102060020312</v>
      </c>
      <c r="G505" t="s">
        <v>1908</v>
      </c>
      <c r="H505" s="8" t="s">
        <v>933</v>
      </c>
      <c r="I505" t="s">
        <v>909</v>
      </c>
      <c r="J505" s="11">
        <v>202706925.94</v>
      </c>
      <c r="K505" s="11">
        <v>202706925.94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202706925.94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7">
        <v>0</v>
      </c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11">
        <v>0</v>
      </c>
      <c r="AG505" s="11">
        <v>0</v>
      </c>
      <c r="AH505" s="11">
        <v>0</v>
      </c>
      <c r="AI505" s="12">
        <v>0</v>
      </c>
      <c r="AJ505" s="11">
        <v>0</v>
      </c>
      <c r="AK505" s="11">
        <v>0</v>
      </c>
      <c r="AL505" s="11">
        <v>0</v>
      </c>
      <c r="AM505" s="11">
        <v>0</v>
      </c>
      <c r="AN505" s="11">
        <v>0</v>
      </c>
      <c r="AO505" s="11">
        <v>0</v>
      </c>
      <c r="AP505" s="11">
        <v>0</v>
      </c>
      <c r="AQ505" s="11">
        <v>0</v>
      </c>
      <c r="AR505" s="11">
        <v>0</v>
      </c>
      <c r="AS505" t="s">
        <v>918</v>
      </c>
      <c r="AT505" s="4" t="str">
        <f t="shared" si="89"/>
        <v>Mantenimiento, mejoramiento y/o rehabilitación de  obras físicas de infraestructura deportiva y recr</v>
      </c>
      <c r="AU505" s="7" t="str">
        <f t="shared" si="90"/>
        <v>70Mantenimiento, mejoramiento y/o rehabilitación de  obras físicas de infraestructura deportiva y recr0</v>
      </c>
      <c r="AV505" t="str">
        <f>+_xlfn.XLOOKUP(AU505,CRUCE!I:I,CRUCE!M:M)</f>
        <v>READY</v>
      </c>
      <c r="AW505" t="s">
        <v>1907</v>
      </c>
      <c r="AX505">
        <f>+SUMIFS(CRUCE!C:C,CRUCE!A:A,D505,CRUCE!B:B,'2021'!H505)</f>
        <v>0</v>
      </c>
    </row>
    <row r="506" spans="1:50" x14ac:dyDescent="0.3">
      <c r="A506">
        <v>2021</v>
      </c>
      <c r="B506">
        <v>6</v>
      </c>
      <c r="C506">
        <v>1102060020314</v>
      </c>
      <c r="D506" s="5">
        <v>70</v>
      </c>
      <c r="E506" s="8" t="s">
        <v>934</v>
      </c>
      <c r="F506">
        <v>1102060020314</v>
      </c>
      <c r="G506" t="s">
        <v>1908</v>
      </c>
      <c r="H506" s="8" t="s">
        <v>935</v>
      </c>
      <c r="I506" t="s">
        <v>909</v>
      </c>
      <c r="J506" s="11">
        <v>7739633587</v>
      </c>
      <c r="K506" s="11">
        <v>7739633587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7739633587</v>
      </c>
      <c r="R506" s="11">
        <v>0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7">
        <v>0</v>
      </c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11">
        <v>0</v>
      </c>
      <c r="AG506" s="11">
        <v>0</v>
      </c>
      <c r="AH506" s="11">
        <v>0</v>
      </c>
      <c r="AI506" s="12">
        <v>0</v>
      </c>
      <c r="AJ506" s="11">
        <v>0</v>
      </c>
      <c r="AK506" s="11">
        <v>0</v>
      </c>
      <c r="AL506" s="11">
        <v>0</v>
      </c>
      <c r="AM506" s="11">
        <v>0</v>
      </c>
      <c r="AN506" s="11">
        <v>0</v>
      </c>
      <c r="AO506" s="11">
        <v>0</v>
      </c>
      <c r="AP506" s="11">
        <v>0</v>
      </c>
      <c r="AQ506" s="11">
        <v>0</v>
      </c>
      <c r="AR506" s="11">
        <v>0</v>
      </c>
      <c r="AS506" t="s">
        <v>918</v>
      </c>
      <c r="AT506" s="4" t="str">
        <f t="shared" si="89"/>
        <v>Generación de instrumentos de valoración de la amenaza sísmica para el desarrollo de procesos de red</v>
      </c>
      <c r="AU506" s="7" t="str">
        <f t="shared" si="90"/>
        <v>70Generación de instrumentos de valoración de la amenaza sísmica para el desarrollo de procesos de red0</v>
      </c>
      <c r="AV506" t="str">
        <f>+_xlfn.XLOOKUP(AU506,CRUCE!I:I,CRUCE!M:M)</f>
        <v>READY</v>
      </c>
      <c r="AW506" t="s">
        <v>1907</v>
      </c>
      <c r="AX506">
        <f>+SUMIFS(CRUCE!C:C,CRUCE!A:A,D506,CRUCE!B:B,'2021'!H506)</f>
        <v>0</v>
      </c>
    </row>
    <row r="507" spans="1:50" x14ac:dyDescent="0.3">
      <c r="A507">
        <v>2021</v>
      </c>
      <c r="B507">
        <v>6</v>
      </c>
      <c r="C507">
        <v>1102060020315</v>
      </c>
      <c r="D507" s="5">
        <v>70</v>
      </c>
      <c r="E507" s="8" t="s">
        <v>936</v>
      </c>
      <c r="F507">
        <v>1102060020315</v>
      </c>
      <c r="G507" t="s">
        <v>1908</v>
      </c>
      <c r="H507" s="8" t="s">
        <v>937</v>
      </c>
      <c r="I507" t="s">
        <v>909</v>
      </c>
      <c r="J507" s="11">
        <v>13686340513</v>
      </c>
      <c r="K507" s="11">
        <v>13686340513</v>
      </c>
      <c r="L507" s="11">
        <v>2502943338</v>
      </c>
      <c r="M507" s="11">
        <v>0</v>
      </c>
      <c r="N507" s="11">
        <v>2502943338</v>
      </c>
      <c r="O507" s="11">
        <v>2502943338</v>
      </c>
      <c r="P507" s="11">
        <v>0</v>
      </c>
      <c r="Q507" s="11">
        <v>16189283851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851770533</v>
      </c>
      <c r="Y507" s="11">
        <v>0</v>
      </c>
      <c r="Z507" s="17">
        <v>851770533</v>
      </c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11">
        <v>0</v>
      </c>
      <c r="AG507" s="11">
        <v>851770533</v>
      </c>
      <c r="AH507" s="11">
        <v>0</v>
      </c>
      <c r="AI507" s="12">
        <v>851770533</v>
      </c>
      <c r="AJ507" s="11">
        <v>851770533</v>
      </c>
      <c r="AK507" s="11">
        <v>851770533</v>
      </c>
      <c r="AL507" s="11">
        <v>851770533</v>
      </c>
      <c r="AM507" s="11">
        <v>0</v>
      </c>
      <c r="AN507" s="11">
        <v>0</v>
      </c>
      <c r="AO507" s="11">
        <v>0</v>
      </c>
      <c r="AP507" s="11">
        <v>0</v>
      </c>
      <c r="AQ507" s="11">
        <v>0</v>
      </c>
      <c r="AR507" s="11">
        <v>0</v>
      </c>
      <c r="AS507" t="s">
        <v>918</v>
      </c>
      <c r="AT507" s="4" t="str">
        <f t="shared" si="89"/>
        <v>Implementación de Acciones de Adaptación Etapa I del Plan de Gestión Integral del Cambio Climático (</v>
      </c>
      <c r="AU507" s="7" t="str">
        <f t="shared" si="90"/>
        <v>70Implementación de Acciones de Adaptación Etapa I del Plan de Gestión Integral del Cambio Climático (851770533</v>
      </c>
      <c r="AV507" t="str">
        <f>+_xlfn.XLOOKUP(AU507,CRUCE!I:I,CRUCE!M:M)</f>
        <v>READY</v>
      </c>
      <c r="AW507" t="s">
        <v>1907</v>
      </c>
      <c r="AX507">
        <f>+SUMIFS(CRUCE!C:C,CRUCE!A:A,D507,CRUCE!B:B,'2021'!H507)</f>
        <v>851770533</v>
      </c>
    </row>
    <row r="508" spans="1:50" x14ac:dyDescent="0.3">
      <c r="A508">
        <v>2021</v>
      </c>
      <c r="B508">
        <v>6</v>
      </c>
      <c r="C508">
        <v>1102060020328</v>
      </c>
      <c r="D508" s="5">
        <v>70</v>
      </c>
      <c r="E508" s="8" t="s">
        <v>938</v>
      </c>
      <c r="F508">
        <v>1102060020328</v>
      </c>
      <c r="G508" t="s">
        <v>1908</v>
      </c>
      <c r="H508" s="8" t="s">
        <v>939</v>
      </c>
      <c r="I508" t="s">
        <v>909</v>
      </c>
      <c r="J508" s="11">
        <v>5785349332</v>
      </c>
      <c r="K508" s="11">
        <v>5785349332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5785349332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53806333</v>
      </c>
      <c r="Y508" s="11">
        <v>0</v>
      </c>
      <c r="Z508" s="17">
        <v>53806333</v>
      </c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11">
        <v>0</v>
      </c>
      <c r="AG508" s="11">
        <v>53806333</v>
      </c>
      <c r="AH508" s="11">
        <v>0</v>
      </c>
      <c r="AI508" s="12">
        <v>53806333</v>
      </c>
      <c r="AJ508" s="11">
        <v>53806333</v>
      </c>
      <c r="AK508" s="11">
        <v>53806333</v>
      </c>
      <c r="AL508" s="11">
        <v>53806333</v>
      </c>
      <c r="AM508" s="11">
        <v>0</v>
      </c>
      <c r="AN508" s="11">
        <v>0</v>
      </c>
      <c r="AO508" s="11">
        <v>0</v>
      </c>
      <c r="AP508" s="11">
        <v>0</v>
      </c>
      <c r="AQ508" s="11">
        <v>0</v>
      </c>
      <c r="AR508" s="11">
        <v>0</v>
      </c>
      <c r="AS508" t="s">
        <v>918</v>
      </c>
      <c r="AT508" s="4" t="str">
        <f t="shared" si="89"/>
        <v>Implementación del Prgrama Integral de Bilinguismo Quindio Bilingue y Competitivo en el Departamento</v>
      </c>
      <c r="AU508" s="7" t="str">
        <f t="shared" si="90"/>
        <v>70Implementación del Prgrama Integral de Bilinguismo Quindio Bilingue y Competitivo en el Departamento53806333</v>
      </c>
      <c r="AV508" t="str">
        <f>+_xlfn.XLOOKUP(AU508,CRUCE!I:I,CRUCE!M:M)</f>
        <v>READY</v>
      </c>
      <c r="AW508" t="s">
        <v>1907</v>
      </c>
      <c r="AX508">
        <f>+SUMIFS(CRUCE!C:C,CRUCE!A:A,D508,CRUCE!B:B,'2021'!H508)</f>
        <v>53806333</v>
      </c>
    </row>
    <row r="509" spans="1:50" x14ac:dyDescent="0.3">
      <c r="A509">
        <v>2021</v>
      </c>
      <c r="B509">
        <v>6</v>
      </c>
      <c r="C509">
        <v>1102060020329</v>
      </c>
      <c r="D509" s="5">
        <v>70</v>
      </c>
      <c r="E509" s="8" t="s">
        <v>940</v>
      </c>
      <c r="F509">
        <v>1102060020329</v>
      </c>
      <c r="G509" t="s">
        <v>1908</v>
      </c>
      <c r="H509" s="8" t="s">
        <v>941</v>
      </c>
      <c r="I509" t="s">
        <v>909</v>
      </c>
      <c r="J509" s="11">
        <v>179946655.40000001</v>
      </c>
      <c r="K509" s="11">
        <v>179946655.40000001</v>
      </c>
      <c r="L509" s="11">
        <v>295352181</v>
      </c>
      <c r="M509" s="11">
        <v>0</v>
      </c>
      <c r="N509" s="11">
        <v>295352181</v>
      </c>
      <c r="O509" s="11">
        <v>295352181</v>
      </c>
      <c r="P509" s="11">
        <v>0</v>
      </c>
      <c r="Q509" s="11">
        <v>475298836.39999998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7">
        <v>0</v>
      </c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11">
        <v>0</v>
      </c>
      <c r="AG509" s="11">
        <v>0</v>
      </c>
      <c r="AH509" s="11">
        <v>0</v>
      </c>
      <c r="AI509" s="12">
        <v>0</v>
      </c>
      <c r="AJ509" s="11">
        <v>0</v>
      </c>
      <c r="AK509" s="11">
        <v>0</v>
      </c>
      <c r="AL509" s="11">
        <v>0</v>
      </c>
      <c r="AM509" s="11">
        <v>0</v>
      </c>
      <c r="AN509" s="11">
        <v>0</v>
      </c>
      <c r="AO509" s="11">
        <v>0</v>
      </c>
      <c r="AP509" s="11">
        <v>0</v>
      </c>
      <c r="AQ509" s="11">
        <v>0</v>
      </c>
      <c r="AR509" s="11">
        <v>0</v>
      </c>
      <c r="AS509" t="s">
        <v>918</v>
      </c>
      <c r="AT509" s="4" t="str">
        <f t="shared" si="89"/>
        <v>Construcción de pavimento en concreto asfaltico para el desarrollo regional y la conectividad  en lo</v>
      </c>
      <c r="AU509" s="7" t="str">
        <f t="shared" si="90"/>
        <v>70Construcción de pavimento en concreto asfaltico para el desarrollo regional y la conectividad  en lo0</v>
      </c>
      <c r="AV509" t="str">
        <f>+_xlfn.XLOOKUP(AU509,CRUCE!I:I,CRUCE!M:M)</f>
        <v>READY</v>
      </c>
      <c r="AW509" t="s">
        <v>1907</v>
      </c>
      <c r="AX509">
        <f>+SUMIFS(CRUCE!C:C,CRUCE!A:A,D509,CRUCE!B:B,'2021'!H509)</f>
        <v>0</v>
      </c>
    </row>
    <row r="510" spans="1:50" x14ac:dyDescent="0.3">
      <c r="A510">
        <v>2021</v>
      </c>
      <c r="B510">
        <v>6</v>
      </c>
      <c r="C510">
        <v>1102060020334</v>
      </c>
      <c r="D510" s="5">
        <v>70</v>
      </c>
      <c r="E510" s="8" t="s">
        <v>942</v>
      </c>
      <c r="F510">
        <v>1102060020334</v>
      </c>
      <c r="G510" t="s">
        <v>1908</v>
      </c>
      <c r="H510" s="8" t="s">
        <v>943</v>
      </c>
      <c r="I510" t="s">
        <v>909</v>
      </c>
      <c r="J510" s="11">
        <v>10046273.300000001</v>
      </c>
      <c r="K510" s="11">
        <v>10046273.300000001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10046273.300000001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7">
        <v>0</v>
      </c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11">
        <v>0</v>
      </c>
      <c r="AG510" s="11">
        <v>0</v>
      </c>
      <c r="AH510" s="11">
        <v>0</v>
      </c>
      <c r="AI510" s="12">
        <v>0</v>
      </c>
      <c r="AJ510" s="11">
        <v>0</v>
      </c>
      <c r="AK510" s="11">
        <v>0</v>
      </c>
      <c r="AL510" s="11">
        <v>0</v>
      </c>
      <c r="AM510" s="11">
        <v>0</v>
      </c>
      <c r="AN510" s="11">
        <v>0</v>
      </c>
      <c r="AO510" s="11">
        <v>0</v>
      </c>
      <c r="AP510" s="11">
        <v>0</v>
      </c>
      <c r="AQ510" s="11">
        <v>0</v>
      </c>
      <c r="AR510" s="11">
        <v>0</v>
      </c>
      <c r="AS510" t="s">
        <v>918</v>
      </c>
      <c r="AT510" s="4" t="str">
        <f t="shared" si="89"/>
        <v>Mejoramiento de Vías Terciarias Mediante el Uso de Placa Huella en el Departamento de Quindio (Proye</v>
      </c>
      <c r="AU510" s="7" t="str">
        <f t="shared" si="90"/>
        <v>70Mejoramiento de Vías Terciarias Mediante el Uso de Placa Huella en el Departamento de Quindio (Proye0</v>
      </c>
      <c r="AV510" t="str">
        <f>+_xlfn.XLOOKUP(AU510,CRUCE!I:I,CRUCE!M:M)</f>
        <v>READY</v>
      </c>
      <c r="AW510" t="s">
        <v>1907</v>
      </c>
      <c r="AX510">
        <f>+SUMIFS(CRUCE!C:C,CRUCE!A:A,D510,CRUCE!B:B,'2021'!H510)</f>
        <v>0</v>
      </c>
    </row>
    <row r="511" spans="1:50" x14ac:dyDescent="0.3">
      <c r="A511">
        <v>2021</v>
      </c>
      <c r="B511">
        <v>6</v>
      </c>
      <c r="C511">
        <v>1102060020338</v>
      </c>
      <c r="D511" s="5">
        <v>70</v>
      </c>
      <c r="E511" s="8" t="s">
        <v>944</v>
      </c>
      <c r="F511">
        <v>1102060020338</v>
      </c>
      <c r="G511" t="s">
        <v>1908</v>
      </c>
      <c r="H511" s="8" t="s">
        <v>945</v>
      </c>
      <c r="I511" t="s">
        <v>909</v>
      </c>
      <c r="J511" s="11">
        <v>502410770.13</v>
      </c>
      <c r="K511" s="11">
        <v>502410770.13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502410770.13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423928133.81</v>
      </c>
      <c r="Y511" s="11">
        <v>0</v>
      </c>
      <c r="Z511" s="17">
        <v>423928133.81</v>
      </c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11">
        <v>0</v>
      </c>
      <c r="AG511" s="11">
        <v>423928133.81</v>
      </c>
      <c r="AH511" s="11">
        <v>0</v>
      </c>
      <c r="AI511" s="12">
        <v>423928133.81</v>
      </c>
      <c r="AJ511" s="11">
        <v>423928133.81</v>
      </c>
      <c r="AK511" s="11">
        <v>423928133.81</v>
      </c>
      <c r="AL511" s="11">
        <v>423928133.81</v>
      </c>
      <c r="AM511" s="11">
        <v>0</v>
      </c>
      <c r="AN511" s="11">
        <v>0</v>
      </c>
      <c r="AO511" s="11">
        <v>0</v>
      </c>
      <c r="AP511" s="11">
        <v>0</v>
      </c>
      <c r="AQ511" s="11">
        <v>0</v>
      </c>
      <c r="AR511" s="11">
        <v>0</v>
      </c>
      <c r="AS511" t="s">
        <v>918</v>
      </c>
      <c r="AT511" s="4" t="str">
        <f t="shared" si="89"/>
        <v>Remodelación y Optimización de Escenarios Deportivos, Obras de Urbanismo Complementarias y Movilidad</v>
      </c>
      <c r="AU511" s="7" t="str">
        <f t="shared" si="90"/>
        <v>70Remodelación y Optimización de Escenarios Deportivos, Obras de Urbanismo Complementarias y Movilidad423928133,81</v>
      </c>
      <c r="AV511" t="str">
        <f>+_xlfn.XLOOKUP(AU511,CRUCE!I:I,CRUCE!M:M)</f>
        <v>READY</v>
      </c>
      <c r="AW511" t="s">
        <v>1907</v>
      </c>
      <c r="AX511">
        <f>+SUMIFS(CRUCE!C:C,CRUCE!A:A,D511,CRUCE!B:B,'2021'!H511)</f>
        <v>423928133.81</v>
      </c>
    </row>
    <row r="512" spans="1:50" x14ac:dyDescent="0.3">
      <c r="A512">
        <v>2021</v>
      </c>
      <c r="B512">
        <v>6</v>
      </c>
      <c r="C512">
        <v>1102060020342</v>
      </c>
      <c r="D512" s="5">
        <v>70</v>
      </c>
      <c r="E512" s="8" t="s">
        <v>946</v>
      </c>
      <c r="F512">
        <v>1102060020342</v>
      </c>
      <c r="G512" t="s">
        <v>1908</v>
      </c>
      <c r="H512" s="8" t="s">
        <v>947</v>
      </c>
      <c r="I512" t="s">
        <v>909</v>
      </c>
      <c r="J512" s="11">
        <v>17217114069.25</v>
      </c>
      <c r="K512" s="11">
        <v>17217114069.25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17217114069.25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392656792.43000001</v>
      </c>
      <c r="Y512" s="11">
        <v>0</v>
      </c>
      <c r="Z512" s="17">
        <v>392656792.43000001</v>
      </c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11">
        <v>0</v>
      </c>
      <c r="AG512" s="11">
        <v>392656792.43000001</v>
      </c>
      <c r="AH512" s="11">
        <v>0</v>
      </c>
      <c r="AI512" s="12">
        <v>392656792.43000001</v>
      </c>
      <c r="AJ512" s="11">
        <v>392656792.43000001</v>
      </c>
      <c r="AK512" s="11">
        <v>392656792.43000001</v>
      </c>
      <c r="AL512" s="11">
        <v>392656792.43000001</v>
      </c>
      <c r="AM512" s="11">
        <v>0</v>
      </c>
      <c r="AN512" s="11">
        <v>0</v>
      </c>
      <c r="AO512" s="11">
        <v>0</v>
      </c>
      <c r="AP512" s="11">
        <v>0</v>
      </c>
      <c r="AQ512" s="11">
        <v>0</v>
      </c>
      <c r="AR512" s="11">
        <v>0</v>
      </c>
      <c r="AS512" t="s">
        <v>918</v>
      </c>
      <c r="AT512" s="4" t="str">
        <f t="shared" si="89"/>
        <v>Construcción Obras de estabilización y rehabilitación de la vía Rio Verde-Pijao (cod.40qn03), estabi</v>
      </c>
      <c r="AU512" s="7" t="str">
        <f t="shared" si="90"/>
        <v>70Construcción Obras de estabilización y rehabilitación de la vía Rio Verde-Pijao (cod.40qn03), estabi392656792,43</v>
      </c>
      <c r="AV512" t="str">
        <f>+_xlfn.XLOOKUP(AU512,CRUCE!I:I,CRUCE!M:M)</f>
        <v>READY</v>
      </c>
      <c r="AW512" t="s">
        <v>1907</v>
      </c>
      <c r="AX512">
        <f>+SUMIFS(CRUCE!C:C,CRUCE!A:A,D512,CRUCE!B:B,'2021'!H512)</f>
        <v>392656792.43000001</v>
      </c>
    </row>
    <row r="513" spans="1:50" x14ac:dyDescent="0.3">
      <c r="A513">
        <v>2021</v>
      </c>
      <c r="B513">
        <v>6</v>
      </c>
      <c r="C513">
        <v>1102060020346</v>
      </c>
      <c r="D513" s="5">
        <v>70</v>
      </c>
      <c r="E513" s="8" t="s">
        <v>948</v>
      </c>
      <c r="F513">
        <v>1102060020346</v>
      </c>
      <c r="G513" t="s">
        <v>1908</v>
      </c>
      <c r="H513" s="8" t="s">
        <v>949</v>
      </c>
      <c r="I513" t="s">
        <v>909</v>
      </c>
      <c r="J513" s="11">
        <v>3234527369</v>
      </c>
      <c r="K513" s="11">
        <v>3234527369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3234527369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43028500</v>
      </c>
      <c r="Y513" s="11">
        <v>0</v>
      </c>
      <c r="Z513" s="17">
        <v>43028500</v>
      </c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11">
        <v>0</v>
      </c>
      <c r="AG513" s="11">
        <v>43028500</v>
      </c>
      <c r="AH513" s="11">
        <v>0</v>
      </c>
      <c r="AI513" s="12">
        <v>43028500</v>
      </c>
      <c r="AJ513" s="11">
        <v>43028500</v>
      </c>
      <c r="AK513" s="11">
        <v>43028500</v>
      </c>
      <c r="AL513" s="11">
        <v>43028500</v>
      </c>
      <c r="AM513" s="11">
        <v>0</v>
      </c>
      <c r="AN513" s="11">
        <v>0</v>
      </c>
      <c r="AO513" s="11">
        <v>0</v>
      </c>
      <c r="AP513" s="11">
        <v>0</v>
      </c>
      <c r="AQ513" s="11">
        <v>0</v>
      </c>
      <c r="AR513" s="11">
        <v>0</v>
      </c>
      <c r="AS513" t="s">
        <v>918</v>
      </c>
      <c r="AT513" s="4" t="str">
        <f t="shared" si="89"/>
        <v>Implementación de un programa de educación superior para la profesionalización de los artistas, como</v>
      </c>
      <c r="AU513" s="7" t="str">
        <f t="shared" si="90"/>
        <v>70Implementación de un programa de educación superior para la profesionalización de los artistas, como43028500</v>
      </c>
      <c r="AV513" t="str">
        <f>+_xlfn.XLOOKUP(AU513,CRUCE!I:I,CRUCE!M:M)</f>
        <v>READY</v>
      </c>
      <c r="AW513" t="s">
        <v>1907</v>
      </c>
      <c r="AX513">
        <f>+SUMIFS(CRUCE!C:C,CRUCE!A:A,D513,CRUCE!B:B,'2021'!H513)</f>
        <v>43028500</v>
      </c>
    </row>
    <row r="514" spans="1:50" x14ac:dyDescent="0.3">
      <c r="A514">
        <v>2021</v>
      </c>
      <c r="B514">
        <v>6</v>
      </c>
      <c r="C514">
        <v>1102060020349</v>
      </c>
      <c r="D514" s="5">
        <v>70</v>
      </c>
      <c r="E514" s="8" t="s">
        <v>950</v>
      </c>
      <c r="F514">
        <v>1102060020349</v>
      </c>
      <c r="G514" t="s">
        <v>1908</v>
      </c>
      <c r="H514" s="8" t="s">
        <v>951</v>
      </c>
      <c r="I514" t="s">
        <v>909</v>
      </c>
      <c r="J514" s="11">
        <v>116359760.79000001</v>
      </c>
      <c r="K514" s="11">
        <v>116359760.79000001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116359760.79000001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65306763.439999998</v>
      </c>
      <c r="Y514" s="11">
        <v>0</v>
      </c>
      <c r="Z514" s="17">
        <v>65306763.439999998</v>
      </c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11">
        <v>0</v>
      </c>
      <c r="AG514" s="11">
        <v>65306763.439999998</v>
      </c>
      <c r="AH514" s="11">
        <v>0</v>
      </c>
      <c r="AI514" s="12">
        <v>65306763.439999998</v>
      </c>
      <c r="AJ514" s="11">
        <v>65306763.439999998</v>
      </c>
      <c r="AK514" s="11">
        <v>65306763.439999998</v>
      </c>
      <c r="AL514" s="11">
        <v>65306763.439999998</v>
      </c>
      <c r="AM514" s="11">
        <v>0</v>
      </c>
      <c r="AN514" s="11">
        <v>0</v>
      </c>
      <c r="AO514" s="11">
        <v>0</v>
      </c>
      <c r="AP514" s="11">
        <v>0</v>
      </c>
      <c r="AQ514" s="11">
        <v>0</v>
      </c>
      <c r="AR514" s="11">
        <v>0</v>
      </c>
      <c r="AS514" t="s">
        <v>918</v>
      </c>
      <c r="AT514" s="4" t="str">
        <f t="shared" si="89"/>
        <v xml:space="preserve">Implementación del plan de acción para mantenimiento preventivo y atención de emergencias en la red </v>
      </c>
      <c r="AU514" s="7" t="str">
        <f t="shared" si="90"/>
        <v>70Implementación del plan de acción para mantenimiento preventivo y atención de emergencias en la red 65306763,44</v>
      </c>
      <c r="AV514" t="str">
        <f>+_xlfn.XLOOKUP(AU514,CRUCE!I:I,CRUCE!M:M)</f>
        <v>READY</v>
      </c>
      <c r="AW514" t="s">
        <v>1907</v>
      </c>
      <c r="AX514">
        <f>+SUMIFS(CRUCE!C:C,CRUCE!A:A,D514,CRUCE!B:B,'2021'!H514)</f>
        <v>65306763.439999998</v>
      </c>
    </row>
    <row r="515" spans="1:50" x14ac:dyDescent="0.3">
      <c r="A515">
        <v>2021</v>
      </c>
      <c r="B515">
        <v>6</v>
      </c>
      <c r="C515">
        <v>1102060020351</v>
      </c>
      <c r="D515" s="5">
        <v>70</v>
      </c>
      <c r="E515" s="8" t="s">
        <v>952</v>
      </c>
      <c r="F515">
        <v>1102060020351</v>
      </c>
      <c r="G515" t="s">
        <v>1908</v>
      </c>
      <c r="H515" s="8" t="s">
        <v>953</v>
      </c>
      <c r="I515" t="s">
        <v>909</v>
      </c>
      <c r="J515" s="11">
        <v>3224415112.54</v>
      </c>
      <c r="K515" s="11">
        <v>3224415112.54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3224415112.54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7">
        <v>0</v>
      </c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11">
        <v>0</v>
      </c>
      <c r="AG515" s="11">
        <v>0</v>
      </c>
      <c r="AH515" s="11">
        <v>0</v>
      </c>
      <c r="AI515" s="12">
        <v>0</v>
      </c>
      <c r="AJ515" s="11">
        <v>0</v>
      </c>
      <c r="AK515" s="11">
        <v>0</v>
      </c>
      <c r="AL515" s="11">
        <v>0</v>
      </c>
      <c r="AM515" s="11">
        <v>0</v>
      </c>
      <c r="AN515" s="11">
        <v>0</v>
      </c>
      <c r="AO515" s="11">
        <v>0</v>
      </c>
      <c r="AP515" s="11">
        <v>0</v>
      </c>
      <c r="AQ515" s="11">
        <v>0</v>
      </c>
      <c r="AR515" s="11">
        <v>0</v>
      </c>
      <c r="AS515" t="s">
        <v>918</v>
      </c>
      <c r="AT515" s="4" t="str">
        <f t="shared" si="89"/>
        <v>Construcción Obras de Rehabilitación de la Banca en Puntos Críticos de la Vía que Intercomunica a Gé</v>
      </c>
      <c r="AU515" s="7" t="str">
        <f t="shared" si="90"/>
        <v>70Construcción Obras de Rehabilitación de la Banca en Puntos Críticos de la Vía que Intercomunica a Gé0</v>
      </c>
      <c r="AV515" t="str">
        <f>+_xlfn.XLOOKUP(AU515,CRUCE!I:I,CRUCE!M:M)</f>
        <v>READY</v>
      </c>
      <c r="AW515" t="s">
        <v>1907</v>
      </c>
      <c r="AX515">
        <f>+SUMIFS(CRUCE!C:C,CRUCE!A:A,D515,CRUCE!B:B,'2021'!H515)</f>
        <v>0</v>
      </c>
    </row>
    <row r="516" spans="1:50" x14ac:dyDescent="0.3">
      <c r="A516">
        <v>2021</v>
      </c>
      <c r="B516">
        <v>6</v>
      </c>
      <c r="C516">
        <v>1102060020359</v>
      </c>
      <c r="D516" s="5">
        <v>70</v>
      </c>
      <c r="E516" s="8" t="s">
        <v>954</v>
      </c>
      <c r="F516">
        <v>1102060020359</v>
      </c>
      <c r="G516" t="s">
        <v>1908</v>
      </c>
      <c r="H516" s="8" t="s">
        <v>955</v>
      </c>
      <c r="I516" t="s">
        <v>909</v>
      </c>
      <c r="J516" s="11">
        <v>23775732755.369999</v>
      </c>
      <c r="K516" s="11">
        <v>23775732755.369999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23775732755.369999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6871692468.4799995</v>
      </c>
      <c r="Y516" s="11">
        <v>0</v>
      </c>
      <c r="Z516" s="17">
        <v>6871692468.4799995</v>
      </c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11">
        <v>0</v>
      </c>
      <c r="AG516" s="11">
        <v>6871692468.4799995</v>
      </c>
      <c r="AH516" s="11">
        <v>0</v>
      </c>
      <c r="AI516" s="12">
        <v>6871692468.4799995</v>
      </c>
      <c r="AJ516" s="11">
        <v>6871692468.4799995</v>
      </c>
      <c r="AK516" s="11">
        <v>6871692468.4799995</v>
      </c>
      <c r="AL516" s="11">
        <v>6871692468.4799995</v>
      </c>
      <c r="AM516" s="11">
        <v>0</v>
      </c>
      <c r="AN516" s="11">
        <v>0</v>
      </c>
      <c r="AO516" s="11">
        <v>0</v>
      </c>
      <c r="AP516" s="11">
        <v>0</v>
      </c>
      <c r="AQ516" s="11">
        <v>0</v>
      </c>
      <c r="AR516" s="11">
        <v>0</v>
      </c>
      <c r="AS516" t="s">
        <v>918</v>
      </c>
      <c r="AT516" s="4" t="str">
        <f t="shared" si="89"/>
        <v>Mejoramiento de la vía Circasia - Montenegro con código 29BQN03, en los municipios de Circasia y Mon</v>
      </c>
      <c r="AU516" s="7" t="str">
        <f t="shared" si="90"/>
        <v>70Mejoramiento de la vía Circasia - Montenegro con código 29BQN03, en los municipios de Circasia y Mon6871692468,48</v>
      </c>
      <c r="AV516" t="str">
        <f>+_xlfn.XLOOKUP(AU516,CRUCE!I:I,CRUCE!M:M)</f>
        <v>READY</v>
      </c>
      <c r="AW516" t="s">
        <v>1907</v>
      </c>
      <c r="AX516">
        <f>+SUMIFS(CRUCE!C:C,CRUCE!A:A,D516,CRUCE!B:B,'2021'!H516)</f>
        <v>6871692468.4799995</v>
      </c>
    </row>
    <row r="517" spans="1:50" x14ac:dyDescent="0.3">
      <c r="A517">
        <v>2021</v>
      </c>
      <c r="B517">
        <v>6</v>
      </c>
      <c r="C517">
        <v>1102060020364</v>
      </c>
      <c r="D517" s="5">
        <v>70</v>
      </c>
      <c r="E517" s="8" t="s">
        <v>956</v>
      </c>
      <c r="F517">
        <v>1102060020364</v>
      </c>
      <c r="G517" t="s">
        <v>1908</v>
      </c>
      <c r="H517" s="8" t="s">
        <v>957</v>
      </c>
      <c r="I517" t="s">
        <v>909</v>
      </c>
      <c r="J517" s="11">
        <v>6779870768</v>
      </c>
      <c r="K517" s="11">
        <v>6779870768</v>
      </c>
      <c r="L517" s="11">
        <v>223836011</v>
      </c>
      <c r="M517" s="11">
        <v>0</v>
      </c>
      <c r="N517" s="11">
        <v>223836011</v>
      </c>
      <c r="O517" s="11">
        <v>223836011</v>
      </c>
      <c r="P517" s="11">
        <v>0</v>
      </c>
      <c r="Q517" s="11">
        <v>7003706779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7">
        <v>0</v>
      </c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11">
        <v>0</v>
      </c>
      <c r="AG517" s="11">
        <v>0</v>
      </c>
      <c r="AH517" s="11">
        <v>0</v>
      </c>
      <c r="AI517" s="12">
        <v>0</v>
      </c>
      <c r="AJ517" s="11">
        <v>0</v>
      </c>
      <c r="AK517" s="11">
        <v>0</v>
      </c>
      <c r="AL517" s="11">
        <v>0</v>
      </c>
      <c r="AM517" s="11">
        <v>0</v>
      </c>
      <c r="AN517" s="11">
        <v>0</v>
      </c>
      <c r="AO517" s="11">
        <v>0</v>
      </c>
      <c r="AP517" s="11">
        <v>0</v>
      </c>
      <c r="AQ517" s="11">
        <v>0</v>
      </c>
      <c r="AR517" s="11">
        <v>0</v>
      </c>
      <c r="AS517" t="s">
        <v>918</v>
      </c>
      <c r="AT517" s="4" t="str">
        <f t="shared" si="89"/>
        <v>Rehabilitación y Mejoramiento de la vía Filandia - La India código 29QN02-1 Municipio de Filandia, D</v>
      </c>
      <c r="AU517" s="7" t="str">
        <f t="shared" si="90"/>
        <v>70Rehabilitación y Mejoramiento de la vía Filandia - La India código 29QN02-1 Municipio de Filandia, D0</v>
      </c>
      <c r="AV517" t="str">
        <f>+_xlfn.XLOOKUP(AU517,CRUCE!I:I,CRUCE!M:M)</f>
        <v>READY</v>
      </c>
      <c r="AW517" t="s">
        <v>1907</v>
      </c>
      <c r="AX517">
        <f>+SUMIFS(CRUCE!C:C,CRUCE!A:A,D517,CRUCE!B:B,'2021'!H517)</f>
        <v>0</v>
      </c>
    </row>
    <row r="518" spans="1:50" x14ac:dyDescent="0.3">
      <c r="A518">
        <v>2021</v>
      </c>
      <c r="B518">
        <v>6</v>
      </c>
      <c r="C518">
        <v>1102060020385</v>
      </c>
      <c r="D518" s="5">
        <v>70</v>
      </c>
      <c r="E518" s="8" t="s">
        <v>958</v>
      </c>
      <c r="F518">
        <v>1102060020385</v>
      </c>
      <c r="G518" t="s">
        <v>1908</v>
      </c>
      <c r="H518" s="8" t="s">
        <v>959</v>
      </c>
      <c r="I518" t="s">
        <v>909</v>
      </c>
      <c r="J518" s="11">
        <v>486625031.31</v>
      </c>
      <c r="K518" s="11">
        <v>486625031.31</v>
      </c>
      <c r="L518" s="11">
        <v>527069118</v>
      </c>
      <c r="M518" s="11">
        <v>0</v>
      </c>
      <c r="N518" s="11">
        <v>527069118</v>
      </c>
      <c r="O518" s="11">
        <v>527069118</v>
      </c>
      <c r="P518" s="11">
        <v>0</v>
      </c>
      <c r="Q518" s="11">
        <v>1013694149.3099999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815143124.17999995</v>
      </c>
      <c r="Y518" s="11">
        <v>0</v>
      </c>
      <c r="Z518" s="17">
        <v>815143124.17999995</v>
      </c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11">
        <v>0</v>
      </c>
      <c r="AG518" s="11">
        <v>815143124.17999995</v>
      </c>
      <c r="AH518" s="11">
        <v>0</v>
      </c>
      <c r="AI518" s="12">
        <v>815143124.17999995</v>
      </c>
      <c r="AJ518" s="11">
        <v>815143124.17999995</v>
      </c>
      <c r="AK518" s="11">
        <v>815143124.17999995</v>
      </c>
      <c r="AL518" s="11">
        <v>815143124.17999995</v>
      </c>
      <c r="AM518" s="11">
        <v>0</v>
      </c>
      <c r="AN518" s="11">
        <v>0</v>
      </c>
      <c r="AO518" s="11">
        <v>0</v>
      </c>
      <c r="AP518" s="11">
        <v>0</v>
      </c>
      <c r="AQ518" s="11">
        <v>0</v>
      </c>
      <c r="AR518" s="11">
        <v>0</v>
      </c>
      <c r="AS518" t="s">
        <v>918</v>
      </c>
      <c r="AT518" s="4" t="str">
        <f t="shared" si="89"/>
        <v>Construcción de obras de estabilización y conformación de la banca vía La Española Río Verde, Barrag</v>
      </c>
      <c r="AU518" s="7" t="str">
        <f t="shared" si="90"/>
        <v>70Construcción de obras de estabilización y conformación de la banca vía La Española Río Verde, Barrag815143124,18</v>
      </c>
      <c r="AV518" t="str">
        <f>+_xlfn.XLOOKUP(AU518,CRUCE!I:I,CRUCE!M:M)</f>
        <v>READY</v>
      </c>
      <c r="AW518" t="s">
        <v>1907</v>
      </c>
      <c r="AX518">
        <f>+SUMIFS(CRUCE!C:C,CRUCE!A:A,D518,CRUCE!B:B,'2021'!H518)</f>
        <v>815143124.17999995</v>
      </c>
    </row>
    <row r="519" spans="1:50" x14ac:dyDescent="0.3">
      <c r="A519">
        <v>2021</v>
      </c>
      <c r="B519">
        <v>6</v>
      </c>
      <c r="C519">
        <v>1102060020394</v>
      </c>
      <c r="D519" s="5">
        <v>70</v>
      </c>
      <c r="E519" s="8" t="s">
        <v>960</v>
      </c>
      <c r="F519">
        <v>1102060020394</v>
      </c>
      <c r="G519" t="s">
        <v>1908</v>
      </c>
      <c r="H519" s="8" t="s">
        <v>961</v>
      </c>
      <c r="I519" t="s">
        <v>909</v>
      </c>
      <c r="J519" s="11">
        <v>0</v>
      </c>
      <c r="K519" s="11">
        <v>0</v>
      </c>
      <c r="L519" s="11">
        <v>1794041394</v>
      </c>
      <c r="M519" s="11">
        <v>0</v>
      </c>
      <c r="N519" s="11">
        <v>1794041394</v>
      </c>
      <c r="O519" s="11">
        <v>1794041394</v>
      </c>
      <c r="P519" s="11">
        <v>0</v>
      </c>
      <c r="Q519" s="11">
        <v>1794041394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695481062</v>
      </c>
      <c r="Y519" s="11">
        <v>0</v>
      </c>
      <c r="Z519" s="17">
        <v>695481062</v>
      </c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11">
        <v>0</v>
      </c>
      <c r="AG519" s="11">
        <v>695481062</v>
      </c>
      <c r="AH519" s="11">
        <v>0</v>
      </c>
      <c r="AI519" s="12">
        <v>695481062</v>
      </c>
      <c r="AJ519" s="11">
        <v>695481062</v>
      </c>
      <c r="AK519" s="11">
        <v>695481062</v>
      </c>
      <c r="AL519" s="11">
        <v>695481062</v>
      </c>
      <c r="AM519" s="11">
        <v>0</v>
      </c>
      <c r="AN519" s="11">
        <v>0</v>
      </c>
      <c r="AO519" s="11">
        <v>0</v>
      </c>
      <c r="AP519" s="11">
        <v>0</v>
      </c>
      <c r="AQ519" s="11">
        <v>0</v>
      </c>
      <c r="AR519" s="11">
        <v>0</v>
      </c>
      <c r="AS519" t="s">
        <v>918</v>
      </c>
      <c r="AT519" s="4" t="str">
        <f t="shared" si="89"/>
        <v>Fortalecimiento del Ecosistema de emprendimiento mediante el acompañamiento tecnico y servicio de ap</v>
      </c>
      <c r="AU519" s="7" t="str">
        <f t="shared" si="90"/>
        <v>70Fortalecimiento del Ecosistema de emprendimiento mediante el acompañamiento tecnico y servicio de ap695481062</v>
      </c>
      <c r="AV519" t="str">
        <f>+_xlfn.XLOOKUP(AU519,CRUCE!I:I,CRUCE!M:M)</f>
        <v>READY</v>
      </c>
      <c r="AW519" t="s">
        <v>1907</v>
      </c>
      <c r="AX519">
        <f>+SUMIFS(CRUCE!C:C,CRUCE!A:A,D519,CRUCE!B:B,'2021'!H519)</f>
        <v>695481062</v>
      </c>
    </row>
    <row r="520" spans="1:50" hidden="1" x14ac:dyDescent="0.3">
      <c r="A520">
        <v>2021</v>
      </c>
      <c r="B520">
        <v>6</v>
      </c>
      <c r="C520">
        <v>11020600205</v>
      </c>
      <c r="D520" s="5" t="s">
        <v>44</v>
      </c>
      <c r="E520" s="8" t="s">
        <v>962</v>
      </c>
      <c r="F520">
        <v>11020600205</v>
      </c>
      <c r="H520" s="8" t="s">
        <v>963</v>
      </c>
      <c r="I520" t="s">
        <v>909</v>
      </c>
      <c r="J520" s="11">
        <v>8566548940</v>
      </c>
      <c r="K520" s="11">
        <v>8566548940</v>
      </c>
      <c r="L520" s="11">
        <v>893777115</v>
      </c>
      <c r="M520" s="11">
        <v>0</v>
      </c>
      <c r="N520" s="11">
        <v>893777115</v>
      </c>
      <c r="O520" s="11">
        <v>893777115</v>
      </c>
      <c r="P520" s="11">
        <v>0</v>
      </c>
      <c r="Q520" s="11">
        <v>9460326055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4696648840</v>
      </c>
      <c r="Y520" s="11">
        <v>0</v>
      </c>
      <c r="Z520" s="17">
        <v>4696648840</v>
      </c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11">
        <v>0</v>
      </c>
      <c r="AG520" s="11">
        <v>4696648840</v>
      </c>
      <c r="AH520" s="11">
        <v>0</v>
      </c>
      <c r="AI520" s="12">
        <v>4696648840</v>
      </c>
      <c r="AJ520" s="11">
        <v>4696648840</v>
      </c>
      <c r="AK520" s="11">
        <v>4696648840</v>
      </c>
      <c r="AL520" s="11">
        <v>4696648840</v>
      </c>
      <c r="AM520" s="11">
        <v>0</v>
      </c>
      <c r="AN520" s="11">
        <v>0</v>
      </c>
      <c r="AO520" s="11">
        <v>0</v>
      </c>
      <c r="AP520" s="11">
        <v>0</v>
      </c>
      <c r="AQ520" s="11">
        <v>0</v>
      </c>
      <c r="AR520" s="11">
        <v>0</v>
      </c>
      <c r="AS520" t="s">
        <v>48</v>
      </c>
      <c r="AT520"/>
    </row>
    <row r="521" spans="1:50" x14ac:dyDescent="0.3">
      <c r="A521">
        <v>2021</v>
      </c>
      <c r="B521">
        <v>6</v>
      </c>
      <c r="C521">
        <v>1102060020509</v>
      </c>
      <c r="D521" s="5">
        <v>70</v>
      </c>
      <c r="E521" s="8" t="s">
        <v>964</v>
      </c>
      <c r="F521">
        <v>1102060020509</v>
      </c>
      <c r="G521" t="s">
        <v>1908</v>
      </c>
      <c r="H521" s="8" t="s">
        <v>965</v>
      </c>
      <c r="I521" t="s">
        <v>909</v>
      </c>
      <c r="J521" s="11">
        <v>954356699</v>
      </c>
      <c r="K521" s="11">
        <v>954356699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954356699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458417026</v>
      </c>
      <c r="Y521" s="11">
        <v>0</v>
      </c>
      <c r="Z521" s="17">
        <v>458417026</v>
      </c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11">
        <v>0</v>
      </c>
      <c r="AG521" s="11">
        <v>458417026</v>
      </c>
      <c r="AH521" s="11">
        <v>0</v>
      </c>
      <c r="AI521" s="12">
        <v>458417026</v>
      </c>
      <c r="AJ521" s="11">
        <v>458417026</v>
      </c>
      <c r="AK521" s="11">
        <v>458417026</v>
      </c>
      <c r="AL521" s="11">
        <v>458417026</v>
      </c>
      <c r="AM521" s="11">
        <v>0</v>
      </c>
      <c r="AN521" s="11">
        <v>0</v>
      </c>
      <c r="AO521" s="11">
        <v>0</v>
      </c>
      <c r="AP521" s="11">
        <v>0</v>
      </c>
      <c r="AQ521" s="11">
        <v>0</v>
      </c>
      <c r="AR521" s="11">
        <v>0</v>
      </c>
      <c r="AS521" t="s">
        <v>918</v>
      </c>
      <c r="AT521" s="4" t="str">
        <f t="shared" ref="AT521:AT526" si="91">+H521</f>
        <v>Implementación de un Programa de Innovación Social para el Fomento de una Cultura Ciudadana y Empren</v>
      </c>
      <c r="AU521" s="7" t="str">
        <f t="shared" ref="AU521:AU526" si="92">+$D521&amp;$AT521&amp;Z521</f>
        <v>70Implementación de un Programa de Innovación Social para el Fomento de una Cultura Ciudadana y Empren458417026</v>
      </c>
      <c r="AV521" t="str">
        <f>+_xlfn.XLOOKUP(AU521,CRUCE!I:I,CRUCE!M:M)</f>
        <v>READY</v>
      </c>
      <c r="AW521" t="s">
        <v>1907</v>
      </c>
      <c r="AX521">
        <f>+SUMIFS(CRUCE!C:C,CRUCE!A:A,D521,CRUCE!B:B,'2021'!H521)</f>
        <v>458417026</v>
      </c>
    </row>
    <row r="522" spans="1:50" x14ac:dyDescent="0.3">
      <c r="A522">
        <v>2021</v>
      </c>
      <c r="B522">
        <v>6</v>
      </c>
      <c r="C522">
        <v>1102060020513</v>
      </c>
      <c r="D522" s="5">
        <v>70</v>
      </c>
      <c r="E522" s="8" t="s">
        <v>966</v>
      </c>
      <c r="F522">
        <v>1102060020513</v>
      </c>
      <c r="G522" t="s">
        <v>1908</v>
      </c>
      <c r="H522" s="8" t="s">
        <v>967</v>
      </c>
      <c r="I522" t="s">
        <v>909</v>
      </c>
      <c r="J522" s="11">
        <v>1693838902</v>
      </c>
      <c r="K522" s="11">
        <v>1693838902</v>
      </c>
      <c r="L522" s="11">
        <v>893777115</v>
      </c>
      <c r="M522" s="11">
        <v>0</v>
      </c>
      <c r="N522" s="11">
        <v>893777115</v>
      </c>
      <c r="O522" s="11">
        <v>893777115</v>
      </c>
      <c r="P522" s="11">
        <v>0</v>
      </c>
      <c r="Q522" s="11">
        <v>2587616017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912686212</v>
      </c>
      <c r="Y522" s="11">
        <v>0</v>
      </c>
      <c r="Z522" s="17">
        <v>912686212</v>
      </c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11">
        <v>0</v>
      </c>
      <c r="AG522" s="11">
        <v>912686212</v>
      </c>
      <c r="AH522" s="11">
        <v>0</v>
      </c>
      <c r="AI522" s="12">
        <v>912686212</v>
      </c>
      <c r="AJ522" s="11">
        <v>912686212</v>
      </c>
      <c r="AK522" s="11">
        <v>912686212</v>
      </c>
      <c r="AL522" s="11">
        <v>912686212</v>
      </c>
      <c r="AM522" s="11">
        <v>0</v>
      </c>
      <c r="AN522" s="11">
        <v>0</v>
      </c>
      <c r="AO522" s="11">
        <v>0</v>
      </c>
      <c r="AP522" s="11">
        <v>0</v>
      </c>
      <c r="AQ522" s="11">
        <v>0</v>
      </c>
      <c r="AR522" s="11">
        <v>0</v>
      </c>
      <c r="AS522" t="s">
        <v>918</v>
      </c>
      <c r="AT522" s="4" t="str">
        <f t="shared" si="91"/>
        <v>Fortalecimiento de un Centro de Innovación y Productividad agrario adecuando una infraestructura tec</v>
      </c>
      <c r="AU522" s="7" t="str">
        <f t="shared" si="92"/>
        <v>70Fortalecimiento de un Centro de Innovación y Productividad agrario adecuando una infraestructura tec912686212</v>
      </c>
      <c r="AV522" t="str">
        <f>+_xlfn.XLOOKUP(AU522,CRUCE!I:I,CRUCE!M:M)</f>
        <v>READY</v>
      </c>
      <c r="AW522" t="s">
        <v>1907</v>
      </c>
      <c r="AX522">
        <f>+SUMIFS(CRUCE!C:C,CRUCE!A:A,D522,CRUCE!B:B,'2021'!H522)</f>
        <v>912686212</v>
      </c>
    </row>
    <row r="523" spans="1:50" x14ac:dyDescent="0.3">
      <c r="A523">
        <v>2021</v>
      </c>
      <c r="B523">
        <v>6</v>
      </c>
      <c r="C523">
        <v>1102060020526</v>
      </c>
      <c r="D523" s="5">
        <v>70</v>
      </c>
      <c r="E523" s="8" t="s">
        <v>968</v>
      </c>
      <c r="F523">
        <v>1102060020526</v>
      </c>
      <c r="G523" t="s">
        <v>1908</v>
      </c>
      <c r="H523" s="8" t="s">
        <v>969</v>
      </c>
      <c r="I523" t="s">
        <v>909</v>
      </c>
      <c r="J523" s="11">
        <v>19080955</v>
      </c>
      <c r="K523" s="11">
        <v>19080955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19080955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19080955</v>
      </c>
      <c r="Y523" s="11">
        <v>0</v>
      </c>
      <c r="Z523" s="17">
        <v>19080955</v>
      </c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11">
        <v>0</v>
      </c>
      <c r="AG523" s="11">
        <v>19080955</v>
      </c>
      <c r="AH523" s="11">
        <v>0</v>
      </c>
      <c r="AI523" s="12">
        <v>19080955</v>
      </c>
      <c r="AJ523" s="11">
        <v>19080955</v>
      </c>
      <c r="AK523" s="11">
        <v>19080955</v>
      </c>
      <c r="AL523" s="11">
        <v>19080955</v>
      </c>
      <c r="AM523" s="11">
        <v>0</v>
      </c>
      <c r="AN523" s="11">
        <v>0</v>
      </c>
      <c r="AO523" s="11">
        <v>0</v>
      </c>
      <c r="AP523" s="11">
        <v>0</v>
      </c>
      <c r="AQ523" s="11">
        <v>0</v>
      </c>
      <c r="AR523" s="11">
        <v>0</v>
      </c>
      <c r="AS523" t="s">
        <v>918</v>
      </c>
      <c r="AT523" s="4" t="str">
        <f t="shared" si="91"/>
        <v xml:space="preserve">Aplicación de Procesos Innovadores en la Cadena de Suministros para la Industria de la Guadua en el </v>
      </c>
      <c r="AU523" s="7" t="str">
        <f t="shared" si="92"/>
        <v>70Aplicación de Procesos Innovadores en la Cadena de Suministros para la Industria de la Guadua en el 19080955</v>
      </c>
      <c r="AV523" t="str">
        <f>+_xlfn.XLOOKUP(AU523,CRUCE!I:I,CRUCE!M:M)</f>
        <v>READY</v>
      </c>
      <c r="AW523" t="s">
        <v>1907</v>
      </c>
      <c r="AX523">
        <f>+SUMIFS(CRUCE!C:C,CRUCE!A:A,D523,CRUCE!B:B,'2021'!H523)</f>
        <v>19080955</v>
      </c>
    </row>
    <row r="524" spans="1:50" x14ac:dyDescent="0.3">
      <c r="A524">
        <v>2021</v>
      </c>
      <c r="B524">
        <v>6</v>
      </c>
      <c r="C524">
        <v>1102060020532</v>
      </c>
      <c r="D524" s="5">
        <v>70</v>
      </c>
      <c r="E524" s="8" t="s">
        <v>970</v>
      </c>
      <c r="F524">
        <v>1102060020532</v>
      </c>
      <c r="G524" t="s">
        <v>1908</v>
      </c>
      <c r="H524" s="8" t="s">
        <v>971</v>
      </c>
      <c r="I524" t="s">
        <v>909</v>
      </c>
      <c r="J524" s="11">
        <v>869774377</v>
      </c>
      <c r="K524" s="11">
        <v>869774377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869774377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854830234</v>
      </c>
      <c r="Y524" s="11">
        <v>0</v>
      </c>
      <c r="Z524" s="17">
        <v>854830234</v>
      </c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11">
        <v>0</v>
      </c>
      <c r="AG524" s="11">
        <v>854830234</v>
      </c>
      <c r="AH524" s="11">
        <v>0</v>
      </c>
      <c r="AI524" s="12">
        <v>854830234</v>
      </c>
      <c r="AJ524" s="11">
        <v>854830234</v>
      </c>
      <c r="AK524" s="11">
        <v>854830234</v>
      </c>
      <c r="AL524" s="11">
        <v>854830234</v>
      </c>
      <c r="AM524" s="11">
        <v>0</v>
      </c>
      <c r="AN524" s="11">
        <v>0</v>
      </c>
      <c r="AO524" s="11">
        <v>0</v>
      </c>
      <c r="AP524" s="11">
        <v>0</v>
      </c>
      <c r="AQ524" s="11">
        <v>0</v>
      </c>
      <c r="AR524" s="11">
        <v>0</v>
      </c>
      <c r="AS524" t="s">
        <v>918</v>
      </c>
      <c r="AT524" s="4" t="str">
        <f t="shared" si="91"/>
        <v>Fortalecimiento de capacidades instaladas de ciencia y tecnología del laboratorio departamental de s</v>
      </c>
      <c r="AU524" s="7" t="str">
        <f t="shared" si="92"/>
        <v>70Fortalecimiento de capacidades instaladas de ciencia y tecnología del laboratorio departamental de s854830234</v>
      </c>
      <c r="AV524" t="str">
        <f>+_xlfn.XLOOKUP(AU524,CRUCE!I:I,CRUCE!M:M)</f>
        <v>READY</v>
      </c>
      <c r="AW524" t="s">
        <v>1907</v>
      </c>
      <c r="AX524">
        <f>+SUMIFS(CRUCE!C:C,CRUCE!A:A,D524,CRUCE!B:B,'2021'!H524)</f>
        <v>854830234</v>
      </c>
    </row>
    <row r="525" spans="1:50" x14ac:dyDescent="0.3">
      <c r="A525">
        <v>2021</v>
      </c>
      <c r="B525">
        <v>6</v>
      </c>
      <c r="C525">
        <v>1102060020563</v>
      </c>
      <c r="D525" s="5">
        <v>70</v>
      </c>
      <c r="E525" s="8" t="s">
        <v>972</v>
      </c>
      <c r="F525">
        <v>1102060020563</v>
      </c>
      <c r="G525" t="s">
        <v>1908</v>
      </c>
      <c r="H525" s="8" t="s">
        <v>973</v>
      </c>
      <c r="I525" t="s">
        <v>909</v>
      </c>
      <c r="J525" s="11">
        <v>2819040</v>
      </c>
      <c r="K525" s="11">
        <v>2819040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2819040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7">
        <v>0</v>
      </c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2">
        <v>0</v>
      </c>
      <c r="AJ525" s="11">
        <v>0</v>
      </c>
      <c r="AK525" s="11">
        <v>0</v>
      </c>
      <c r="AL525" s="11">
        <v>0</v>
      </c>
      <c r="AM525" s="11">
        <v>0</v>
      </c>
      <c r="AN525" s="11">
        <v>0</v>
      </c>
      <c r="AO525" s="11">
        <v>0</v>
      </c>
      <c r="AP525" s="11">
        <v>0</v>
      </c>
      <c r="AQ525" s="11">
        <v>0</v>
      </c>
      <c r="AR525" s="11">
        <v>0</v>
      </c>
      <c r="AS525" t="s">
        <v>918</v>
      </c>
      <c r="AT525" s="4" t="str">
        <f t="shared" si="91"/>
        <v>Desarrollo Sostenible del Sector Curtimbre a través de la I+D+I, Quindío Occidente Código BPIN 20130</v>
      </c>
      <c r="AU525" s="7" t="str">
        <f t="shared" si="92"/>
        <v>70Desarrollo Sostenible del Sector Curtimbre a través de la I+D+I, Quindío Occidente Código BPIN 201300</v>
      </c>
      <c r="AV525" t="str">
        <f>+_xlfn.XLOOKUP(AU525,CRUCE!I:I,CRUCE!M:M)</f>
        <v>READY</v>
      </c>
      <c r="AW525" t="s">
        <v>1907</v>
      </c>
      <c r="AX525">
        <f>+SUMIFS(CRUCE!C:C,CRUCE!A:A,D525,CRUCE!B:B,'2021'!H525)</f>
        <v>0</v>
      </c>
    </row>
    <row r="526" spans="1:50" x14ac:dyDescent="0.3">
      <c r="A526">
        <v>2021</v>
      </c>
      <c r="B526">
        <v>6</v>
      </c>
      <c r="C526">
        <v>1102060020599</v>
      </c>
      <c r="D526" s="5">
        <v>70</v>
      </c>
      <c r="E526" s="8" t="s">
        <v>974</v>
      </c>
      <c r="F526">
        <v>1102060020599</v>
      </c>
      <c r="G526" t="s">
        <v>1908</v>
      </c>
      <c r="H526" s="8" t="s">
        <v>975</v>
      </c>
      <c r="I526" t="s">
        <v>909</v>
      </c>
      <c r="J526" s="11">
        <v>5026678967</v>
      </c>
      <c r="K526" s="11">
        <v>5026678967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5026678967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2451634413</v>
      </c>
      <c r="Y526" s="11">
        <v>0</v>
      </c>
      <c r="Z526" s="17">
        <v>2451634413</v>
      </c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11">
        <v>0</v>
      </c>
      <c r="AG526" s="11">
        <v>2451634413</v>
      </c>
      <c r="AH526" s="11">
        <v>0</v>
      </c>
      <c r="AI526" s="12">
        <v>2451634413</v>
      </c>
      <c r="AJ526" s="11">
        <v>2451634413</v>
      </c>
      <c r="AK526" s="11">
        <v>2451634413</v>
      </c>
      <c r="AL526" s="11">
        <v>2451634413</v>
      </c>
      <c r="AM526" s="11">
        <v>0</v>
      </c>
      <c r="AN526" s="11">
        <v>0</v>
      </c>
      <c r="AO526" s="11">
        <v>0</v>
      </c>
      <c r="AP526" s="11">
        <v>0</v>
      </c>
      <c r="AQ526" s="11">
        <v>0</v>
      </c>
      <c r="AR526" s="11">
        <v>0</v>
      </c>
      <c r="AS526" t="s">
        <v>918</v>
      </c>
      <c r="AT526" s="4" t="str">
        <f t="shared" si="91"/>
        <v>Desarrollo Experimental para la Competitividad del Sector Cafetero del Departamento del Quindío.</v>
      </c>
      <c r="AU526" s="7" t="str">
        <f t="shared" si="92"/>
        <v>70Desarrollo Experimental para la Competitividad del Sector Cafetero del Departamento del Quindío.2451634413</v>
      </c>
      <c r="AV526" t="str">
        <f>+_xlfn.XLOOKUP(AU526,CRUCE!I:I,CRUCE!M:M)</f>
        <v>READY</v>
      </c>
      <c r="AW526" t="s">
        <v>1907</v>
      </c>
      <c r="AX526">
        <f>+SUMIFS(CRUCE!C:C,CRUCE!A:A,D526,CRUCE!B:B,'2021'!H526)</f>
        <v>2451634413</v>
      </c>
    </row>
    <row r="527" spans="1:50" hidden="1" x14ac:dyDescent="0.3">
      <c r="A527">
        <v>2021</v>
      </c>
      <c r="B527">
        <v>6</v>
      </c>
      <c r="C527">
        <v>11020600208</v>
      </c>
      <c r="D527" s="5" t="s">
        <v>44</v>
      </c>
      <c r="E527" s="8" t="s">
        <v>976</v>
      </c>
      <c r="F527">
        <v>11020600208</v>
      </c>
      <c r="H527" s="8" t="s">
        <v>977</v>
      </c>
      <c r="I527" t="s">
        <v>909</v>
      </c>
      <c r="J527" s="11">
        <v>349925863</v>
      </c>
      <c r="K527" s="11">
        <v>349925863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349925863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304467967</v>
      </c>
      <c r="Y527" s="11">
        <v>0</v>
      </c>
      <c r="Z527" s="17">
        <v>304467967</v>
      </c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11">
        <v>0</v>
      </c>
      <c r="AG527" s="11">
        <v>304467967</v>
      </c>
      <c r="AH527" s="11">
        <v>0</v>
      </c>
      <c r="AI527" s="12">
        <v>304467967</v>
      </c>
      <c r="AJ527" s="11">
        <v>304467967</v>
      </c>
      <c r="AK527" s="11">
        <v>304467967</v>
      </c>
      <c r="AL527" s="11">
        <v>304467967</v>
      </c>
      <c r="AM527" s="11">
        <v>0</v>
      </c>
      <c r="AN527" s="11">
        <v>0</v>
      </c>
      <c r="AO527" s="11">
        <v>0</v>
      </c>
      <c r="AP527" s="11">
        <v>0</v>
      </c>
      <c r="AQ527" s="11">
        <v>0</v>
      </c>
      <c r="AR527" s="11">
        <v>0</v>
      </c>
      <c r="AS527" t="s">
        <v>48</v>
      </c>
      <c r="AT527"/>
    </row>
    <row r="528" spans="1:50" hidden="1" x14ac:dyDescent="0.3">
      <c r="A528">
        <v>2021</v>
      </c>
      <c r="B528">
        <v>6</v>
      </c>
      <c r="C528">
        <v>1102060020801</v>
      </c>
      <c r="D528" s="5" t="s">
        <v>44</v>
      </c>
      <c r="E528" s="8" t="s">
        <v>978</v>
      </c>
      <c r="F528">
        <v>1102060020801</v>
      </c>
      <c r="H528" s="8" t="s">
        <v>979</v>
      </c>
      <c r="I528" t="s">
        <v>909</v>
      </c>
      <c r="J528" s="11">
        <v>349925863</v>
      </c>
      <c r="K528" s="11">
        <v>349925863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349925863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304467967</v>
      </c>
      <c r="Y528" s="11">
        <v>0</v>
      </c>
      <c r="Z528" s="17">
        <v>304467967</v>
      </c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11">
        <v>0</v>
      </c>
      <c r="AG528" s="11">
        <v>304467967</v>
      </c>
      <c r="AH528" s="11">
        <v>0</v>
      </c>
      <c r="AI528" s="12">
        <v>304467967</v>
      </c>
      <c r="AJ528" s="11">
        <v>304467967</v>
      </c>
      <c r="AK528" s="11">
        <v>304467967</v>
      </c>
      <c r="AL528" s="11">
        <v>304467967</v>
      </c>
      <c r="AM528" s="11">
        <v>0</v>
      </c>
      <c r="AN528" s="11">
        <v>0</v>
      </c>
      <c r="AO528" s="11">
        <v>0</v>
      </c>
      <c r="AP528" s="11">
        <v>0</v>
      </c>
      <c r="AQ528" s="11">
        <v>0</v>
      </c>
      <c r="AR528" s="11">
        <v>0</v>
      </c>
      <c r="AS528" t="s">
        <v>48</v>
      </c>
      <c r="AT528"/>
    </row>
    <row r="529" spans="1:50" x14ac:dyDescent="0.3">
      <c r="A529">
        <v>2021</v>
      </c>
      <c r="B529">
        <v>6</v>
      </c>
      <c r="C529">
        <v>110206002080101</v>
      </c>
      <c r="D529" s="5">
        <v>70</v>
      </c>
      <c r="E529" s="8" t="s">
        <v>980</v>
      </c>
      <c r="F529">
        <v>110206002080101</v>
      </c>
      <c r="G529" t="s">
        <v>1908</v>
      </c>
      <c r="H529" s="8" t="s">
        <v>981</v>
      </c>
      <c r="I529" t="s">
        <v>909</v>
      </c>
      <c r="J529" s="11">
        <v>304467967</v>
      </c>
      <c r="K529" s="11">
        <v>304467967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304467967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304467967</v>
      </c>
      <c r="Y529" s="11">
        <v>0</v>
      </c>
      <c r="Z529" s="17">
        <v>304467967</v>
      </c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11">
        <v>0</v>
      </c>
      <c r="AG529" s="11">
        <v>304467967</v>
      </c>
      <c r="AH529" s="11">
        <v>0</v>
      </c>
      <c r="AI529" s="12">
        <v>304467967</v>
      </c>
      <c r="AJ529" s="11">
        <v>304467967</v>
      </c>
      <c r="AK529" s="11">
        <v>304467967</v>
      </c>
      <c r="AL529" s="11">
        <v>304467967</v>
      </c>
      <c r="AM529" s="11">
        <v>0</v>
      </c>
      <c r="AN529" s="11">
        <v>0</v>
      </c>
      <c r="AO529" s="11">
        <v>0</v>
      </c>
      <c r="AP529" s="11">
        <v>0</v>
      </c>
      <c r="AQ529" s="11">
        <v>0</v>
      </c>
      <c r="AR529" s="11">
        <v>0</v>
      </c>
      <c r="AS529" t="s">
        <v>918</v>
      </c>
      <c r="AT529" s="4" t="str">
        <f t="shared" ref="AT529:AT530" si="93">+H529</f>
        <v>Fortalecimiento de las Secretarías Técnicas de los Organos Colegiados de Administracion y Decision D</v>
      </c>
      <c r="AU529" s="7" t="str">
        <f t="shared" ref="AU529:AU530" si="94">+$D529&amp;$AT529&amp;Z529</f>
        <v>70Fortalecimiento de las Secretarías Técnicas de los Organos Colegiados de Administracion y Decision D304467967</v>
      </c>
      <c r="AV529" t="str">
        <f>+_xlfn.XLOOKUP(AU529,CRUCE!I:I,CRUCE!M:M)</f>
        <v>READY</v>
      </c>
      <c r="AW529" t="s">
        <v>1907</v>
      </c>
      <c r="AX529">
        <f>+SUMIFS(CRUCE!C:C,CRUCE!A:A,D529,CRUCE!B:B,'2021'!H529)</f>
        <v>304467967</v>
      </c>
    </row>
    <row r="530" spans="1:50" x14ac:dyDescent="0.3">
      <c r="A530">
        <v>2021</v>
      </c>
      <c r="B530">
        <v>6</v>
      </c>
      <c r="C530">
        <v>110206002080102</v>
      </c>
      <c r="D530" s="5">
        <v>70</v>
      </c>
      <c r="E530" s="8" t="s">
        <v>982</v>
      </c>
      <c r="F530">
        <v>110206002080102</v>
      </c>
      <c r="G530" t="s">
        <v>1908</v>
      </c>
      <c r="H530" s="8" t="s">
        <v>983</v>
      </c>
      <c r="I530" t="s">
        <v>909</v>
      </c>
      <c r="J530" s="11">
        <v>45457896</v>
      </c>
      <c r="K530" s="11">
        <v>45457896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45457896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7">
        <v>0</v>
      </c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11">
        <v>0</v>
      </c>
      <c r="AG530" s="11">
        <v>0</v>
      </c>
      <c r="AH530" s="11">
        <v>0</v>
      </c>
      <c r="AI530" s="12">
        <v>0</v>
      </c>
      <c r="AJ530" s="11">
        <v>0</v>
      </c>
      <c r="AK530" s="11">
        <v>0</v>
      </c>
      <c r="AL530" s="11">
        <v>0</v>
      </c>
      <c r="AM530" s="11">
        <v>0</v>
      </c>
      <c r="AN530" s="11">
        <v>0</v>
      </c>
      <c r="AO530" s="11">
        <v>0</v>
      </c>
      <c r="AP530" s="11">
        <v>0</v>
      </c>
      <c r="AQ530" s="11">
        <v>0</v>
      </c>
      <c r="AR530" s="11">
        <v>0</v>
      </c>
      <c r="AS530" t="s">
        <v>918</v>
      </c>
      <c r="AT530" s="4" t="str">
        <f t="shared" si="93"/>
        <v>Fortalecimiento de las Secretarías Técnicas de los OCAD Resolución 0496 de 2019</v>
      </c>
      <c r="AU530" s="7" t="str">
        <f t="shared" si="94"/>
        <v>70Fortalecimiento de las Secretarías Técnicas de los OCAD Resolución 0496 de 20190</v>
      </c>
      <c r="AV530" t="str">
        <f>+_xlfn.XLOOKUP(AU530,CRUCE!I:I,CRUCE!M:M)</f>
        <v>READY</v>
      </c>
      <c r="AW530" t="s">
        <v>1907</v>
      </c>
      <c r="AX530">
        <f>+SUMIFS(CRUCE!C:C,CRUCE!A:A,D530,CRUCE!B:B,'2021'!H530)</f>
        <v>0</v>
      </c>
    </row>
    <row r="531" spans="1:50" hidden="1" x14ac:dyDescent="0.3">
      <c r="A531">
        <v>2021</v>
      </c>
      <c r="B531">
        <v>6</v>
      </c>
      <c r="C531">
        <v>12</v>
      </c>
      <c r="D531" s="5" t="s">
        <v>44</v>
      </c>
      <c r="E531" s="14">
        <v>45632</v>
      </c>
      <c r="F531">
        <v>12</v>
      </c>
      <c r="H531" s="8" t="s">
        <v>367</v>
      </c>
      <c r="I531" t="s">
        <v>909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5619.52</v>
      </c>
      <c r="Y531" s="11">
        <v>0</v>
      </c>
      <c r="Z531" s="17">
        <v>5619.52</v>
      </c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11">
        <v>0</v>
      </c>
      <c r="AG531" s="11">
        <v>5619.52</v>
      </c>
      <c r="AH531" s="11">
        <v>0</v>
      </c>
      <c r="AI531" s="12">
        <v>5619.52</v>
      </c>
      <c r="AJ531" s="11">
        <v>5619.52</v>
      </c>
      <c r="AK531" s="11">
        <v>0</v>
      </c>
      <c r="AL531" s="11">
        <v>0</v>
      </c>
      <c r="AM531" s="11">
        <v>5619.52</v>
      </c>
      <c r="AN531" s="11">
        <v>5619.52</v>
      </c>
      <c r="AO531" s="11">
        <v>0</v>
      </c>
      <c r="AP531" s="11">
        <v>5619.52</v>
      </c>
      <c r="AQ531" s="11">
        <v>0</v>
      </c>
      <c r="AR531" s="11">
        <v>0</v>
      </c>
      <c r="AS531" t="s">
        <v>48</v>
      </c>
      <c r="AT531"/>
    </row>
    <row r="532" spans="1:50" hidden="1" x14ac:dyDescent="0.3">
      <c r="A532">
        <v>2021</v>
      </c>
      <c r="B532">
        <v>6</v>
      </c>
      <c r="C532">
        <v>1205</v>
      </c>
      <c r="D532" s="5" t="s">
        <v>44</v>
      </c>
      <c r="E532" s="8" t="s">
        <v>984</v>
      </c>
      <c r="F532">
        <v>1205</v>
      </c>
      <c r="H532" s="8" t="s">
        <v>379</v>
      </c>
      <c r="I532" t="s">
        <v>909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5619.52</v>
      </c>
      <c r="Y532" s="11">
        <v>0</v>
      </c>
      <c r="Z532" s="17">
        <v>5619.52</v>
      </c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11">
        <v>0</v>
      </c>
      <c r="AG532" s="11">
        <v>5619.52</v>
      </c>
      <c r="AH532" s="11">
        <v>0</v>
      </c>
      <c r="AI532" s="12">
        <v>5619.52</v>
      </c>
      <c r="AJ532" s="11">
        <v>5619.52</v>
      </c>
      <c r="AK532" s="11">
        <v>0</v>
      </c>
      <c r="AL532" s="11">
        <v>0</v>
      </c>
      <c r="AM532" s="11">
        <v>5619.52</v>
      </c>
      <c r="AN532" s="11">
        <v>5619.52</v>
      </c>
      <c r="AO532" s="11">
        <v>0</v>
      </c>
      <c r="AP532" s="11">
        <v>5619.52</v>
      </c>
      <c r="AQ532" s="11">
        <v>0</v>
      </c>
      <c r="AR532" s="11">
        <v>0</v>
      </c>
      <c r="AS532" t="s">
        <v>48</v>
      </c>
      <c r="AT532"/>
    </row>
    <row r="533" spans="1:50" hidden="1" x14ac:dyDescent="0.3">
      <c r="A533">
        <v>2021</v>
      </c>
      <c r="B533">
        <v>6</v>
      </c>
      <c r="C533">
        <v>120502</v>
      </c>
      <c r="D533" s="5" t="s">
        <v>44</v>
      </c>
      <c r="E533" s="8" t="s">
        <v>985</v>
      </c>
      <c r="F533">
        <v>120502</v>
      </c>
      <c r="H533" s="8" t="s">
        <v>381</v>
      </c>
      <c r="I533" t="s">
        <v>909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5619.52</v>
      </c>
      <c r="Y533" s="11">
        <v>0</v>
      </c>
      <c r="Z533" s="17">
        <v>5619.52</v>
      </c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11">
        <v>0</v>
      </c>
      <c r="AG533" s="11">
        <v>5619.52</v>
      </c>
      <c r="AH533" s="11">
        <v>0</v>
      </c>
      <c r="AI533" s="12">
        <v>5619.52</v>
      </c>
      <c r="AJ533" s="11">
        <v>5619.52</v>
      </c>
      <c r="AK533" s="11">
        <v>0</v>
      </c>
      <c r="AL533" s="11">
        <v>0</v>
      </c>
      <c r="AM533" s="11">
        <v>5619.52</v>
      </c>
      <c r="AN533" s="11">
        <v>5619.52</v>
      </c>
      <c r="AO533" s="11">
        <v>0</v>
      </c>
      <c r="AP533" s="11">
        <v>5619.52</v>
      </c>
      <c r="AQ533" s="11">
        <v>0</v>
      </c>
      <c r="AR533" s="11">
        <v>0</v>
      </c>
      <c r="AS533" t="s">
        <v>48</v>
      </c>
      <c r="AT533"/>
    </row>
    <row r="534" spans="1:50" hidden="1" x14ac:dyDescent="0.3">
      <c r="A534">
        <v>2021</v>
      </c>
      <c r="B534">
        <v>6</v>
      </c>
      <c r="C534">
        <v>120502001</v>
      </c>
      <c r="D534" s="5" t="s">
        <v>44</v>
      </c>
      <c r="E534" s="8" t="s">
        <v>986</v>
      </c>
      <c r="F534">
        <v>120502001</v>
      </c>
      <c r="H534" s="8" t="s">
        <v>46</v>
      </c>
      <c r="I534" t="s">
        <v>909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5619.52</v>
      </c>
      <c r="Y534" s="11">
        <v>0</v>
      </c>
      <c r="Z534" s="17">
        <v>5619.52</v>
      </c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11">
        <v>0</v>
      </c>
      <c r="AG534" s="11">
        <v>5619.52</v>
      </c>
      <c r="AH534" s="11">
        <v>0</v>
      </c>
      <c r="AI534" s="12">
        <v>5619.52</v>
      </c>
      <c r="AJ534" s="11">
        <v>5619.52</v>
      </c>
      <c r="AK534" s="11">
        <v>0</v>
      </c>
      <c r="AL534" s="11">
        <v>0</v>
      </c>
      <c r="AM534" s="11">
        <v>5619.52</v>
      </c>
      <c r="AN534" s="11">
        <v>5619.52</v>
      </c>
      <c r="AO534" s="11">
        <v>0</v>
      </c>
      <c r="AP534" s="11">
        <v>5619.52</v>
      </c>
      <c r="AQ534" s="11">
        <v>0</v>
      </c>
      <c r="AR534" s="11">
        <v>0</v>
      </c>
      <c r="AS534" t="s">
        <v>48</v>
      </c>
      <c r="AT534"/>
    </row>
    <row r="535" spans="1:50" hidden="1" x14ac:dyDescent="0.3">
      <c r="A535">
        <v>2021</v>
      </c>
      <c r="B535">
        <v>6</v>
      </c>
      <c r="C535">
        <v>12050200101</v>
      </c>
      <c r="D535" s="5" t="s">
        <v>44</v>
      </c>
      <c r="E535" s="8" t="s">
        <v>987</v>
      </c>
      <c r="F535">
        <v>12050200101</v>
      </c>
      <c r="H535" s="8" t="s">
        <v>50</v>
      </c>
      <c r="I535" t="s">
        <v>909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5619.52</v>
      </c>
      <c r="Y535" s="11">
        <v>0</v>
      </c>
      <c r="Z535" s="17">
        <v>5619.52</v>
      </c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11">
        <v>0</v>
      </c>
      <c r="AG535" s="11">
        <v>5619.52</v>
      </c>
      <c r="AH535" s="11">
        <v>0</v>
      </c>
      <c r="AI535" s="12">
        <v>5619.52</v>
      </c>
      <c r="AJ535" s="11">
        <v>5619.52</v>
      </c>
      <c r="AK535" s="11">
        <v>0</v>
      </c>
      <c r="AL535" s="11">
        <v>0</v>
      </c>
      <c r="AM535" s="11">
        <v>5619.52</v>
      </c>
      <c r="AN535" s="11">
        <v>5619.52</v>
      </c>
      <c r="AO535" s="11">
        <v>0</v>
      </c>
      <c r="AP535" s="11">
        <v>5619.52</v>
      </c>
      <c r="AQ535" s="11">
        <v>0</v>
      </c>
      <c r="AR535" s="11">
        <v>0</v>
      </c>
      <c r="AS535" t="s">
        <v>48</v>
      </c>
      <c r="AT535"/>
    </row>
    <row r="536" spans="1:50" hidden="1" x14ac:dyDescent="0.3">
      <c r="A536">
        <v>2021</v>
      </c>
      <c r="B536">
        <v>6</v>
      </c>
      <c r="C536">
        <v>1205020010102</v>
      </c>
      <c r="D536" s="5" t="s">
        <v>44</v>
      </c>
      <c r="E536" s="8" t="s">
        <v>988</v>
      </c>
      <c r="F536">
        <v>1205020010102</v>
      </c>
      <c r="H536" s="8" t="s">
        <v>145</v>
      </c>
      <c r="I536" t="s">
        <v>909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5619.52</v>
      </c>
      <c r="Y536" s="11">
        <v>0</v>
      </c>
      <c r="Z536" s="17">
        <v>5619.52</v>
      </c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11">
        <v>0</v>
      </c>
      <c r="AG536" s="11">
        <v>5619.52</v>
      </c>
      <c r="AH536" s="11">
        <v>0</v>
      </c>
      <c r="AI536" s="12">
        <v>5619.52</v>
      </c>
      <c r="AJ536" s="11">
        <v>5619.52</v>
      </c>
      <c r="AK536" s="11">
        <v>0</v>
      </c>
      <c r="AL536" s="11">
        <v>0</v>
      </c>
      <c r="AM536" s="11">
        <v>5619.52</v>
      </c>
      <c r="AN536" s="11">
        <v>5619.52</v>
      </c>
      <c r="AO536" s="11">
        <v>0</v>
      </c>
      <c r="AP536" s="11">
        <v>5619.52</v>
      </c>
      <c r="AQ536" s="11">
        <v>0</v>
      </c>
      <c r="AR536" s="11">
        <v>0</v>
      </c>
      <c r="AS536" t="s">
        <v>48</v>
      </c>
      <c r="AT536"/>
    </row>
    <row r="537" spans="1:50" hidden="1" x14ac:dyDescent="0.3">
      <c r="A537">
        <v>2021</v>
      </c>
      <c r="B537">
        <v>6</v>
      </c>
      <c r="C537">
        <v>120502001010206</v>
      </c>
      <c r="D537" s="5" t="s">
        <v>44</v>
      </c>
      <c r="E537" s="8" t="s">
        <v>989</v>
      </c>
      <c r="F537">
        <v>120502001010206</v>
      </c>
      <c r="H537" s="8" t="s">
        <v>242</v>
      </c>
      <c r="I537" t="s">
        <v>909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5619.52</v>
      </c>
      <c r="Y537" s="11">
        <v>0</v>
      </c>
      <c r="Z537" s="17">
        <v>5619.52</v>
      </c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11">
        <v>0</v>
      </c>
      <c r="AG537" s="11">
        <v>5619.52</v>
      </c>
      <c r="AH537" s="11">
        <v>0</v>
      </c>
      <c r="AI537" s="12">
        <v>5619.52</v>
      </c>
      <c r="AJ537" s="11">
        <v>5619.52</v>
      </c>
      <c r="AK537" s="11">
        <v>0</v>
      </c>
      <c r="AL537" s="11">
        <v>0</v>
      </c>
      <c r="AM537" s="11">
        <v>5619.52</v>
      </c>
      <c r="AN537" s="11">
        <v>5619.52</v>
      </c>
      <c r="AO537" s="11">
        <v>0</v>
      </c>
      <c r="AP537" s="11">
        <v>5619.52</v>
      </c>
      <c r="AQ537" s="11">
        <v>0</v>
      </c>
      <c r="AR537" s="11">
        <v>0</v>
      </c>
      <c r="AS537" t="s">
        <v>48</v>
      </c>
      <c r="AT537"/>
    </row>
    <row r="538" spans="1:50" x14ac:dyDescent="0.3">
      <c r="A538">
        <v>2021</v>
      </c>
      <c r="B538">
        <v>6</v>
      </c>
      <c r="C538">
        <v>1.20502001010206E+17</v>
      </c>
      <c r="D538" s="5">
        <v>70</v>
      </c>
      <c r="E538" s="8" t="s">
        <v>990</v>
      </c>
      <c r="F538">
        <v>1.20502001010206E+17</v>
      </c>
      <c r="G538" t="s">
        <v>1909</v>
      </c>
      <c r="H538" s="8" t="s">
        <v>991</v>
      </c>
      <c r="I538" t="s">
        <v>909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5619.52</v>
      </c>
      <c r="Y538" s="11">
        <v>0</v>
      </c>
      <c r="Z538" s="17">
        <v>5619.52</v>
      </c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11">
        <v>0</v>
      </c>
      <c r="AG538" s="11">
        <v>5619.52</v>
      </c>
      <c r="AH538" s="11">
        <v>0</v>
      </c>
      <c r="AI538" s="12">
        <v>5619.52</v>
      </c>
      <c r="AJ538" s="11">
        <v>5619.52</v>
      </c>
      <c r="AK538" s="11">
        <v>0</v>
      </c>
      <c r="AL538" s="11">
        <v>0</v>
      </c>
      <c r="AM538" s="11">
        <v>5619.52</v>
      </c>
      <c r="AN538" s="11">
        <v>5619.52</v>
      </c>
      <c r="AO538" s="11">
        <v>0</v>
      </c>
      <c r="AP538" s="11">
        <v>5619.52</v>
      </c>
      <c r="AQ538" s="11">
        <v>0</v>
      </c>
      <c r="AR538" s="11">
        <v>0</v>
      </c>
      <c r="AS538" t="s">
        <v>918</v>
      </c>
      <c r="AT538" s="4" t="str">
        <f>+H538</f>
        <v>Sistema General de Regalias</v>
      </c>
      <c r="AU538" s="7" t="str">
        <f>+$D538&amp;$AT538&amp;Z538</f>
        <v>70Sistema General de Regalias5619,52</v>
      </c>
      <c r="AV538" t="str">
        <f>+_xlfn.XLOOKUP(AU538,CRUCE!I:I,CRUCE!M:M)</f>
        <v>READY</v>
      </c>
      <c r="AW538" t="s">
        <v>1907</v>
      </c>
      <c r="AX538">
        <f>+SUMIFS(CRUCE!C:C,CRUCE!A:A,D538,CRUCE!B:B,'2021'!H538)</f>
        <v>5619.52</v>
      </c>
    </row>
    <row r="539" spans="1:50" hidden="1" x14ac:dyDescent="0.3">
      <c r="A539">
        <v>2021</v>
      </c>
      <c r="B539">
        <v>8</v>
      </c>
      <c r="C539">
        <v>1</v>
      </c>
      <c r="D539" s="5" t="s">
        <v>44</v>
      </c>
      <c r="E539" s="14">
        <v>45299</v>
      </c>
      <c r="F539">
        <v>1</v>
      </c>
      <c r="H539" s="8" t="s">
        <v>46</v>
      </c>
      <c r="I539" t="s">
        <v>992</v>
      </c>
      <c r="J539" s="11">
        <v>0</v>
      </c>
      <c r="K539" s="11">
        <v>0</v>
      </c>
      <c r="L539" s="11">
        <v>1949951663.8900001</v>
      </c>
      <c r="M539" s="11">
        <v>0</v>
      </c>
      <c r="N539" s="11">
        <v>1949951663.8900001</v>
      </c>
      <c r="O539" s="11">
        <v>1949951663.8900001</v>
      </c>
      <c r="P539" s="11">
        <v>0</v>
      </c>
      <c r="Q539" s="11">
        <v>1949951663.8900001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1949951663.8900001</v>
      </c>
      <c r="Y539" s="11">
        <v>0</v>
      </c>
      <c r="Z539" s="17">
        <v>1949951663.8900001</v>
      </c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11">
        <v>0</v>
      </c>
      <c r="AG539" s="11">
        <v>1949951663.8900001</v>
      </c>
      <c r="AH539" s="11">
        <v>0</v>
      </c>
      <c r="AI539" s="12">
        <v>1949951663.8900001</v>
      </c>
      <c r="AJ539" s="11">
        <v>1949951663.8900001</v>
      </c>
      <c r="AK539" s="11">
        <v>1949951663.8900001</v>
      </c>
      <c r="AL539" s="11">
        <v>1949951663.8900001</v>
      </c>
      <c r="AM539" s="11">
        <v>0</v>
      </c>
      <c r="AN539" s="11">
        <v>0</v>
      </c>
      <c r="AO539" s="11">
        <v>0</v>
      </c>
      <c r="AP539" s="11">
        <v>0</v>
      </c>
      <c r="AQ539" s="11">
        <v>0</v>
      </c>
      <c r="AR539" s="11">
        <v>0</v>
      </c>
      <c r="AS539" t="s">
        <v>48</v>
      </c>
      <c r="AT539"/>
    </row>
    <row r="540" spans="1:50" hidden="1" x14ac:dyDescent="0.3">
      <c r="A540">
        <v>2021</v>
      </c>
      <c r="B540">
        <v>8</v>
      </c>
      <c r="C540">
        <v>12</v>
      </c>
      <c r="D540" s="5" t="s">
        <v>44</v>
      </c>
      <c r="E540" s="14">
        <v>45634</v>
      </c>
      <c r="F540">
        <v>12</v>
      </c>
      <c r="H540" s="8" t="s">
        <v>367</v>
      </c>
      <c r="I540" t="s">
        <v>992</v>
      </c>
      <c r="J540" s="11">
        <v>0</v>
      </c>
      <c r="K540" s="11">
        <v>0</v>
      </c>
      <c r="L540" s="11">
        <v>1949951663.8900001</v>
      </c>
      <c r="M540" s="11">
        <v>0</v>
      </c>
      <c r="N540" s="11">
        <v>1949951663.8900001</v>
      </c>
      <c r="O540" s="11">
        <v>1949951663.8900001</v>
      </c>
      <c r="P540" s="11">
        <v>0</v>
      </c>
      <c r="Q540" s="11">
        <v>1949951663.8900001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1949951663.8900001</v>
      </c>
      <c r="Y540" s="11">
        <v>0</v>
      </c>
      <c r="Z540" s="17">
        <v>1949951663.8900001</v>
      </c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11">
        <v>0</v>
      </c>
      <c r="AG540" s="11">
        <v>1949951663.8900001</v>
      </c>
      <c r="AH540" s="11">
        <v>0</v>
      </c>
      <c r="AI540" s="12">
        <v>1949951663.8900001</v>
      </c>
      <c r="AJ540" s="11">
        <v>1949951663.8900001</v>
      </c>
      <c r="AK540" s="11">
        <v>1949951663.8900001</v>
      </c>
      <c r="AL540" s="11">
        <v>1949951663.8900001</v>
      </c>
      <c r="AM540" s="11">
        <v>0</v>
      </c>
      <c r="AN540" s="11">
        <v>0</v>
      </c>
      <c r="AO540" s="11">
        <v>0</v>
      </c>
      <c r="AP540" s="11">
        <v>0</v>
      </c>
      <c r="AQ540" s="11">
        <v>0</v>
      </c>
      <c r="AR540" s="11">
        <v>0</v>
      </c>
      <c r="AS540" t="s">
        <v>48</v>
      </c>
      <c r="AT540"/>
    </row>
    <row r="541" spans="1:50" hidden="1" x14ac:dyDescent="0.3">
      <c r="A541">
        <v>2021</v>
      </c>
      <c r="B541">
        <v>8</v>
      </c>
      <c r="C541">
        <v>1210</v>
      </c>
      <c r="D541" s="5" t="s">
        <v>44</v>
      </c>
      <c r="E541" s="8" t="s">
        <v>993</v>
      </c>
      <c r="F541">
        <v>1210</v>
      </c>
      <c r="H541" s="8" t="s">
        <v>474</v>
      </c>
      <c r="I541" t="s">
        <v>992</v>
      </c>
      <c r="J541" s="11">
        <v>0</v>
      </c>
      <c r="K541" s="11">
        <v>0</v>
      </c>
      <c r="L541" s="11">
        <v>1949951663.8900001</v>
      </c>
      <c r="M541" s="11">
        <v>0</v>
      </c>
      <c r="N541" s="11">
        <v>1949951663.8900001</v>
      </c>
      <c r="O541" s="11">
        <v>1949951663.8900001</v>
      </c>
      <c r="P541" s="11">
        <v>0</v>
      </c>
      <c r="Q541" s="11">
        <v>1949951663.8900001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1949951663.8900001</v>
      </c>
      <c r="Y541" s="11">
        <v>0</v>
      </c>
      <c r="Z541" s="17">
        <v>1949951663.8900001</v>
      </c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11">
        <v>0</v>
      </c>
      <c r="AG541" s="11">
        <v>1949951663.8900001</v>
      </c>
      <c r="AH541" s="11">
        <v>0</v>
      </c>
      <c r="AI541" s="12">
        <v>1949951663.8900001</v>
      </c>
      <c r="AJ541" s="11">
        <v>1949951663.8900001</v>
      </c>
      <c r="AK541" s="11">
        <v>1949951663.8900001</v>
      </c>
      <c r="AL541" s="11">
        <v>1949951663.8900001</v>
      </c>
      <c r="AM541" s="11">
        <v>0</v>
      </c>
      <c r="AN541" s="11">
        <v>0</v>
      </c>
      <c r="AO541" s="11">
        <v>0</v>
      </c>
      <c r="AP541" s="11">
        <v>0</v>
      </c>
      <c r="AQ541" s="11">
        <v>0</v>
      </c>
      <c r="AR541" s="11">
        <v>0</v>
      </c>
      <c r="AS541" t="s">
        <v>48</v>
      </c>
      <c r="AT541"/>
    </row>
    <row r="542" spans="1:50" hidden="1" x14ac:dyDescent="0.3">
      <c r="A542">
        <v>2021</v>
      </c>
      <c r="B542">
        <v>8</v>
      </c>
      <c r="C542">
        <v>121002</v>
      </c>
      <c r="D542" s="5" t="s">
        <v>44</v>
      </c>
      <c r="E542" s="8" t="s">
        <v>994</v>
      </c>
      <c r="F542">
        <v>121002</v>
      </c>
      <c r="H542" s="8" t="s">
        <v>476</v>
      </c>
      <c r="I542" t="s">
        <v>992</v>
      </c>
      <c r="J542" s="11">
        <v>0</v>
      </c>
      <c r="K542" s="11">
        <v>0</v>
      </c>
      <c r="L542" s="11">
        <v>1949951663.8900001</v>
      </c>
      <c r="M542" s="11">
        <v>0</v>
      </c>
      <c r="N542" s="11">
        <v>1949951663.8900001</v>
      </c>
      <c r="O542" s="11">
        <v>1949951663.8900001</v>
      </c>
      <c r="P542" s="11">
        <v>0</v>
      </c>
      <c r="Q542" s="11">
        <v>1949951663.8900001</v>
      </c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1949951663.8900001</v>
      </c>
      <c r="Y542" s="11">
        <v>0</v>
      </c>
      <c r="Z542" s="17">
        <v>1949951663.8900001</v>
      </c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11">
        <v>0</v>
      </c>
      <c r="AG542" s="11">
        <v>1949951663.8900001</v>
      </c>
      <c r="AH542" s="11">
        <v>0</v>
      </c>
      <c r="AI542" s="12">
        <v>1949951663.8900001</v>
      </c>
      <c r="AJ542" s="11">
        <v>1949951663.8900001</v>
      </c>
      <c r="AK542" s="11">
        <v>1949951663.8900001</v>
      </c>
      <c r="AL542" s="11">
        <v>1949951663.8900001</v>
      </c>
      <c r="AM542" s="11">
        <v>0</v>
      </c>
      <c r="AN542" s="11">
        <v>0</v>
      </c>
      <c r="AO542" s="11">
        <v>0</v>
      </c>
      <c r="AP542" s="11">
        <v>0</v>
      </c>
      <c r="AQ542" s="11">
        <v>0</v>
      </c>
      <c r="AR542" s="11">
        <v>0</v>
      </c>
      <c r="AS542" t="s">
        <v>48</v>
      </c>
      <c r="AT542"/>
    </row>
    <row r="543" spans="1:50" hidden="1" x14ac:dyDescent="0.3">
      <c r="A543">
        <v>2021</v>
      </c>
      <c r="B543">
        <v>8</v>
      </c>
      <c r="C543">
        <v>121002001</v>
      </c>
      <c r="D543" s="5" t="s">
        <v>44</v>
      </c>
      <c r="E543" s="8" t="s">
        <v>995</v>
      </c>
      <c r="F543">
        <v>121002001</v>
      </c>
      <c r="H543" s="8" t="s">
        <v>478</v>
      </c>
      <c r="I543" t="s">
        <v>992</v>
      </c>
      <c r="J543" s="11">
        <v>0</v>
      </c>
      <c r="K543" s="11">
        <v>0</v>
      </c>
      <c r="L543" s="11">
        <v>3461069</v>
      </c>
      <c r="M543" s="11">
        <v>0</v>
      </c>
      <c r="N543" s="11">
        <v>3461069</v>
      </c>
      <c r="O543" s="11">
        <v>3461069</v>
      </c>
      <c r="P543" s="11">
        <v>0</v>
      </c>
      <c r="Q543" s="11">
        <v>3461069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3461069</v>
      </c>
      <c r="Y543" s="11">
        <v>0</v>
      </c>
      <c r="Z543" s="17">
        <v>3461069</v>
      </c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11">
        <v>0</v>
      </c>
      <c r="AG543" s="11">
        <v>3461069</v>
      </c>
      <c r="AH543" s="11">
        <v>0</v>
      </c>
      <c r="AI543" s="12">
        <v>3461069</v>
      </c>
      <c r="AJ543" s="11">
        <v>3461069</v>
      </c>
      <c r="AK543" s="11">
        <v>3461069</v>
      </c>
      <c r="AL543" s="11">
        <v>3461069</v>
      </c>
      <c r="AM543" s="11">
        <v>0</v>
      </c>
      <c r="AN543" s="11">
        <v>0</v>
      </c>
      <c r="AO543" s="11">
        <v>0</v>
      </c>
      <c r="AP543" s="11">
        <v>0</v>
      </c>
      <c r="AQ543" s="11">
        <v>0</v>
      </c>
      <c r="AR543" s="11">
        <v>0</v>
      </c>
      <c r="AS543" t="s">
        <v>48</v>
      </c>
      <c r="AT543"/>
    </row>
    <row r="544" spans="1:50" x14ac:dyDescent="0.3">
      <c r="A544">
        <v>2021</v>
      </c>
      <c r="B544">
        <v>8</v>
      </c>
      <c r="C544">
        <v>12100200101</v>
      </c>
      <c r="D544" s="5">
        <v>88</v>
      </c>
      <c r="E544" s="8" t="s">
        <v>996</v>
      </c>
      <c r="F544">
        <v>12100200101</v>
      </c>
      <c r="G544" t="s">
        <v>1910</v>
      </c>
      <c r="H544" s="8" t="s">
        <v>480</v>
      </c>
      <c r="I544" t="s">
        <v>992</v>
      </c>
      <c r="J544" s="11">
        <v>0</v>
      </c>
      <c r="K544" s="11">
        <v>0</v>
      </c>
      <c r="L544" s="11">
        <v>3461069</v>
      </c>
      <c r="M544" s="11">
        <v>0</v>
      </c>
      <c r="N544" s="11">
        <v>3461069</v>
      </c>
      <c r="O544" s="11">
        <v>3461069</v>
      </c>
      <c r="P544" s="11">
        <v>0</v>
      </c>
      <c r="Q544" s="11">
        <v>3461069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3461069</v>
      </c>
      <c r="Y544" s="11">
        <v>0</v>
      </c>
      <c r="Z544" s="17">
        <v>3461069</v>
      </c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11">
        <v>0</v>
      </c>
      <c r="AG544" s="11">
        <v>3461069</v>
      </c>
      <c r="AH544" s="11">
        <v>0</v>
      </c>
      <c r="AI544" s="12">
        <v>3461069</v>
      </c>
      <c r="AJ544" s="11">
        <v>3461069</v>
      </c>
      <c r="AK544" s="11">
        <v>3461069</v>
      </c>
      <c r="AL544" s="11">
        <v>3461069</v>
      </c>
      <c r="AM544" s="11">
        <v>0</v>
      </c>
      <c r="AN544" s="11">
        <v>0</v>
      </c>
      <c r="AO544" s="11">
        <v>0</v>
      </c>
      <c r="AP544" s="11">
        <v>0</v>
      </c>
      <c r="AQ544" s="11">
        <v>0</v>
      </c>
      <c r="AR544" s="11">
        <v>0</v>
      </c>
      <c r="AS544" t="s">
        <v>471</v>
      </c>
      <c r="AT544" s="4" t="str">
        <f>+H544</f>
        <v xml:space="preserve">Superávit Recurso Ordinario </v>
      </c>
      <c r="AU544" s="7" t="str">
        <f>+$D544&amp;$AT544&amp;Z544</f>
        <v>88Superávit Recurso Ordinario 3461069</v>
      </c>
      <c r="AV544" t="e">
        <f>+_xlfn.XLOOKUP(AU544,CRUCE!I:I,CRUCE!M:M)</f>
        <v>#N/A</v>
      </c>
      <c r="AW544" t="s">
        <v>1907</v>
      </c>
      <c r="AX544">
        <f>+SUMIFS(CRUCE!C:C,CRUCE!A:A,D544,CRUCE!B:B,'2021'!H544)</f>
        <v>20842997274.400002</v>
      </c>
    </row>
    <row r="545" spans="1:50" hidden="1" x14ac:dyDescent="0.3">
      <c r="A545">
        <v>2021</v>
      </c>
      <c r="B545">
        <v>8</v>
      </c>
      <c r="C545">
        <v>121002002</v>
      </c>
      <c r="D545" s="5" t="s">
        <v>44</v>
      </c>
      <c r="E545" s="8" t="s">
        <v>997</v>
      </c>
      <c r="F545">
        <v>121002002</v>
      </c>
      <c r="H545" s="8" t="s">
        <v>482</v>
      </c>
      <c r="I545" t="s">
        <v>992</v>
      </c>
      <c r="J545" s="11">
        <v>0</v>
      </c>
      <c r="K545" s="11">
        <v>0</v>
      </c>
      <c r="L545" s="11">
        <v>1946490594.8900001</v>
      </c>
      <c r="M545" s="11">
        <v>0</v>
      </c>
      <c r="N545" s="11">
        <v>1946490594.8900001</v>
      </c>
      <c r="O545" s="11">
        <v>1946490594.8900001</v>
      </c>
      <c r="P545" s="11">
        <v>0</v>
      </c>
      <c r="Q545" s="11">
        <v>1946490594.8900001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1946490594.8900001</v>
      </c>
      <c r="Y545" s="11">
        <v>0</v>
      </c>
      <c r="Z545" s="17">
        <v>1946490594.8900001</v>
      </c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11">
        <v>0</v>
      </c>
      <c r="AG545" s="11">
        <v>1946490594.8900001</v>
      </c>
      <c r="AH545" s="11">
        <v>0</v>
      </c>
      <c r="AI545" s="12">
        <v>1946490594.8900001</v>
      </c>
      <c r="AJ545" s="11">
        <v>1946490594.8900001</v>
      </c>
      <c r="AK545" s="11">
        <v>1946490594.8900001</v>
      </c>
      <c r="AL545" s="11">
        <v>1946490594.8900001</v>
      </c>
      <c r="AM545" s="11">
        <v>0</v>
      </c>
      <c r="AN545" s="11">
        <v>0</v>
      </c>
      <c r="AO545" s="11">
        <v>0</v>
      </c>
      <c r="AP545" s="11">
        <v>0</v>
      </c>
      <c r="AQ545" s="11">
        <v>0</v>
      </c>
      <c r="AR545" s="11">
        <v>0</v>
      </c>
      <c r="AS545" t="s">
        <v>48</v>
      </c>
      <c r="AT545"/>
    </row>
    <row r="546" spans="1:50" x14ac:dyDescent="0.3">
      <c r="A546">
        <v>2021</v>
      </c>
      <c r="B546">
        <v>8</v>
      </c>
      <c r="C546">
        <v>12100200201</v>
      </c>
      <c r="D546" s="5">
        <v>82</v>
      </c>
      <c r="E546" s="8" t="s">
        <v>998</v>
      </c>
      <c r="F546">
        <v>12100200201</v>
      </c>
      <c r="G546" t="s">
        <v>1910</v>
      </c>
      <c r="H546" s="8" t="s">
        <v>484</v>
      </c>
      <c r="I546" t="s">
        <v>992</v>
      </c>
      <c r="J546" s="11">
        <v>0</v>
      </c>
      <c r="K546" s="11">
        <v>0</v>
      </c>
      <c r="L546" s="11">
        <v>410006913.41000003</v>
      </c>
      <c r="M546" s="11">
        <v>0</v>
      </c>
      <c r="N546" s="11">
        <v>410006913.41000003</v>
      </c>
      <c r="O546" s="11">
        <v>410006913.41000003</v>
      </c>
      <c r="P546" s="11">
        <v>0</v>
      </c>
      <c r="Q546" s="11">
        <v>410006913.41000003</v>
      </c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410006913.41000003</v>
      </c>
      <c r="Y546" s="11">
        <v>0</v>
      </c>
      <c r="Z546" s="17">
        <v>410006913.41000003</v>
      </c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11">
        <v>0</v>
      </c>
      <c r="AG546" s="11">
        <v>410006913.41000003</v>
      </c>
      <c r="AH546" s="11">
        <v>0</v>
      </c>
      <c r="AI546" s="12">
        <v>410006913.41000003</v>
      </c>
      <c r="AJ546" s="11">
        <v>410006913.41000003</v>
      </c>
      <c r="AK546" s="11">
        <v>410006913.41000003</v>
      </c>
      <c r="AL546" s="11">
        <v>410006913.41000003</v>
      </c>
      <c r="AM546" s="11">
        <v>0</v>
      </c>
      <c r="AN546" s="11">
        <v>0</v>
      </c>
      <c r="AO546" s="11">
        <v>0</v>
      </c>
      <c r="AP546" s="11">
        <v>0</v>
      </c>
      <c r="AQ546" s="11">
        <v>0</v>
      </c>
      <c r="AR546" s="11">
        <v>0</v>
      </c>
      <c r="AS546" t="s">
        <v>485</v>
      </c>
      <c r="AT546" s="4" t="str">
        <f t="shared" ref="AT546:AT549" si="95">+H546</f>
        <v>Superávit Estampilla Pro-Desarrollo</v>
      </c>
      <c r="AU546" s="7" t="str">
        <f t="shared" ref="AU546:AU549" si="96">+$D546&amp;$AT546&amp;Z546</f>
        <v>82Superávit Estampilla Pro-Desarrollo410006913,41</v>
      </c>
      <c r="AV546" t="e">
        <f>+_xlfn.XLOOKUP(AU546,CRUCE!I:I,CRUCE!M:M)</f>
        <v>#N/A</v>
      </c>
      <c r="AW546" t="s">
        <v>1907</v>
      </c>
      <c r="AX546">
        <f>+SUMIFS(CRUCE!C:C,CRUCE!A:A,D546,CRUCE!B:B,'2021'!H546)</f>
        <v>1668135329.8800001</v>
      </c>
    </row>
    <row r="547" spans="1:50" x14ac:dyDescent="0.3">
      <c r="A547">
        <v>2021</v>
      </c>
      <c r="B547">
        <v>8</v>
      </c>
      <c r="C547">
        <v>12100200202</v>
      </c>
      <c r="D547" s="5">
        <v>157</v>
      </c>
      <c r="E547" s="8" t="s">
        <v>999</v>
      </c>
      <c r="F547">
        <v>12100200202</v>
      </c>
      <c r="G547" t="s">
        <v>1910</v>
      </c>
      <c r="H547" s="8" t="s">
        <v>1000</v>
      </c>
      <c r="I547" t="s">
        <v>992</v>
      </c>
      <c r="J547" s="11">
        <v>0</v>
      </c>
      <c r="K547" s="11">
        <v>0</v>
      </c>
      <c r="L547" s="11">
        <v>81344585.480000004</v>
      </c>
      <c r="M547" s="11">
        <v>0</v>
      </c>
      <c r="N547" s="11">
        <v>81344585.480000004</v>
      </c>
      <c r="O547" s="11">
        <v>81344585.480000004</v>
      </c>
      <c r="P547" s="11">
        <v>0</v>
      </c>
      <c r="Q547" s="11">
        <v>81344585.480000004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81344585.480000004</v>
      </c>
      <c r="Y547" s="11">
        <v>0</v>
      </c>
      <c r="Z547" s="17">
        <v>81344585.480000004</v>
      </c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11">
        <v>0</v>
      </c>
      <c r="AG547" s="11">
        <v>81344585.480000004</v>
      </c>
      <c r="AH547" s="11">
        <v>0</v>
      </c>
      <c r="AI547" s="12">
        <v>81344585.480000004</v>
      </c>
      <c r="AJ547" s="11">
        <v>81344585.480000004</v>
      </c>
      <c r="AK547" s="11">
        <v>81344585.480000004</v>
      </c>
      <c r="AL547" s="11">
        <v>81344585.480000004</v>
      </c>
      <c r="AM547" s="11">
        <v>0</v>
      </c>
      <c r="AN547" s="11">
        <v>0</v>
      </c>
      <c r="AO547" s="11">
        <v>0</v>
      </c>
      <c r="AP547" s="11">
        <v>0</v>
      </c>
      <c r="AQ547" s="11">
        <v>0</v>
      </c>
      <c r="AR547" s="11">
        <v>0</v>
      </c>
      <c r="AS547" t="s">
        <v>1001</v>
      </c>
      <c r="AT547" s="4" t="str">
        <f t="shared" si="95"/>
        <v>Superávit Recursos del Crédito</v>
      </c>
      <c r="AU547" s="7" t="str">
        <f t="shared" si="96"/>
        <v>157Superávit Recursos del Crédito81344585,48</v>
      </c>
      <c r="AV547" t="str">
        <f>+_xlfn.XLOOKUP(AU547,CRUCE!I:I,CRUCE!M:M)</f>
        <v>READY</v>
      </c>
      <c r="AW547" t="s">
        <v>1907</v>
      </c>
      <c r="AX547">
        <f>+SUMIFS(CRUCE!C:C,CRUCE!A:A,D547,CRUCE!B:B,'2021'!H547)</f>
        <v>81344585.480000004</v>
      </c>
    </row>
    <row r="548" spans="1:50" x14ac:dyDescent="0.3">
      <c r="A548">
        <v>2021</v>
      </c>
      <c r="B548">
        <v>8</v>
      </c>
      <c r="C548">
        <v>12100200203</v>
      </c>
      <c r="D548" s="5">
        <v>149</v>
      </c>
      <c r="E548" s="8" t="s">
        <v>1002</v>
      </c>
      <c r="F548">
        <v>12100200203</v>
      </c>
      <c r="G548" t="s">
        <v>1910</v>
      </c>
      <c r="H548" s="8" t="s">
        <v>1003</v>
      </c>
      <c r="I548" t="s">
        <v>992</v>
      </c>
      <c r="J548" s="11">
        <v>0</v>
      </c>
      <c r="K548" s="11">
        <v>0</v>
      </c>
      <c r="L548" s="11">
        <v>1418796596</v>
      </c>
      <c r="M548" s="11">
        <v>0</v>
      </c>
      <c r="N548" s="11">
        <v>1418796596</v>
      </c>
      <c r="O548" s="11">
        <v>1418796596</v>
      </c>
      <c r="P548" s="11">
        <v>0</v>
      </c>
      <c r="Q548" s="11">
        <v>1418796596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1418796596</v>
      </c>
      <c r="Y548" s="11">
        <v>0</v>
      </c>
      <c r="Z548" s="17">
        <v>1418796596</v>
      </c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11">
        <v>0</v>
      </c>
      <c r="AG548" s="11">
        <v>1418796596</v>
      </c>
      <c r="AH548" s="11">
        <v>0</v>
      </c>
      <c r="AI548" s="12">
        <v>1418796596</v>
      </c>
      <c r="AJ548" s="11">
        <v>1418796596</v>
      </c>
      <c r="AK548" s="11">
        <v>1418796596</v>
      </c>
      <c r="AL548" s="11">
        <v>1418796596</v>
      </c>
      <c r="AM548" s="11">
        <v>0</v>
      </c>
      <c r="AN548" s="11">
        <v>0</v>
      </c>
      <c r="AO548" s="11">
        <v>0</v>
      </c>
      <c r="AP548" s="11">
        <v>0</v>
      </c>
      <c r="AQ548" s="11">
        <v>0</v>
      </c>
      <c r="AR548" s="11">
        <v>0</v>
      </c>
      <c r="AS548" t="s">
        <v>1004</v>
      </c>
      <c r="AT548" s="4" t="str">
        <f t="shared" si="95"/>
        <v xml:space="preserve">Superávit Construcción y Adecuación de Cancha Sintética </v>
      </c>
      <c r="AU548" s="7" t="str">
        <f t="shared" si="96"/>
        <v>149Superávit Construcción y Adecuación de Cancha Sintética 1418796596</v>
      </c>
      <c r="AV548" t="str">
        <f>+_xlfn.XLOOKUP(AU548,CRUCE!I:I,CRUCE!M:M)</f>
        <v>READY</v>
      </c>
      <c r="AW548" t="s">
        <v>1907</v>
      </c>
      <c r="AX548">
        <f>+SUMIFS(CRUCE!C:C,CRUCE!A:A,D548,CRUCE!B:B,'2021'!H548)</f>
        <v>1418796596</v>
      </c>
    </row>
    <row r="549" spans="1:50" x14ac:dyDescent="0.3">
      <c r="A549">
        <v>2021</v>
      </c>
      <c r="B549">
        <v>8</v>
      </c>
      <c r="C549">
        <v>12100200204</v>
      </c>
      <c r="D549" s="5">
        <v>98</v>
      </c>
      <c r="E549" s="8" t="s">
        <v>1005</v>
      </c>
      <c r="F549">
        <v>12100200204</v>
      </c>
      <c r="G549" t="s">
        <v>1910</v>
      </c>
      <c r="H549" s="8" t="s">
        <v>873</v>
      </c>
      <c r="I549" t="s">
        <v>992</v>
      </c>
      <c r="J549" s="11">
        <v>0</v>
      </c>
      <c r="K549" s="11">
        <v>0</v>
      </c>
      <c r="L549" s="11">
        <v>36342500</v>
      </c>
      <c r="M549" s="11">
        <v>0</v>
      </c>
      <c r="N549" s="11">
        <v>36342500</v>
      </c>
      <c r="O549" s="11">
        <v>36342500</v>
      </c>
      <c r="P549" s="11">
        <v>0</v>
      </c>
      <c r="Q549" s="11">
        <v>36342500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36342500</v>
      </c>
      <c r="Y549" s="11">
        <v>0</v>
      </c>
      <c r="Z549" s="17">
        <v>36342500</v>
      </c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11">
        <v>0</v>
      </c>
      <c r="AG549" s="11">
        <v>36342500</v>
      </c>
      <c r="AH549" s="11">
        <v>0</v>
      </c>
      <c r="AI549" s="12">
        <v>36342500</v>
      </c>
      <c r="AJ549" s="11">
        <v>36342500</v>
      </c>
      <c r="AK549" s="11">
        <v>36342500</v>
      </c>
      <c r="AL549" s="11">
        <v>36342500</v>
      </c>
      <c r="AM549" s="11">
        <v>0</v>
      </c>
      <c r="AN549" s="11">
        <v>0</v>
      </c>
      <c r="AO549" s="11">
        <v>0</v>
      </c>
      <c r="AP549" s="11">
        <v>0</v>
      </c>
      <c r="AQ549" s="11">
        <v>0</v>
      </c>
      <c r="AR549" s="11">
        <v>0</v>
      </c>
      <c r="AS549" t="s">
        <v>874</v>
      </c>
      <c r="AT549" s="4" t="str">
        <f t="shared" si="95"/>
        <v>Superávit SGP Salud Pública</v>
      </c>
      <c r="AU549" s="7" t="str">
        <f t="shared" si="96"/>
        <v>98Superávit SGP Salud Pública36342500</v>
      </c>
      <c r="AV549" t="e">
        <f>+_xlfn.XLOOKUP(AU549,CRUCE!I:I,CRUCE!M:M)</f>
        <v>#N/A</v>
      </c>
      <c r="AW549" t="s">
        <v>1907</v>
      </c>
      <c r="AX549">
        <f>+SUMIFS(CRUCE!C:C,CRUCE!A:A,D549,CRUCE!B:B,'2021'!H549)</f>
        <v>1704867658.76</v>
      </c>
    </row>
    <row r="550" spans="1:50" hidden="1" x14ac:dyDescent="0.3">
      <c r="A550">
        <v>2021</v>
      </c>
      <c r="B550">
        <v>9</v>
      </c>
      <c r="C550">
        <v>1</v>
      </c>
      <c r="D550" s="5" t="s">
        <v>44</v>
      </c>
      <c r="E550" s="14">
        <v>45300</v>
      </c>
      <c r="F550">
        <v>1</v>
      </c>
      <c r="H550" s="8" t="s">
        <v>46</v>
      </c>
      <c r="I550" t="s">
        <v>1006</v>
      </c>
      <c r="J550" s="11">
        <v>0</v>
      </c>
      <c r="K550" s="11">
        <v>0</v>
      </c>
      <c r="L550" s="11">
        <v>836047649</v>
      </c>
      <c r="M550" s="11">
        <v>0</v>
      </c>
      <c r="N550" s="11">
        <v>836047649</v>
      </c>
      <c r="O550" s="11">
        <v>836047649</v>
      </c>
      <c r="P550" s="11">
        <v>0</v>
      </c>
      <c r="Q550" s="11">
        <v>836047649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836047649</v>
      </c>
      <c r="Y550" s="11">
        <v>0</v>
      </c>
      <c r="Z550" s="17">
        <v>836047649</v>
      </c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11">
        <v>0</v>
      </c>
      <c r="AG550" s="11">
        <v>836047649</v>
      </c>
      <c r="AH550" s="11">
        <v>0</v>
      </c>
      <c r="AI550" s="12">
        <v>836047649</v>
      </c>
      <c r="AJ550" s="11">
        <v>836047649</v>
      </c>
      <c r="AK550" s="11">
        <v>836047649</v>
      </c>
      <c r="AL550" s="11">
        <v>836047649</v>
      </c>
      <c r="AM550" s="11">
        <v>0</v>
      </c>
      <c r="AN550" s="11">
        <v>0</v>
      </c>
      <c r="AO550" s="11">
        <v>0</v>
      </c>
      <c r="AP550" s="11">
        <v>0</v>
      </c>
      <c r="AQ550" s="11">
        <v>0</v>
      </c>
      <c r="AR550" s="11">
        <v>0</v>
      </c>
      <c r="AS550" t="s">
        <v>48</v>
      </c>
      <c r="AT550"/>
    </row>
    <row r="551" spans="1:50" hidden="1" x14ac:dyDescent="0.3">
      <c r="A551">
        <v>2021</v>
      </c>
      <c r="B551">
        <v>9</v>
      </c>
      <c r="C551">
        <v>12</v>
      </c>
      <c r="D551" s="5" t="s">
        <v>44</v>
      </c>
      <c r="E551" s="14">
        <v>45635</v>
      </c>
      <c r="F551">
        <v>12</v>
      </c>
      <c r="H551" s="8" t="s">
        <v>367</v>
      </c>
      <c r="I551" t="s">
        <v>1006</v>
      </c>
      <c r="J551" s="11">
        <v>0</v>
      </c>
      <c r="K551" s="11">
        <v>0</v>
      </c>
      <c r="L551" s="11">
        <v>836047649</v>
      </c>
      <c r="M551" s="11">
        <v>0</v>
      </c>
      <c r="N551" s="11">
        <v>836047649</v>
      </c>
      <c r="O551" s="11">
        <v>836047649</v>
      </c>
      <c r="P551" s="11">
        <v>0</v>
      </c>
      <c r="Q551" s="11">
        <v>836047649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836047649</v>
      </c>
      <c r="Y551" s="11">
        <v>0</v>
      </c>
      <c r="Z551" s="17">
        <v>836047649</v>
      </c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11">
        <v>0</v>
      </c>
      <c r="AG551" s="11">
        <v>836047649</v>
      </c>
      <c r="AH551" s="11">
        <v>0</v>
      </c>
      <c r="AI551" s="12">
        <v>836047649</v>
      </c>
      <c r="AJ551" s="11">
        <v>836047649</v>
      </c>
      <c r="AK551" s="11">
        <v>836047649</v>
      </c>
      <c r="AL551" s="11">
        <v>836047649</v>
      </c>
      <c r="AM551" s="11">
        <v>0</v>
      </c>
      <c r="AN551" s="11">
        <v>0</v>
      </c>
      <c r="AO551" s="11">
        <v>0</v>
      </c>
      <c r="AP551" s="11">
        <v>0</v>
      </c>
      <c r="AQ551" s="11">
        <v>0</v>
      </c>
      <c r="AR551" s="11">
        <v>0</v>
      </c>
      <c r="AS551" t="s">
        <v>48</v>
      </c>
      <c r="AT551"/>
    </row>
    <row r="552" spans="1:50" hidden="1" x14ac:dyDescent="0.3">
      <c r="A552">
        <v>2021</v>
      </c>
      <c r="B552">
        <v>9</v>
      </c>
      <c r="C552">
        <v>1210</v>
      </c>
      <c r="D552" s="5" t="s">
        <v>44</v>
      </c>
      <c r="E552" s="8" t="s">
        <v>1007</v>
      </c>
      <c r="F552">
        <v>1210</v>
      </c>
      <c r="H552" s="8" t="s">
        <v>474</v>
      </c>
      <c r="I552" t="s">
        <v>1006</v>
      </c>
      <c r="J552" s="11">
        <v>0</v>
      </c>
      <c r="K552" s="11">
        <v>0</v>
      </c>
      <c r="L552" s="11">
        <v>836047649</v>
      </c>
      <c r="M552" s="11">
        <v>0</v>
      </c>
      <c r="N552" s="11">
        <v>836047649</v>
      </c>
      <c r="O552" s="11">
        <v>836047649</v>
      </c>
      <c r="P552" s="11">
        <v>0</v>
      </c>
      <c r="Q552" s="11">
        <v>836047649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836047649</v>
      </c>
      <c r="Y552" s="11">
        <v>0</v>
      </c>
      <c r="Z552" s="17">
        <v>836047649</v>
      </c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11">
        <v>0</v>
      </c>
      <c r="AG552" s="11">
        <v>836047649</v>
      </c>
      <c r="AH552" s="11">
        <v>0</v>
      </c>
      <c r="AI552" s="12">
        <v>836047649</v>
      </c>
      <c r="AJ552" s="11">
        <v>836047649</v>
      </c>
      <c r="AK552" s="11">
        <v>836047649</v>
      </c>
      <c r="AL552" s="11">
        <v>836047649</v>
      </c>
      <c r="AM552" s="11">
        <v>0</v>
      </c>
      <c r="AN552" s="11">
        <v>0</v>
      </c>
      <c r="AO552" s="11">
        <v>0</v>
      </c>
      <c r="AP552" s="11">
        <v>0</v>
      </c>
      <c r="AQ552" s="11">
        <v>0</v>
      </c>
      <c r="AR552" s="11">
        <v>0</v>
      </c>
      <c r="AS552" t="s">
        <v>48</v>
      </c>
      <c r="AT552"/>
    </row>
    <row r="553" spans="1:50" hidden="1" x14ac:dyDescent="0.3">
      <c r="A553">
        <v>2021</v>
      </c>
      <c r="B553">
        <v>9</v>
      </c>
      <c r="C553">
        <v>121002</v>
      </c>
      <c r="D553" s="5" t="s">
        <v>44</v>
      </c>
      <c r="E553" s="8" t="s">
        <v>1008</v>
      </c>
      <c r="F553">
        <v>121002</v>
      </c>
      <c r="H553" s="8" t="s">
        <v>476</v>
      </c>
      <c r="I553" t="s">
        <v>1006</v>
      </c>
      <c r="J553" s="11">
        <v>0</v>
      </c>
      <c r="K553" s="11">
        <v>0</v>
      </c>
      <c r="L553" s="11">
        <v>836047649</v>
      </c>
      <c r="M553" s="11">
        <v>0</v>
      </c>
      <c r="N553" s="11">
        <v>836047649</v>
      </c>
      <c r="O553" s="11">
        <v>836047649</v>
      </c>
      <c r="P553" s="11">
        <v>0</v>
      </c>
      <c r="Q553" s="11">
        <v>836047649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836047649</v>
      </c>
      <c r="Y553" s="11">
        <v>0</v>
      </c>
      <c r="Z553" s="17">
        <v>836047649</v>
      </c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11">
        <v>0</v>
      </c>
      <c r="AG553" s="11">
        <v>836047649</v>
      </c>
      <c r="AH553" s="11">
        <v>0</v>
      </c>
      <c r="AI553" s="12">
        <v>836047649</v>
      </c>
      <c r="AJ553" s="11">
        <v>836047649</v>
      </c>
      <c r="AK553" s="11">
        <v>836047649</v>
      </c>
      <c r="AL553" s="11">
        <v>836047649</v>
      </c>
      <c r="AM553" s="11">
        <v>0</v>
      </c>
      <c r="AN553" s="11">
        <v>0</v>
      </c>
      <c r="AO553" s="11">
        <v>0</v>
      </c>
      <c r="AP553" s="11">
        <v>0</v>
      </c>
      <c r="AQ553" s="11">
        <v>0</v>
      </c>
      <c r="AR553" s="11">
        <v>0</v>
      </c>
      <c r="AS553" t="s">
        <v>48</v>
      </c>
      <c r="AT553"/>
    </row>
    <row r="554" spans="1:50" hidden="1" x14ac:dyDescent="0.3">
      <c r="A554">
        <v>2021</v>
      </c>
      <c r="B554">
        <v>9</v>
      </c>
      <c r="C554">
        <v>121002001</v>
      </c>
      <c r="D554" s="5" t="s">
        <v>44</v>
      </c>
      <c r="E554" s="8" t="s">
        <v>1009</v>
      </c>
      <c r="F554">
        <v>121002001</v>
      </c>
      <c r="H554" s="8" t="s">
        <v>478</v>
      </c>
      <c r="I554" t="s">
        <v>1006</v>
      </c>
      <c r="J554" s="11">
        <v>0</v>
      </c>
      <c r="K554" s="11">
        <v>0</v>
      </c>
      <c r="L554" s="11">
        <v>574440524</v>
      </c>
      <c r="M554" s="11">
        <v>0</v>
      </c>
      <c r="N554" s="11">
        <v>574440524</v>
      </c>
      <c r="O554" s="11">
        <v>574440524</v>
      </c>
      <c r="P554" s="11">
        <v>0</v>
      </c>
      <c r="Q554" s="11">
        <v>574440524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574440524</v>
      </c>
      <c r="Y554" s="11">
        <v>0</v>
      </c>
      <c r="Z554" s="17">
        <v>574440524</v>
      </c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11">
        <v>0</v>
      </c>
      <c r="AG554" s="11">
        <v>574440524</v>
      </c>
      <c r="AH554" s="11">
        <v>0</v>
      </c>
      <c r="AI554" s="12">
        <v>574440524</v>
      </c>
      <c r="AJ554" s="11">
        <v>574440524</v>
      </c>
      <c r="AK554" s="11">
        <v>574440524</v>
      </c>
      <c r="AL554" s="11">
        <v>574440524</v>
      </c>
      <c r="AM554" s="11">
        <v>0</v>
      </c>
      <c r="AN554" s="11">
        <v>0</v>
      </c>
      <c r="AO554" s="11">
        <v>0</v>
      </c>
      <c r="AP554" s="11">
        <v>0</v>
      </c>
      <c r="AQ554" s="11">
        <v>0</v>
      </c>
      <c r="AR554" s="11">
        <v>0</v>
      </c>
      <c r="AS554" t="s">
        <v>48</v>
      </c>
      <c r="AT554"/>
    </row>
    <row r="555" spans="1:50" x14ac:dyDescent="0.3">
      <c r="A555">
        <v>2021</v>
      </c>
      <c r="B555">
        <v>9</v>
      </c>
      <c r="C555">
        <v>12100200101</v>
      </c>
      <c r="D555" s="5">
        <v>88</v>
      </c>
      <c r="E555" s="8" t="s">
        <v>1010</v>
      </c>
      <c r="F555">
        <v>12100200101</v>
      </c>
      <c r="G555" t="s">
        <v>1910</v>
      </c>
      <c r="H555" s="8" t="s">
        <v>480</v>
      </c>
      <c r="I555" t="s">
        <v>1006</v>
      </c>
      <c r="J555" s="11">
        <v>0</v>
      </c>
      <c r="K555" s="11">
        <v>0</v>
      </c>
      <c r="L555" s="11">
        <v>574440524</v>
      </c>
      <c r="M555" s="11">
        <v>0</v>
      </c>
      <c r="N555" s="11">
        <v>574440524</v>
      </c>
      <c r="O555" s="11">
        <v>574440524</v>
      </c>
      <c r="P555" s="11">
        <v>0</v>
      </c>
      <c r="Q555" s="11">
        <v>574440524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574440524</v>
      </c>
      <c r="Y555" s="11">
        <v>0</v>
      </c>
      <c r="Z555" s="17">
        <v>574440524</v>
      </c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11">
        <v>0</v>
      </c>
      <c r="AG555" s="11">
        <v>574440524</v>
      </c>
      <c r="AH555" s="11">
        <v>0</v>
      </c>
      <c r="AI555" s="12">
        <v>574440524</v>
      </c>
      <c r="AJ555" s="11">
        <v>574440524</v>
      </c>
      <c r="AK555" s="11">
        <v>574440524</v>
      </c>
      <c r="AL555" s="11">
        <v>574440524</v>
      </c>
      <c r="AM555" s="11">
        <v>0</v>
      </c>
      <c r="AN555" s="11">
        <v>0</v>
      </c>
      <c r="AO555" s="11">
        <v>0</v>
      </c>
      <c r="AP555" s="11">
        <v>0</v>
      </c>
      <c r="AQ555" s="11">
        <v>0</v>
      </c>
      <c r="AR555" s="11">
        <v>0</v>
      </c>
      <c r="AS555" t="s">
        <v>471</v>
      </c>
      <c r="AT555" s="4" t="str">
        <f>+H555</f>
        <v xml:space="preserve">Superávit Recurso Ordinario </v>
      </c>
      <c r="AU555" s="7" t="str">
        <f>+$D555&amp;$AT555&amp;Z555</f>
        <v>88Superávit Recurso Ordinario 574440524</v>
      </c>
      <c r="AV555" t="e">
        <f>+_xlfn.XLOOKUP(AU555,CRUCE!I:I,CRUCE!M:M)</f>
        <v>#N/A</v>
      </c>
      <c r="AW555" t="s">
        <v>1907</v>
      </c>
      <c r="AX555">
        <f>+SUMIFS(CRUCE!C:C,CRUCE!A:A,D555,CRUCE!B:B,'2021'!H555)</f>
        <v>20842997274.400002</v>
      </c>
    </row>
    <row r="556" spans="1:50" hidden="1" x14ac:dyDescent="0.3">
      <c r="A556">
        <v>2021</v>
      </c>
      <c r="B556">
        <v>9</v>
      </c>
      <c r="C556">
        <v>121002002</v>
      </c>
      <c r="D556" s="5" t="s">
        <v>44</v>
      </c>
      <c r="E556" s="8" t="s">
        <v>1011</v>
      </c>
      <c r="F556">
        <v>121002002</v>
      </c>
      <c r="H556" s="8" t="s">
        <v>482</v>
      </c>
      <c r="I556" t="s">
        <v>1006</v>
      </c>
      <c r="J556" s="11">
        <v>0</v>
      </c>
      <c r="K556" s="11">
        <v>0</v>
      </c>
      <c r="L556" s="11">
        <v>261607125</v>
      </c>
      <c r="M556" s="11">
        <v>0</v>
      </c>
      <c r="N556" s="11">
        <v>261607125</v>
      </c>
      <c r="O556" s="11">
        <v>261607125</v>
      </c>
      <c r="P556" s="11">
        <v>0</v>
      </c>
      <c r="Q556" s="11">
        <v>261607125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261607125</v>
      </c>
      <c r="Y556" s="11">
        <v>0</v>
      </c>
      <c r="Z556" s="17">
        <v>261607125</v>
      </c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11">
        <v>0</v>
      </c>
      <c r="AG556" s="11">
        <v>261607125</v>
      </c>
      <c r="AH556" s="11">
        <v>0</v>
      </c>
      <c r="AI556" s="12">
        <v>261607125</v>
      </c>
      <c r="AJ556" s="11">
        <v>261607125</v>
      </c>
      <c r="AK556" s="11">
        <v>261607125</v>
      </c>
      <c r="AL556" s="11">
        <v>261607125</v>
      </c>
      <c r="AM556" s="11">
        <v>0</v>
      </c>
      <c r="AN556" s="11">
        <v>0</v>
      </c>
      <c r="AO556" s="11">
        <v>0</v>
      </c>
      <c r="AP556" s="11">
        <v>0</v>
      </c>
      <c r="AQ556" s="11">
        <v>0</v>
      </c>
      <c r="AR556" s="11">
        <v>0</v>
      </c>
      <c r="AS556" t="s">
        <v>48</v>
      </c>
      <c r="AT556"/>
    </row>
    <row r="557" spans="1:50" x14ac:dyDescent="0.3">
      <c r="A557">
        <v>2021</v>
      </c>
      <c r="B557">
        <v>9</v>
      </c>
      <c r="C557">
        <v>12100200201</v>
      </c>
      <c r="D557" s="5">
        <v>82</v>
      </c>
      <c r="E557" s="8" t="s">
        <v>1012</v>
      </c>
      <c r="F557">
        <v>12100200201</v>
      </c>
      <c r="G557" t="s">
        <v>1910</v>
      </c>
      <c r="H557" s="8" t="s">
        <v>484</v>
      </c>
      <c r="I557" t="s">
        <v>1006</v>
      </c>
      <c r="J557" s="11">
        <v>0</v>
      </c>
      <c r="K557" s="11">
        <v>0</v>
      </c>
      <c r="L557" s="11">
        <v>30983766</v>
      </c>
      <c r="M557" s="11">
        <v>0</v>
      </c>
      <c r="N557" s="11">
        <v>30983766</v>
      </c>
      <c r="O557" s="11">
        <v>30983766</v>
      </c>
      <c r="P557" s="11">
        <v>0</v>
      </c>
      <c r="Q557" s="11">
        <v>30983766</v>
      </c>
      <c r="R557" s="11">
        <v>0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30983766</v>
      </c>
      <c r="Y557" s="11">
        <v>0</v>
      </c>
      <c r="Z557" s="17">
        <v>30983766</v>
      </c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11">
        <v>0</v>
      </c>
      <c r="AG557" s="11">
        <v>30983766</v>
      </c>
      <c r="AH557" s="11">
        <v>0</v>
      </c>
      <c r="AI557" s="12">
        <v>30983766</v>
      </c>
      <c r="AJ557" s="11">
        <v>30983766</v>
      </c>
      <c r="AK557" s="11">
        <v>30983766</v>
      </c>
      <c r="AL557" s="11">
        <v>30983766</v>
      </c>
      <c r="AM557" s="11">
        <v>0</v>
      </c>
      <c r="AN557" s="11">
        <v>0</v>
      </c>
      <c r="AO557" s="11">
        <v>0</v>
      </c>
      <c r="AP557" s="11">
        <v>0</v>
      </c>
      <c r="AQ557" s="11">
        <v>0</v>
      </c>
      <c r="AR557" s="11">
        <v>0</v>
      </c>
      <c r="AS557" t="s">
        <v>485</v>
      </c>
      <c r="AT557" s="4" t="str">
        <f t="shared" ref="AT557:AT563" si="97">+H557</f>
        <v>Superávit Estampilla Pro-Desarrollo</v>
      </c>
      <c r="AU557" s="7" t="str">
        <f t="shared" ref="AU557:AU563" si="98">+$D557&amp;$AT557&amp;Z557</f>
        <v>82Superávit Estampilla Pro-Desarrollo30983766</v>
      </c>
      <c r="AV557" t="e">
        <f>+_xlfn.XLOOKUP(AU557,CRUCE!I:I,CRUCE!M:M)</f>
        <v>#N/A</v>
      </c>
      <c r="AW557" t="s">
        <v>1907</v>
      </c>
      <c r="AX557">
        <f>+SUMIFS(CRUCE!C:C,CRUCE!A:A,D557,CRUCE!B:B,'2021'!H557)</f>
        <v>1668135329.8800001</v>
      </c>
    </row>
    <row r="558" spans="1:50" x14ac:dyDescent="0.3">
      <c r="A558">
        <v>2021</v>
      </c>
      <c r="B558">
        <v>9</v>
      </c>
      <c r="C558">
        <v>12100200204</v>
      </c>
      <c r="D558" s="5">
        <v>98</v>
      </c>
      <c r="E558" s="8" t="s">
        <v>1013</v>
      </c>
      <c r="F558">
        <v>12100200204</v>
      </c>
      <c r="G558" t="s">
        <v>1910</v>
      </c>
      <c r="H558" s="8" t="s">
        <v>873</v>
      </c>
      <c r="I558" t="s">
        <v>1006</v>
      </c>
      <c r="J558" s="11">
        <v>0</v>
      </c>
      <c r="K558" s="11">
        <v>0</v>
      </c>
      <c r="L558" s="11">
        <v>88606666</v>
      </c>
      <c r="M558" s="11">
        <v>0</v>
      </c>
      <c r="N558" s="11">
        <v>88606666</v>
      </c>
      <c r="O558" s="11">
        <v>88606666</v>
      </c>
      <c r="P558" s="11">
        <v>0</v>
      </c>
      <c r="Q558" s="11">
        <v>88606666</v>
      </c>
      <c r="R558" s="11">
        <v>0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88606666</v>
      </c>
      <c r="Y558" s="11">
        <v>0</v>
      </c>
      <c r="Z558" s="17">
        <v>88606666</v>
      </c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11">
        <v>0</v>
      </c>
      <c r="AG558" s="11">
        <v>88606666</v>
      </c>
      <c r="AH558" s="11">
        <v>0</v>
      </c>
      <c r="AI558" s="12">
        <v>88606666</v>
      </c>
      <c r="AJ558" s="11">
        <v>88606666</v>
      </c>
      <c r="AK558" s="11">
        <v>88606666</v>
      </c>
      <c r="AL558" s="11">
        <v>88606666</v>
      </c>
      <c r="AM558" s="11">
        <v>0</v>
      </c>
      <c r="AN558" s="11">
        <v>0</v>
      </c>
      <c r="AO558" s="11">
        <v>0</v>
      </c>
      <c r="AP558" s="11">
        <v>0</v>
      </c>
      <c r="AQ558" s="11">
        <v>0</v>
      </c>
      <c r="AR558" s="11">
        <v>0</v>
      </c>
      <c r="AS558" t="s">
        <v>874</v>
      </c>
      <c r="AT558" s="4" t="str">
        <f t="shared" si="97"/>
        <v>Superávit SGP Salud Pública</v>
      </c>
      <c r="AU558" s="7" t="str">
        <f t="shared" si="98"/>
        <v>98Superávit SGP Salud Pública88606666</v>
      </c>
      <c r="AV558" t="e">
        <f>+_xlfn.XLOOKUP(AU558,CRUCE!I:I,CRUCE!M:M)</f>
        <v>#N/A</v>
      </c>
      <c r="AW558" t="s">
        <v>1907</v>
      </c>
      <c r="AX558">
        <f>+SUMIFS(CRUCE!C:C,CRUCE!A:A,D558,CRUCE!B:B,'2021'!H558)</f>
        <v>1704867658.76</v>
      </c>
    </row>
    <row r="559" spans="1:50" x14ac:dyDescent="0.3">
      <c r="A559">
        <v>2021</v>
      </c>
      <c r="B559">
        <v>9</v>
      </c>
      <c r="C559">
        <v>12100200207</v>
      </c>
      <c r="D559" s="5">
        <v>91</v>
      </c>
      <c r="E559" s="8" t="s">
        <v>1014</v>
      </c>
      <c r="F559">
        <v>12100200207</v>
      </c>
      <c r="G559" t="s">
        <v>1910</v>
      </c>
      <c r="H559" s="8" t="s">
        <v>490</v>
      </c>
      <c r="I559" t="s">
        <v>1006</v>
      </c>
      <c r="J559" s="11">
        <v>0</v>
      </c>
      <c r="K559" s="11">
        <v>0</v>
      </c>
      <c r="L559" s="11">
        <v>30323445.440000001</v>
      </c>
      <c r="M559" s="11">
        <v>0</v>
      </c>
      <c r="N559" s="11">
        <v>30323445.440000001</v>
      </c>
      <c r="O559" s="11">
        <v>30323445.440000001</v>
      </c>
      <c r="P559" s="11">
        <v>0</v>
      </c>
      <c r="Q559" s="11">
        <v>30323445.440000001</v>
      </c>
      <c r="R559" s="11">
        <v>0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30323445.440000001</v>
      </c>
      <c r="Y559" s="11">
        <v>0</v>
      </c>
      <c r="Z559" s="17">
        <v>30323445.440000001</v>
      </c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11">
        <v>0</v>
      </c>
      <c r="AG559" s="11">
        <v>30323445.440000001</v>
      </c>
      <c r="AH559" s="11">
        <v>0</v>
      </c>
      <c r="AI559" s="12">
        <v>30323445.440000001</v>
      </c>
      <c r="AJ559" s="11">
        <v>30323445.440000001</v>
      </c>
      <c r="AK559" s="11">
        <v>30323445.440000001</v>
      </c>
      <c r="AL559" s="11">
        <v>30323445.440000001</v>
      </c>
      <c r="AM559" s="11">
        <v>0</v>
      </c>
      <c r="AN559" s="11">
        <v>0</v>
      </c>
      <c r="AO559" s="11">
        <v>0</v>
      </c>
      <c r="AP559" s="11">
        <v>0</v>
      </c>
      <c r="AQ559" s="11">
        <v>0</v>
      </c>
      <c r="AR559" s="11">
        <v>0</v>
      </c>
      <c r="AS559" t="s">
        <v>491</v>
      </c>
      <c r="AT559" s="4" t="str">
        <f t="shared" si="97"/>
        <v xml:space="preserve">Superávit Recurso Destinado del Monopolio </v>
      </c>
      <c r="AU559" s="7" t="str">
        <f t="shared" si="98"/>
        <v>91Superávit Recurso Destinado del Monopolio 30323445,44</v>
      </c>
      <c r="AV559" t="e">
        <f>+_xlfn.XLOOKUP(AU559,CRUCE!I:I,CRUCE!M:M)</f>
        <v>#N/A</v>
      </c>
      <c r="AW559" t="s">
        <v>1907</v>
      </c>
      <c r="AX559">
        <f>+SUMIFS(CRUCE!C:C,CRUCE!A:A,D559,CRUCE!B:B,'2021'!H559)</f>
        <v>725133446.03000009</v>
      </c>
    </row>
    <row r="560" spans="1:50" x14ac:dyDescent="0.3">
      <c r="A560">
        <v>2021</v>
      </c>
      <c r="B560">
        <v>9</v>
      </c>
      <c r="C560">
        <v>12100200210</v>
      </c>
      <c r="D560" s="5">
        <v>137</v>
      </c>
      <c r="E560" s="8" t="s">
        <v>1015</v>
      </c>
      <c r="F560">
        <v>12100200210</v>
      </c>
      <c r="G560" t="s">
        <v>1910</v>
      </c>
      <c r="H560" s="8" t="s">
        <v>627</v>
      </c>
      <c r="I560" t="s">
        <v>1006</v>
      </c>
      <c r="J560" s="11">
        <v>0</v>
      </c>
      <c r="K560" s="11">
        <v>0</v>
      </c>
      <c r="L560" s="11">
        <v>95204711</v>
      </c>
      <c r="M560" s="11">
        <v>0</v>
      </c>
      <c r="N560" s="11">
        <v>95204711</v>
      </c>
      <c r="O560" s="11">
        <v>95204711</v>
      </c>
      <c r="P560" s="11">
        <v>0</v>
      </c>
      <c r="Q560" s="11">
        <v>95204711</v>
      </c>
      <c r="R560" s="11">
        <v>0</v>
      </c>
      <c r="S560" s="11">
        <v>0</v>
      </c>
      <c r="T560" s="11">
        <v>0</v>
      </c>
      <c r="U560" s="11">
        <v>0</v>
      </c>
      <c r="V560" s="11">
        <v>0</v>
      </c>
      <c r="W560" s="11">
        <v>0</v>
      </c>
      <c r="X560" s="11">
        <v>95204711</v>
      </c>
      <c r="Y560" s="11">
        <v>0</v>
      </c>
      <c r="Z560" s="17">
        <v>95204711</v>
      </c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11">
        <v>0</v>
      </c>
      <c r="AG560" s="11">
        <v>95204711</v>
      </c>
      <c r="AH560" s="11">
        <v>0</v>
      </c>
      <c r="AI560" s="12">
        <v>95204711</v>
      </c>
      <c r="AJ560" s="11">
        <v>95204711</v>
      </c>
      <c r="AK560" s="11">
        <v>95204711</v>
      </c>
      <c r="AL560" s="11">
        <v>95204711</v>
      </c>
      <c r="AM560" s="11">
        <v>0</v>
      </c>
      <c r="AN560" s="11">
        <v>0</v>
      </c>
      <c r="AO560" s="11">
        <v>0</v>
      </c>
      <c r="AP560" s="11">
        <v>0</v>
      </c>
      <c r="AQ560" s="11">
        <v>0</v>
      </c>
      <c r="AR560" s="11">
        <v>0</v>
      </c>
      <c r="AS560" t="s">
        <v>628</v>
      </c>
      <c r="AT560" s="4" t="str">
        <f t="shared" si="97"/>
        <v>Superávit PAE Educación</v>
      </c>
      <c r="AU560" s="7" t="str">
        <f t="shared" si="98"/>
        <v>137Superávit PAE Educación95204711</v>
      </c>
      <c r="AV560" t="e">
        <f>+_xlfn.XLOOKUP(AU560,CRUCE!I:I,CRUCE!M:M)</f>
        <v>#N/A</v>
      </c>
      <c r="AW560" t="s">
        <v>1907</v>
      </c>
      <c r="AX560">
        <f>+SUMIFS(CRUCE!C:C,CRUCE!A:A,D560,CRUCE!B:B,'2021'!H560)</f>
        <v>1506571158.05</v>
      </c>
    </row>
    <row r="561" spans="1:50" x14ac:dyDescent="0.3">
      <c r="A561">
        <v>2021</v>
      </c>
      <c r="B561">
        <v>9</v>
      </c>
      <c r="C561">
        <v>12100200211</v>
      </c>
      <c r="D561" s="5">
        <v>183</v>
      </c>
      <c r="E561" s="8" t="s">
        <v>1016</v>
      </c>
      <c r="F561">
        <v>12100200211</v>
      </c>
      <c r="G561" t="s">
        <v>1910</v>
      </c>
      <c r="H561" s="8" t="s">
        <v>1017</v>
      </c>
      <c r="I561" t="s">
        <v>1006</v>
      </c>
      <c r="J561" s="11">
        <v>0</v>
      </c>
      <c r="K561" s="11">
        <v>0</v>
      </c>
      <c r="L561" s="11">
        <v>3881886.6</v>
      </c>
      <c r="M561" s="11">
        <v>0</v>
      </c>
      <c r="N561" s="11">
        <v>3881886.6</v>
      </c>
      <c r="O561" s="11">
        <v>3881886.6</v>
      </c>
      <c r="P561" s="11">
        <v>0</v>
      </c>
      <c r="Q561" s="11">
        <v>3881886.6</v>
      </c>
      <c r="R561" s="11">
        <v>0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3881886.6</v>
      </c>
      <c r="Y561" s="11">
        <v>0</v>
      </c>
      <c r="Z561" s="17">
        <v>3881886.6</v>
      </c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11">
        <v>0</v>
      </c>
      <c r="AG561" s="11">
        <v>3881886.6</v>
      </c>
      <c r="AH561" s="11">
        <v>0</v>
      </c>
      <c r="AI561" s="12">
        <v>3881886.6</v>
      </c>
      <c r="AJ561" s="11">
        <v>3881886.6</v>
      </c>
      <c r="AK561" s="11">
        <v>3881886.6</v>
      </c>
      <c r="AL561" s="11">
        <v>3881886.6</v>
      </c>
      <c r="AM561" s="11">
        <v>0</v>
      </c>
      <c r="AN561" s="11">
        <v>0</v>
      </c>
      <c r="AO561" s="11">
        <v>0</v>
      </c>
      <c r="AP561" s="11">
        <v>0</v>
      </c>
      <c r="AQ561" s="11">
        <v>0</v>
      </c>
      <c r="AR561" s="11">
        <v>0</v>
      </c>
      <c r="AS561" t="s">
        <v>1018</v>
      </c>
      <c r="AT561" s="4" t="str">
        <f t="shared" si="97"/>
        <v>Superávit Cofinanciación Municipios Pae</v>
      </c>
      <c r="AU561" s="7" t="str">
        <f t="shared" si="98"/>
        <v>183Superávit Cofinanciación Municipios Pae3881886,6</v>
      </c>
      <c r="AV561" t="str">
        <f>+_xlfn.XLOOKUP(AU561,CRUCE!I:I,CRUCE!M:M)</f>
        <v>READY</v>
      </c>
      <c r="AW561" t="s">
        <v>1907</v>
      </c>
      <c r="AX561">
        <f>+SUMIFS(CRUCE!C:C,CRUCE!A:A,D561,CRUCE!B:B,'2021'!H561)</f>
        <v>3881886.6</v>
      </c>
    </row>
    <row r="562" spans="1:50" x14ac:dyDescent="0.3">
      <c r="A562">
        <v>2021</v>
      </c>
      <c r="B562">
        <v>9</v>
      </c>
      <c r="C562">
        <v>12100200212</v>
      </c>
      <c r="D562" s="5">
        <v>185</v>
      </c>
      <c r="E562" s="8" t="s">
        <v>1019</v>
      </c>
      <c r="F562">
        <v>12100200212</v>
      </c>
      <c r="G562" t="s">
        <v>1910</v>
      </c>
      <c r="H562" s="8" t="s">
        <v>1020</v>
      </c>
      <c r="I562" t="s">
        <v>1006</v>
      </c>
      <c r="J562" s="11">
        <v>0</v>
      </c>
      <c r="K562" s="11">
        <v>0</v>
      </c>
      <c r="L562" s="11">
        <v>12523500</v>
      </c>
      <c r="M562" s="11">
        <v>0</v>
      </c>
      <c r="N562" s="11">
        <v>12523500</v>
      </c>
      <c r="O562" s="11">
        <v>12523500</v>
      </c>
      <c r="P562" s="11">
        <v>0</v>
      </c>
      <c r="Q562" s="11">
        <v>12523500</v>
      </c>
      <c r="R562" s="11">
        <v>0</v>
      </c>
      <c r="S562" s="11">
        <v>0</v>
      </c>
      <c r="T562" s="11">
        <v>0</v>
      </c>
      <c r="U562" s="11">
        <v>0</v>
      </c>
      <c r="V562" s="11">
        <v>0</v>
      </c>
      <c r="W562" s="11">
        <v>0</v>
      </c>
      <c r="X562" s="11">
        <v>12523500</v>
      </c>
      <c r="Y562" s="11">
        <v>0</v>
      </c>
      <c r="Z562" s="17">
        <v>12523500</v>
      </c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11">
        <v>0</v>
      </c>
      <c r="AG562" s="11">
        <v>12523500</v>
      </c>
      <c r="AH562" s="11">
        <v>0</v>
      </c>
      <c r="AI562" s="12">
        <v>12523500</v>
      </c>
      <c r="AJ562" s="11">
        <v>12523500</v>
      </c>
      <c r="AK562" s="11">
        <v>12523500</v>
      </c>
      <c r="AL562" s="11">
        <v>12523500</v>
      </c>
      <c r="AM562" s="11">
        <v>0</v>
      </c>
      <c r="AN562" s="11">
        <v>0</v>
      </c>
      <c r="AO562" s="11">
        <v>0</v>
      </c>
      <c r="AP562" s="11">
        <v>0</v>
      </c>
      <c r="AQ562" s="11">
        <v>0</v>
      </c>
      <c r="AR562" s="11">
        <v>0</v>
      </c>
      <c r="AS562" t="s">
        <v>1021</v>
      </c>
      <c r="AT562" s="4" t="str">
        <f t="shared" si="97"/>
        <v>Superávit Ministerio De Salud Resoluciones Discapacidad</v>
      </c>
      <c r="AU562" s="7" t="str">
        <f t="shared" si="98"/>
        <v>185Superávit Ministerio De Salud Resoluciones Discapacidad12523500</v>
      </c>
      <c r="AV562" t="str">
        <f>+_xlfn.XLOOKUP(AU562,CRUCE!I:I,CRUCE!M:M)</f>
        <v>READY</v>
      </c>
      <c r="AW562" t="s">
        <v>1907</v>
      </c>
      <c r="AX562">
        <f>+SUMIFS(CRUCE!C:C,CRUCE!A:A,D562,CRUCE!B:B,'2021'!H562)</f>
        <v>12523500</v>
      </c>
    </row>
    <row r="563" spans="1:50" x14ac:dyDescent="0.3">
      <c r="A563">
        <v>2021</v>
      </c>
      <c r="B563">
        <v>9</v>
      </c>
      <c r="C563">
        <v>12100200213</v>
      </c>
      <c r="D563" s="5">
        <v>186</v>
      </c>
      <c r="E563" s="8" t="s">
        <v>1022</v>
      </c>
      <c r="F563">
        <v>12100200213</v>
      </c>
      <c r="G563" t="s">
        <v>1910</v>
      </c>
      <c r="H563" s="8" t="s">
        <v>1023</v>
      </c>
      <c r="I563" t="s">
        <v>1006</v>
      </c>
      <c r="J563" s="11">
        <v>0</v>
      </c>
      <c r="K563" s="11">
        <v>0</v>
      </c>
      <c r="L563" s="11">
        <v>83149.960000000006</v>
      </c>
      <c r="M563" s="11">
        <v>0</v>
      </c>
      <c r="N563" s="11">
        <v>83149.960000000006</v>
      </c>
      <c r="O563" s="11">
        <v>83149.960000000006</v>
      </c>
      <c r="P563" s="11">
        <v>0</v>
      </c>
      <c r="Q563" s="11">
        <v>83149.960000000006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83149.960000000006</v>
      </c>
      <c r="Y563" s="11">
        <v>0</v>
      </c>
      <c r="Z563" s="17">
        <v>83149.960000000006</v>
      </c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11">
        <v>0</v>
      </c>
      <c r="AG563" s="11">
        <v>83149.960000000006</v>
      </c>
      <c r="AH563" s="11">
        <v>0</v>
      </c>
      <c r="AI563" s="12">
        <v>83149.960000000006</v>
      </c>
      <c r="AJ563" s="11">
        <v>83149.960000000006</v>
      </c>
      <c r="AK563" s="11">
        <v>83149.960000000006</v>
      </c>
      <c r="AL563" s="11">
        <v>83149.960000000006</v>
      </c>
      <c r="AM563" s="11">
        <v>0</v>
      </c>
      <c r="AN563" s="11">
        <v>0</v>
      </c>
      <c r="AO563" s="11">
        <v>0</v>
      </c>
      <c r="AP563" s="11">
        <v>0</v>
      </c>
      <c r="AQ563" s="11">
        <v>0</v>
      </c>
      <c r="AR563" s="11">
        <v>0</v>
      </c>
      <c r="AS563" t="s">
        <v>538</v>
      </c>
      <c r="AT563" s="4" t="str">
        <f t="shared" si="97"/>
        <v>Superávit Extracción Material De Rio Minas Y Otros</v>
      </c>
      <c r="AU563" s="7" t="str">
        <f t="shared" si="98"/>
        <v>186Superávit Extracción Material De Rio Minas Y Otros83149,96</v>
      </c>
      <c r="AV563" t="e">
        <f>+_xlfn.XLOOKUP(AU563,CRUCE!I:I,CRUCE!M:M)</f>
        <v>#N/A</v>
      </c>
      <c r="AW563" t="s">
        <v>1907</v>
      </c>
      <c r="AX563">
        <f>+SUMIFS(CRUCE!C:C,CRUCE!A:A,D563,CRUCE!B:B,'2021'!H563)</f>
        <v>83212.060000000012</v>
      </c>
    </row>
    <row r="564" spans="1:50" x14ac:dyDescent="0.3">
      <c r="Z564" s="17">
        <f>SUBTOTAL(9,Z2:Z563)</f>
        <v>470311361775.77008</v>
      </c>
    </row>
  </sheetData>
  <autoFilter ref="A1:AX563" xr:uid="{0C6189B8-8D2C-44CC-8852-26F31B3768FA}">
    <filterColumn colId="3">
      <customFilters>
        <customFilter operator="notEqual" val=" "/>
      </custom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8F804-C6F7-428C-9CC3-95C9E014A45D}">
  <sheetPr filterMode="1"/>
  <dimension ref="A1:AY551"/>
  <sheetViews>
    <sheetView topLeftCell="B1" workbookViewId="0">
      <pane xSplit="3" ySplit="1" topLeftCell="G458" activePane="bottomRight" state="frozen"/>
      <selection activeCell="B1" sqref="B1"/>
      <selection pane="topRight" activeCell="E1" sqref="E1"/>
      <selection pane="bottomLeft" activeCell="B2" sqref="B2"/>
      <selection pane="bottomRight" activeCell="AS1" sqref="AS1"/>
    </sheetView>
  </sheetViews>
  <sheetFormatPr baseColWidth="10" defaultRowHeight="14.4" outlineLevelCol="1" x14ac:dyDescent="0.3"/>
  <cols>
    <col min="4" max="4" width="12.109375" style="5" customWidth="1"/>
    <col min="5" max="5" width="47.5546875" style="8" bestFit="1" customWidth="1"/>
    <col min="7" max="7" width="52.5546875" style="8" customWidth="1"/>
    <col min="8" max="8" width="19.6640625" hidden="1" customWidth="1" outlineLevel="1"/>
    <col min="9" max="10" width="18.21875" style="11" hidden="1" customWidth="1" outlineLevel="1"/>
    <col min="11" max="11" width="17.21875" style="11" hidden="1" customWidth="1" outlineLevel="1"/>
    <col min="12" max="12" width="16.21875" style="11" hidden="1" customWidth="1" outlineLevel="1"/>
    <col min="13" max="14" width="17.21875" style="11" hidden="1" customWidth="1" outlineLevel="1"/>
    <col min="15" max="15" width="16.21875" style="11" hidden="1" customWidth="1" outlineLevel="1"/>
    <col min="16" max="16" width="18.21875" style="11" hidden="1" customWidth="1" outlineLevel="1"/>
    <col min="17" max="17" width="17.21875" style="11" hidden="1" customWidth="1" outlineLevel="1"/>
    <col min="18" max="18" width="14.6640625" style="11" hidden="1" customWidth="1" outlineLevel="1"/>
    <col min="19" max="19" width="17.21875" style="11" hidden="1" customWidth="1" outlineLevel="1"/>
    <col min="20" max="22" width="11" style="11" hidden="1" customWidth="1" outlineLevel="1"/>
    <col min="23" max="23" width="18.21875" style="11" hidden="1" customWidth="1" outlineLevel="1"/>
    <col min="24" max="24" width="17.21875" style="11" hidden="1" customWidth="1" outlineLevel="1"/>
    <col min="25" max="25" width="18.21875" style="17" bestFit="1" customWidth="1" collapsed="1"/>
    <col min="26" max="26" width="17.21875" style="11" hidden="1" customWidth="1" outlineLevel="1"/>
    <col min="27" max="27" width="14.6640625" style="11" hidden="1" customWidth="1" outlineLevel="1"/>
    <col min="28" max="28" width="17.21875" style="11" hidden="1" customWidth="1" outlineLevel="1"/>
    <col min="29" max="31" width="11" style="11" hidden="1" customWidth="1" outlineLevel="1"/>
    <col min="32" max="32" width="18.21875" style="11" hidden="1" customWidth="1" outlineLevel="1"/>
    <col min="33" max="33" width="17.21875" style="11" hidden="1" customWidth="1" outlineLevel="1"/>
    <col min="34" max="34" width="22.109375" style="12" hidden="1" customWidth="1" outlineLevel="1"/>
    <col min="35" max="35" width="18.21875" style="11" hidden="1" customWidth="1" outlineLevel="1"/>
    <col min="36" max="37" width="17.21875" style="11" hidden="1" customWidth="1" outlineLevel="1"/>
    <col min="38" max="39" width="18.21875" style="11" hidden="1" customWidth="1" outlineLevel="1"/>
    <col min="40" max="40" width="16.21875" style="11" hidden="1" customWidth="1" outlineLevel="1"/>
    <col min="41" max="41" width="18.21875" style="11" hidden="1" customWidth="1" outlineLevel="1"/>
    <col min="42" max="42" width="11" style="11" hidden="1" customWidth="1" outlineLevel="1"/>
    <col min="43" max="43" width="16.21875" style="11" hidden="1" customWidth="1" outlineLevel="1"/>
    <col min="44" max="44" width="22.21875" customWidth="1" collapsed="1"/>
    <col min="45" max="45" width="22.21875" style="4" customWidth="1"/>
    <col min="49" max="50" width="18.33203125" style="23" bestFit="1" customWidth="1"/>
    <col min="51" max="51" width="17.21875" style="23" bestFit="1" customWidth="1"/>
  </cols>
  <sheetData>
    <row r="1" spans="1:51" s="2" customFormat="1" x14ac:dyDescent="0.3">
      <c r="A1" s="2" t="s">
        <v>0</v>
      </c>
      <c r="B1" s="2" t="s">
        <v>1</v>
      </c>
      <c r="C1" s="2" t="s">
        <v>2</v>
      </c>
      <c r="D1" s="16" t="s">
        <v>3</v>
      </c>
      <c r="E1" s="9" t="s">
        <v>4</v>
      </c>
      <c r="F1" s="2" t="s">
        <v>5</v>
      </c>
      <c r="G1" s="9" t="s">
        <v>6</v>
      </c>
      <c r="H1" s="2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1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19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2" t="s">
        <v>43</v>
      </c>
      <c r="AS1" s="13" t="s">
        <v>1905</v>
      </c>
      <c r="AW1" s="22"/>
      <c r="AX1" s="22"/>
      <c r="AY1" s="22"/>
    </row>
    <row r="2" spans="1:51" hidden="1" x14ac:dyDescent="0.3">
      <c r="A2">
        <v>2022</v>
      </c>
      <c r="B2">
        <v>307</v>
      </c>
      <c r="C2">
        <v>1</v>
      </c>
      <c r="D2" s="5" t="s">
        <v>44</v>
      </c>
      <c r="E2" s="8" t="s">
        <v>45</v>
      </c>
      <c r="F2">
        <v>1</v>
      </c>
      <c r="G2" s="8" t="s">
        <v>46</v>
      </c>
      <c r="H2" t="s">
        <v>47</v>
      </c>
      <c r="I2" s="11">
        <v>126781450566</v>
      </c>
      <c r="J2" s="11">
        <v>126781450566</v>
      </c>
      <c r="K2" s="11">
        <v>140801523764.75</v>
      </c>
      <c r="L2" s="11">
        <v>226716434.41</v>
      </c>
      <c r="M2" s="11">
        <v>140574807330.34</v>
      </c>
      <c r="N2" s="11">
        <v>140801523764.75</v>
      </c>
      <c r="O2" s="11">
        <v>226716434.41</v>
      </c>
      <c r="P2" s="11">
        <v>267356257896.34</v>
      </c>
      <c r="Q2" s="11">
        <v>39235058242.660004</v>
      </c>
      <c r="R2" s="11">
        <v>321238997.47000003</v>
      </c>
      <c r="S2" s="11">
        <v>38913819245.190002</v>
      </c>
      <c r="T2" s="11">
        <v>39224850.409999996</v>
      </c>
      <c r="U2" s="11">
        <v>0</v>
      </c>
      <c r="V2" s="11">
        <v>39224850.409999996</v>
      </c>
      <c r="W2" s="11">
        <v>265326881868.85001</v>
      </c>
      <c r="X2" s="11">
        <v>12187805661.33</v>
      </c>
      <c r="Y2" s="17">
        <v>253139076207.51999</v>
      </c>
      <c r="Z2" s="11">
        <v>39235058242.660004</v>
      </c>
      <c r="AA2" s="11">
        <v>321238997.47000003</v>
      </c>
      <c r="AB2" s="11">
        <v>38913819245.190002</v>
      </c>
      <c r="AC2" s="11">
        <v>39224850.409999996</v>
      </c>
      <c r="AD2" s="11">
        <v>0</v>
      </c>
      <c r="AE2" s="11">
        <v>39224850.409999996</v>
      </c>
      <c r="AF2" s="11">
        <v>265326881868.85001</v>
      </c>
      <c r="AG2" s="11">
        <v>12187805661.33</v>
      </c>
      <c r="AH2" s="12">
        <v>253139076207.51999</v>
      </c>
      <c r="AI2" s="11">
        <v>253178301057.92999</v>
      </c>
      <c r="AJ2" s="11">
        <v>47987968885.739998</v>
      </c>
      <c r="AK2" s="11">
        <v>47987968885.739998</v>
      </c>
      <c r="AL2" s="11">
        <v>205293649367.17001</v>
      </c>
      <c r="AM2" s="11">
        <v>215732614433.20001</v>
      </c>
      <c r="AN2" s="11">
        <v>10438965066.030001</v>
      </c>
      <c r="AO2" s="11">
        <v>215732614433.20001</v>
      </c>
      <c r="AP2" s="11">
        <v>0</v>
      </c>
      <c r="AQ2" s="11">
        <v>10438965066.030001</v>
      </c>
      <c r="AR2" t="s">
        <v>48</v>
      </c>
      <c r="AS2"/>
      <c r="AW2"/>
      <c r="AX2"/>
      <c r="AY2"/>
    </row>
    <row r="3" spans="1:51" hidden="1" x14ac:dyDescent="0.3">
      <c r="A3">
        <v>2022</v>
      </c>
      <c r="B3">
        <v>307</v>
      </c>
      <c r="C3">
        <v>11</v>
      </c>
      <c r="D3" s="5" t="s">
        <v>44</v>
      </c>
      <c r="E3" s="8" t="s">
        <v>49</v>
      </c>
      <c r="F3">
        <v>11</v>
      </c>
      <c r="G3" s="8" t="s">
        <v>50</v>
      </c>
      <c r="H3" t="s">
        <v>47</v>
      </c>
      <c r="I3" s="11">
        <v>118897761298</v>
      </c>
      <c r="J3" s="11">
        <v>118897761298</v>
      </c>
      <c r="K3" s="11">
        <v>56622110984.440002</v>
      </c>
      <c r="L3" s="11">
        <v>187491584</v>
      </c>
      <c r="M3" s="11">
        <v>56434619400.440002</v>
      </c>
      <c r="N3" s="11">
        <v>56622110984.440002</v>
      </c>
      <c r="O3" s="11">
        <v>187491584</v>
      </c>
      <c r="P3" s="11">
        <v>175332380698.44</v>
      </c>
      <c r="Q3" s="11">
        <v>39235058242.660004</v>
      </c>
      <c r="R3" s="11">
        <v>321238997.47000003</v>
      </c>
      <c r="S3" s="11">
        <v>38913819245.190002</v>
      </c>
      <c r="T3" s="11">
        <v>0</v>
      </c>
      <c r="U3" s="11">
        <v>0</v>
      </c>
      <c r="V3" s="11">
        <v>0</v>
      </c>
      <c r="W3" s="11">
        <v>204916861532.60999</v>
      </c>
      <c r="X3" s="11">
        <v>10620700751.6</v>
      </c>
      <c r="Y3" s="17">
        <v>194296160781.01001</v>
      </c>
      <c r="Z3" s="11">
        <v>39235058242.660004</v>
      </c>
      <c r="AA3" s="11">
        <v>321238997.47000003</v>
      </c>
      <c r="AB3" s="11">
        <v>38913819245.190002</v>
      </c>
      <c r="AC3" s="11">
        <v>0</v>
      </c>
      <c r="AD3" s="11">
        <v>0</v>
      </c>
      <c r="AE3" s="11">
        <v>0</v>
      </c>
      <c r="AF3" s="11">
        <v>204916861532.60999</v>
      </c>
      <c r="AG3" s="11">
        <v>10620700751.6</v>
      </c>
      <c r="AH3" s="12">
        <v>194296160781.01001</v>
      </c>
      <c r="AI3" s="11">
        <v>194296160781.01001</v>
      </c>
      <c r="AJ3" s="11">
        <v>38112099.020000003</v>
      </c>
      <c r="AK3" s="11">
        <v>38112099.020000003</v>
      </c>
      <c r="AL3" s="11">
        <v>194400590727.38</v>
      </c>
      <c r="AM3" s="11">
        <v>204768596877.57001</v>
      </c>
      <c r="AN3" s="11">
        <v>10368006150.190001</v>
      </c>
      <c r="AO3" s="11">
        <v>204768596877.57001</v>
      </c>
      <c r="AP3" s="11">
        <v>0</v>
      </c>
      <c r="AQ3" s="11">
        <v>10368006150.190001</v>
      </c>
      <c r="AR3" t="s">
        <v>48</v>
      </c>
      <c r="AS3"/>
      <c r="AW3"/>
      <c r="AX3"/>
      <c r="AY3"/>
    </row>
    <row r="4" spans="1:51" hidden="1" x14ac:dyDescent="0.3">
      <c r="A4">
        <v>2022</v>
      </c>
      <c r="B4">
        <v>307</v>
      </c>
      <c r="C4">
        <v>1101</v>
      </c>
      <c r="D4" s="5" t="s">
        <v>44</v>
      </c>
      <c r="E4" s="8" t="s">
        <v>51</v>
      </c>
      <c r="F4">
        <v>1101</v>
      </c>
      <c r="G4" s="8" t="s">
        <v>52</v>
      </c>
      <c r="H4" t="s">
        <v>47</v>
      </c>
      <c r="I4" s="11">
        <v>93354826790</v>
      </c>
      <c r="J4" s="11">
        <v>93354826790</v>
      </c>
      <c r="K4" s="11">
        <v>7194484411.4399996</v>
      </c>
      <c r="L4" s="11">
        <v>0</v>
      </c>
      <c r="M4" s="11">
        <v>7194484411.4399996</v>
      </c>
      <c r="N4" s="11">
        <v>7194484411.4399996</v>
      </c>
      <c r="O4" s="11">
        <v>0</v>
      </c>
      <c r="P4" s="11">
        <v>100549311201.44</v>
      </c>
      <c r="Q4" s="11">
        <v>24366763014.349998</v>
      </c>
      <c r="R4" s="11">
        <v>282994268.12</v>
      </c>
      <c r="S4" s="11">
        <v>24083768746.23</v>
      </c>
      <c r="T4" s="11">
        <v>0</v>
      </c>
      <c r="U4" s="11">
        <v>0</v>
      </c>
      <c r="V4" s="11">
        <v>0</v>
      </c>
      <c r="W4" s="11">
        <v>118056465718.92</v>
      </c>
      <c r="X4" s="11">
        <v>6070763481.6599998</v>
      </c>
      <c r="Y4" s="17">
        <v>111985702237.25999</v>
      </c>
      <c r="Z4" s="11">
        <v>24366763014.349998</v>
      </c>
      <c r="AA4" s="11">
        <v>282994268.12</v>
      </c>
      <c r="AB4" s="11">
        <v>24083768746.23</v>
      </c>
      <c r="AC4" s="11">
        <v>0</v>
      </c>
      <c r="AD4" s="11">
        <v>0</v>
      </c>
      <c r="AE4" s="11">
        <v>0</v>
      </c>
      <c r="AF4" s="11">
        <v>118056465718.92</v>
      </c>
      <c r="AG4" s="11">
        <v>6070763481.6599998</v>
      </c>
      <c r="AH4" s="12">
        <v>111985702237.25999</v>
      </c>
      <c r="AI4" s="11">
        <v>111985702237.25999</v>
      </c>
      <c r="AJ4" s="11">
        <v>0</v>
      </c>
      <c r="AK4" s="11">
        <v>0</v>
      </c>
      <c r="AL4" s="11">
        <v>112113678138.92</v>
      </c>
      <c r="AM4" s="11">
        <v>118036344618.92</v>
      </c>
      <c r="AN4" s="11">
        <v>5922666480</v>
      </c>
      <c r="AO4" s="11">
        <v>118036344618.92</v>
      </c>
      <c r="AP4" s="11">
        <v>0</v>
      </c>
      <c r="AQ4" s="11">
        <v>5922666480</v>
      </c>
      <c r="AR4" t="s">
        <v>48</v>
      </c>
      <c r="AS4"/>
      <c r="AW4"/>
      <c r="AX4"/>
      <c r="AY4"/>
    </row>
    <row r="5" spans="1:51" hidden="1" x14ac:dyDescent="0.3">
      <c r="A5">
        <v>2022</v>
      </c>
      <c r="B5">
        <v>307</v>
      </c>
      <c r="C5">
        <v>110101</v>
      </c>
      <c r="D5" s="5" t="s">
        <v>44</v>
      </c>
      <c r="E5" s="8" t="s">
        <v>53</v>
      </c>
      <c r="F5">
        <v>110101</v>
      </c>
      <c r="G5" s="8" t="s">
        <v>54</v>
      </c>
      <c r="H5" t="s">
        <v>47</v>
      </c>
      <c r="I5" s="11">
        <v>18334260465</v>
      </c>
      <c r="J5" s="11">
        <v>18334260465</v>
      </c>
      <c r="K5" s="11">
        <v>2217621365</v>
      </c>
      <c r="L5" s="11">
        <v>0</v>
      </c>
      <c r="M5" s="11">
        <v>2217621365</v>
      </c>
      <c r="N5" s="11">
        <v>2217621365</v>
      </c>
      <c r="O5" s="11">
        <v>0</v>
      </c>
      <c r="P5" s="11">
        <v>20551881830</v>
      </c>
      <c r="Q5" s="11">
        <v>24366763014.349998</v>
      </c>
      <c r="R5" s="11">
        <v>282994268.12</v>
      </c>
      <c r="S5" s="11">
        <v>24083768746.23</v>
      </c>
      <c r="T5" s="11">
        <v>0</v>
      </c>
      <c r="U5" s="11">
        <v>0</v>
      </c>
      <c r="V5" s="11">
        <v>0</v>
      </c>
      <c r="W5" s="11">
        <v>22095301782.650002</v>
      </c>
      <c r="X5" s="11">
        <v>33815105.659999996</v>
      </c>
      <c r="Y5" s="17">
        <v>22061486676.990002</v>
      </c>
      <c r="Z5" s="11">
        <v>24366763014.349998</v>
      </c>
      <c r="AA5" s="11">
        <v>282994268.12</v>
      </c>
      <c r="AB5" s="11">
        <v>24083768746.23</v>
      </c>
      <c r="AC5" s="11">
        <v>0</v>
      </c>
      <c r="AD5" s="11">
        <v>0</v>
      </c>
      <c r="AE5" s="11">
        <v>0</v>
      </c>
      <c r="AF5" s="11">
        <v>22095301782.650002</v>
      </c>
      <c r="AG5" s="11">
        <v>33815105.659999996</v>
      </c>
      <c r="AH5" s="12">
        <v>22061486676.990002</v>
      </c>
      <c r="AI5" s="11">
        <v>22061486676.990002</v>
      </c>
      <c r="AJ5" s="11">
        <v>0</v>
      </c>
      <c r="AK5" s="11">
        <v>0</v>
      </c>
      <c r="AL5" s="11">
        <v>22093912182.650002</v>
      </c>
      <c r="AM5" s="11">
        <v>22094020982.650002</v>
      </c>
      <c r="AN5" s="11">
        <v>108800</v>
      </c>
      <c r="AO5" s="11">
        <v>22094020982.650002</v>
      </c>
      <c r="AP5" s="11">
        <v>0</v>
      </c>
      <c r="AQ5" s="11">
        <v>108800</v>
      </c>
      <c r="AR5" t="s">
        <v>48</v>
      </c>
      <c r="AS5"/>
      <c r="AW5"/>
      <c r="AX5"/>
      <c r="AY5"/>
    </row>
    <row r="6" spans="1:51" x14ac:dyDescent="0.3">
      <c r="A6">
        <v>2022</v>
      </c>
      <c r="B6">
        <v>307</v>
      </c>
      <c r="C6">
        <v>110101100</v>
      </c>
      <c r="D6" s="5">
        <v>20</v>
      </c>
      <c r="E6" s="8" t="s">
        <v>55</v>
      </c>
      <c r="F6">
        <v>110101100</v>
      </c>
      <c r="G6" s="8" t="s">
        <v>56</v>
      </c>
      <c r="H6" t="s">
        <v>47</v>
      </c>
      <c r="I6" s="11">
        <v>18334260465</v>
      </c>
      <c r="J6" s="11">
        <v>18334260465</v>
      </c>
      <c r="K6" s="11">
        <v>2217621365</v>
      </c>
      <c r="L6" s="11">
        <v>0</v>
      </c>
      <c r="M6" s="11">
        <v>2217621365</v>
      </c>
      <c r="N6" s="11">
        <v>2217621365</v>
      </c>
      <c r="O6" s="11">
        <v>0</v>
      </c>
      <c r="P6" s="11">
        <v>20551881830</v>
      </c>
      <c r="Q6" s="11">
        <v>24366763014.349998</v>
      </c>
      <c r="R6" s="11">
        <v>282994268.12</v>
      </c>
      <c r="S6" s="11">
        <v>24083768746.23</v>
      </c>
      <c r="T6" s="11">
        <v>0</v>
      </c>
      <c r="U6" s="11">
        <v>0</v>
      </c>
      <c r="V6" s="11">
        <v>0</v>
      </c>
      <c r="W6" s="11">
        <v>22095301782.650002</v>
      </c>
      <c r="X6" s="11">
        <v>33815105.659999996</v>
      </c>
      <c r="Y6" s="17">
        <v>22061486676.990002</v>
      </c>
      <c r="Z6" s="11">
        <v>24366763014.349998</v>
      </c>
      <c r="AA6" s="11">
        <v>282994268.12</v>
      </c>
      <c r="AB6" s="11">
        <v>24083768746.23</v>
      </c>
      <c r="AC6" s="11">
        <v>0</v>
      </c>
      <c r="AD6" s="11">
        <v>0</v>
      </c>
      <c r="AE6" s="11">
        <v>0</v>
      </c>
      <c r="AF6" s="11">
        <v>22095301782.650002</v>
      </c>
      <c r="AG6" s="11">
        <v>33815105.659999996</v>
      </c>
      <c r="AH6" s="12">
        <v>22061486676.990002</v>
      </c>
      <c r="AI6" s="11">
        <v>22061486676.990002</v>
      </c>
      <c r="AJ6" s="11">
        <v>0</v>
      </c>
      <c r="AK6" s="11">
        <v>0</v>
      </c>
      <c r="AL6" s="11">
        <v>22093912182.650002</v>
      </c>
      <c r="AM6" s="11">
        <v>22094020982.650002</v>
      </c>
      <c r="AN6" s="11">
        <v>108800</v>
      </c>
      <c r="AO6" s="11">
        <v>22094020982.650002</v>
      </c>
      <c r="AP6" s="11">
        <v>0</v>
      </c>
      <c r="AQ6" s="11">
        <v>108800</v>
      </c>
      <c r="AR6" t="s">
        <v>57</v>
      </c>
      <c r="AS6" s="4" t="str">
        <f>+G6</f>
        <v>Impuesto sobre vehículos automotores</v>
      </c>
      <c r="AT6" t="str">
        <f>+D6&amp;AS6&amp;Y6</f>
        <v>20Impuesto sobre vehículos automotores22061486676,99</v>
      </c>
      <c r="AU6" t="str">
        <f>+_xlfn.XLOOKUP(AT6,CRUCE!J:J,CRUCE!M:M)</f>
        <v>READY</v>
      </c>
      <c r="AV6" t="s">
        <v>1907</v>
      </c>
      <c r="AW6" s="23">
        <f>+SUMIFS(CRUCE!D:D,CRUCE!A:A,'2022'!D6,CRUCE!B:B,'2022'!AS6)/COUNTIFS(D:D,D6,AS:AS,AS6)</f>
        <v>22061486676.990002</v>
      </c>
      <c r="AX6" s="23">
        <f>+SUMIFS(Y:Y,D:D,D6,AS:AS,AS6)/COUNTIFS(D:D,D6,AS:AS,AS6)</f>
        <v>22061486676.990002</v>
      </c>
      <c r="AY6" s="23">
        <f>+AW6-AX6</f>
        <v>0</v>
      </c>
    </row>
    <row r="7" spans="1:51" hidden="1" x14ac:dyDescent="0.3">
      <c r="A7">
        <v>2022</v>
      </c>
      <c r="B7">
        <v>307</v>
      </c>
      <c r="C7">
        <v>110102</v>
      </c>
      <c r="D7" s="5" t="s">
        <v>44</v>
      </c>
      <c r="E7" s="8" t="s">
        <v>58</v>
      </c>
      <c r="F7">
        <v>110102</v>
      </c>
      <c r="G7" s="8" t="s">
        <v>59</v>
      </c>
      <c r="H7" t="s">
        <v>47</v>
      </c>
      <c r="I7" s="11">
        <v>75020566325</v>
      </c>
      <c r="J7" s="11">
        <v>75020566325</v>
      </c>
      <c r="K7" s="11">
        <v>4976863046.4399996</v>
      </c>
      <c r="L7" s="11">
        <v>0</v>
      </c>
      <c r="M7" s="11">
        <v>4976863046.4399996</v>
      </c>
      <c r="N7" s="11">
        <v>4976863046.4399996</v>
      </c>
      <c r="O7" s="11">
        <v>0</v>
      </c>
      <c r="P7" s="11">
        <v>79997429371.440002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95961163936.270004</v>
      </c>
      <c r="X7" s="11">
        <v>6036948376</v>
      </c>
      <c r="Y7" s="17">
        <v>89924215560.270004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95961163936.270004</v>
      </c>
      <c r="AG7" s="11">
        <v>6036948376</v>
      </c>
      <c r="AH7" s="12">
        <v>89924215560.270004</v>
      </c>
      <c r="AI7" s="11">
        <v>89924215560.270004</v>
      </c>
      <c r="AJ7" s="11">
        <v>0</v>
      </c>
      <c r="AK7" s="11">
        <v>0</v>
      </c>
      <c r="AL7" s="11">
        <v>90019765956.270004</v>
      </c>
      <c r="AM7" s="11">
        <v>95942323636.270004</v>
      </c>
      <c r="AN7" s="11">
        <v>5922557680</v>
      </c>
      <c r="AO7" s="11">
        <v>95942323636.270004</v>
      </c>
      <c r="AP7" s="11">
        <v>0</v>
      </c>
      <c r="AQ7" s="11">
        <v>5922557680</v>
      </c>
      <c r="AR7" t="s">
        <v>48</v>
      </c>
      <c r="AS7"/>
      <c r="AW7"/>
      <c r="AX7"/>
      <c r="AY7"/>
    </row>
    <row r="8" spans="1:51" hidden="1" x14ac:dyDescent="0.3">
      <c r="A8">
        <v>2022</v>
      </c>
      <c r="B8">
        <v>307</v>
      </c>
      <c r="C8">
        <v>110102100</v>
      </c>
      <c r="D8" s="5" t="s">
        <v>44</v>
      </c>
      <c r="E8" s="8" t="s">
        <v>60</v>
      </c>
      <c r="F8">
        <v>110102100</v>
      </c>
      <c r="G8" s="8" t="s">
        <v>61</v>
      </c>
      <c r="H8" t="s">
        <v>47</v>
      </c>
      <c r="I8" s="11">
        <v>17634075676</v>
      </c>
      <c r="J8" s="11">
        <v>17634075676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17634075676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25535921555.57</v>
      </c>
      <c r="X8" s="11">
        <v>2327022803</v>
      </c>
      <c r="Y8" s="17">
        <v>23208898752.57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25535921555.57</v>
      </c>
      <c r="AG8" s="11">
        <v>2327022803</v>
      </c>
      <c r="AH8" s="12">
        <v>23208898752.57</v>
      </c>
      <c r="AI8" s="11">
        <v>23208898752.57</v>
      </c>
      <c r="AJ8" s="11">
        <v>0</v>
      </c>
      <c r="AK8" s="11">
        <v>0</v>
      </c>
      <c r="AL8" s="11">
        <v>23304449148.57</v>
      </c>
      <c r="AM8" s="11">
        <v>25517081255.57</v>
      </c>
      <c r="AN8" s="11">
        <v>2212632107</v>
      </c>
      <c r="AO8" s="11">
        <v>25517081255.57</v>
      </c>
      <c r="AP8" s="11">
        <v>0</v>
      </c>
      <c r="AQ8" s="11">
        <v>2212632107</v>
      </c>
      <c r="AR8" t="s">
        <v>48</v>
      </c>
      <c r="AS8"/>
      <c r="AW8"/>
      <c r="AX8"/>
      <c r="AY8"/>
    </row>
    <row r="9" spans="1:51" hidden="1" x14ac:dyDescent="0.3">
      <c r="A9">
        <v>2022</v>
      </c>
      <c r="B9">
        <v>307</v>
      </c>
      <c r="C9">
        <v>11010210001</v>
      </c>
      <c r="D9" s="5" t="s">
        <v>44</v>
      </c>
      <c r="E9" s="8" t="s">
        <v>1024</v>
      </c>
      <c r="F9">
        <v>11010210001</v>
      </c>
      <c r="G9" s="8" t="s">
        <v>63</v>
      </c>
      <c r="H9" t="s">
        <v>47</v>
      </c>
      <c r="I9" s="11">
        <v>529022270.27999997</v>
      </c>
      <c r="J9" s="11">
        <v>529022270.27999997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529022270.27999997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720666755.57000005</v>
      </c>
      <c r="X9" s="11">
        <v>12880007</v>
      </c>
      <c r="Y9" s="17">
        <v>707786748.57000005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720666755.57000005</v>
      </c>
      <c r="AG9" s="11">
        <v>12880007</v>
      </c>
      <c r="AH9" s="12">
        <v>707786748.57000005</v>
      </c>
      <c r="AI9" s="11">
        <v>707786748.57000005</v>
      </c>
      <c r="AJ9" s="11">
        <v>0</v>
      </c>
      <c r="AK9" s="11">
        <v>0</v>
      </c>
      <c r="AL9" s="11">
        <v>707786748.57000005</v>
      </c>
      <c r="AM9" s="11">
        <v>720666755.57000005</v>
      </c>
      <c r="AN9" s="11">
        <v>12880007</v>
      </c>
      <c r="AO9" s="11">
        <v>720666755.57000005</v>
      </c>
      <c r="AP9" s="11">
        <v>0</v>
      </c>
      <c r="AQ9" s="11">
        <v>12880007</v>
      </c>
      <c r="AR9" t="s">
        <v>48</v>
      </c>
      <c r="AS9"/>
      <c r="AW9"/>
      <c r="AX9"/>
      <c r="AY9"/>
    </row>
    <row r="10" spans="1:51" x14ac:dyDescent="0.3">
      <c r="A10">
        <v>2022</v>
      </c>
      <c r="B10">
        <v>307</v>
      </c>
      <c r="C10">
        <v>1101021000101</v>
      </c>
      <c r="D10" s="5">
        <v>1</v>
      </c>
      <c r="E10" s="8" t="s">
        <v>1025</v>
      </c>
      <c r="F10">
        <v>1101021000101</v>
      </c>
      <c r="G10" s="8" t="s">
        <v>1026</v>
      </c>
      <c r="H10" t="s">
        <v>47</v>
      </c>
      <c r="I10" s="11">
        <v>105804454.05</v>
      </c>
      <c r="J10" s="11">
        <v>105804454.05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105804454.05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144133351.58000001</v>
      </c>
      <c r="X10" s="11">
        <v>2576001.4</v>
      </c>
      <c r="Y10" s="17">
        <v>141557350.18000001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144133351.58000001</v>
      </c>
      <c r="AG10" s="11">
        <v>2576001.4</v>
      </c>
      <c r="AH10" s="12">
        <v>141557350.18000001</v>
      </c>
      <c r="AI10" s="11">
        <v>141557350.18000001</v>
      </c>
      <c r="AJ10" s="11">
        <v>0</v>
      </c>
      <c r="AK10" s="11">
        <v>0</v>
      </c>
      <c r="AL10" s="11">
        <v>141557350.18000001</v>
      </c>
      <c r="AM10" s="11">
        <v>144133351.58000001</v>
      </c>
      <c r="AN10" s="11">
        <v>2576001.4</v>
      </c>
      <c r="AO10" s="11">
        <v>144133351.58000001</v>
      </c>
      <c r="AP10" s="11">
        <v>0</v>
      </c>
      <c r="AQ10" s="11">
        <v>2576001.4</v>
      </c>
      <c r="AR10" t="s">
        <v>64</v>
      </c>
      <c r="AS10" s="4" t="str">
        <f t="shared" ref="AS10:AS14" si="0">+G10</f>
        <v>Impuesto de Registro - Cámaras de Comercio ( 20% FONPET)</v>
      </c>
      <c r="AT10" t="str">
        <f t="shared" ref="AT10:AT14" si="1">+D10&amp;AS10&amp;Y10</f>
        <v>1Impuesto de Registro - Cámaras de Comercio ( 20% FONPET)141557350,18</v>
      </c>
      <c r="AU10" t="str">
        <f>+_xlfn.XLOOKUP(AT10,CRUCE!J:J,CRUCE!M:M)</f>
        <v>READY</v>
      </c>
      <c r="AV10" t="s">
        <v>1907</v>
      </c>
      <c r="AW10" s="23">
        <f>+SUMIFS(CRUCE!D:D,CRUCE!A:A,'2022'!D10,CRUCE!B:B,'2022'!AS10)/COUNTIFS(D:D,D10,AS:AS,AS10)</f>
        <v>141557350.18000001</v>
      </c>
      <c r="AX10" s="23">
        <f t="shared" ref="AX10:AX14" si="2">+SUMIFS(Y:Y,D:D,D10,AS:AS,AS10)/COUNTIFS(D:D,D10,AS:AS,AS10)</f>
        <v>141557350.18000001</v>
      </c>
      <c r="AY10" s="23">
        <f t="shared" ref="AY10:AY14" si="3">+AW10-AX10</f>
        <v>0</v>
      </c>
    </row>
    <row r="11" spans="1:51" x14ac:dyDescent="0.3">
      <c r="A11">
        <v>2022</v>
      </c>
      <c r="B11">
        <v>307</v>
      </c>
      <c r="C11">
        <v>1101021000102</v>
      </c>
      <c r="D11" s="5">
        <v>13</v>
      </c>
      <c r="E11" s="8" t="s">
        <v>1027</v>
      </c>
      <c r="F11">
        <v>1101021000102</v>
      </c>
      <c r="G11" s="8" t="s">
        <v>1028</v>
      </c>
      <c r="H11" t="s">
        <v>47</v>
      </c>
      <c r="I11" s="11">
        <v>52902227.039999999</v>
      </c>
      <c r="J11" s="11">
        <v>52902227.039999999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52902227.039999999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72066675.659999996</v>
      </c>
      <c r="X11" s="11">
        <v>1288000.7</v>
      </c>
      <c r="Y11" s="17">
        <v>70778674.959999993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72066675.659999996</v>
      </c>
      <c r="AG11" s="11">
        <v>1288000.7</v>
      </c>
      <c r="AH11" s="12">
        <v>70778674.959999993</v>
      </c>
      <c r="AI11" s="11">
        <v>70778674.959999993</v>
      </c>
      <c r="AJ11" s="11">
        <v>0</v>
      </c>
      <c r="AK11" s="11">
        <v>0</v>
      </c>
      <c r="AL11" s="11">
        <v>70778674.959999993</v>
      </c>
      <c r="AM11" s="11">
        <v>72066675.659999996</v>
      </c>
      <c r="AN11" s="11">
        <v>1288000.7</v>
      </c>
      <c r="AO11" s="11">
        <v>72066675.659999996</v>
      </c>
      <c r="AP11" s="11">
        <v>0</v>
      </c>
      <c r="AQ11" s="11">
        <v>1288000.7</v>
      </c>
      <c r="AR11" t="s">
        <v>66</v>
      </c>
      <c r="AS11" s="4" t="str">
        <f t="shared" si="0"/>
        <v>Impuesto de Registro - Cámaras de Comercio (10% Cuotas Partes Pensionales)</v>
      </c>
      <c r="AT11" t="str">
        <f t="shared" si="1"/>
        <v>13Impuesto de Registro - Cámaras de Comercio (10% Cuotas Partes Pensionales)70778674,96</v>
      </c>
      <c r="AU11" t="str">
        <f>+_xlfn.XLOOKUP(AT11,CRUCE!J:J,CRUCE!M:M)</f>
        <v>READY</v>
      </c>
      <c r="AV11" t="s">
        <v>1907</v>
      </c>
      <c r="AW11" s="23">
        <f>+SUMIFS(CRUCE!D:D,CRUCE!A:A,'2022'!D11,CRUCE!B:B,'2022'!AS11)/COUNTIFS(D:D,D11,AS:AS,AS11)</f>
        <v>70778674.959999993</v>
      </c>
      <c r="AX11" s="23">
        <f t="shared" si="2"/>
        <v>70778674.959999993</v>
      </c>
      <c r="AY11" s="23">
        <f t="shared" si="3"/>
        <v>0</v>
      </c>
    </row>
    <row r="12" spans="1:51" x14ac:dyDescent="0.3">
      <c r="A12">
        <v>2022</v>
      </c>
      <c r="B12">
        <v>307</v>
      </c>
      <c r="C12">
        <v>1101021000103</v>
      </c>
      <c r="D12" s="5">
        <v>20</v>
      </c>
      <c r="E12" s="8" t="s">
        <v>1029</v>
      </c>
      <c r="F12">
        <v>1101021000103</v>
      </c>
      <c r="G12" s="8" t="s">
        <v>1030</v>
      </c>
      <c r="H12" t="s">
        <v>47</v>
      </c>
      <c r="I12" s="11">
        <v>317413362.14999998</v>
      </c>
      <c r="J12" s="11">
        <v>317413362.14999998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317413362.14999998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432400053.97000003</v>
      </c>
      <c r="X12" s="11">
        <v>7728004.2000000002</v>
      </c>
      <c r="Y12" s="17">
        <v>424672049.76999998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432400053.97000003</v>
      </c>
      <c r="AG12" s="11">
        <v>7728004.2000000002</v>
      </c>
      <c r="AH12" s="12">
        <v>424672049.76999998</v>
      </c>
      <c r="AI12" s="11">
        <v>424672049.76999998</v>
      </c>
      <c r="AJ12" s="11">
        <v>0</v>
      </c>
      <c r="AK12" s="11">
        <v>0</v>
      </c>
      <c r="AL12" s="11">
        <v>424672049.76999998</v>
      </c>
      <c r="AM12" s="11">
        <v>432400053.97000003</v>
      </c>
      <c r="AN12" s="11">
        <v>7728004.2000000002</v>
      </c>
      <c r="AO12" s="11">
        <v>432400053.97000003</v>
      </c>
      <c r="AP12" s="11">
        <v>0</v>
      </c>
      <c r="AQ12" s="11">
        <v>7728004.2000000002</v>
      </c>
      <c r="AR12" t="s">
        <v>57</v>
      </c>
      <c r="AS12" s="4" t="str">
        <f t="shared" si="0"/>
        <v>Impuesto de Registro - Cámaras de Comercio (ICLD)</v>
      </c>
      <c r="AT12" t="str">
        <f t="shared" si="1"/>
        <v>20Impuesto de Registro - Cámaras de Comercio (ICLD)424672049,77</v>
      </c>
      <c r="AU12" t="str">
        <f>+_xlfn.XLOOKUP(AT12,CRUCE!J:J,CRUCE!M:M)</f>
        <v>READY</v>
      </c>
      <c r="AV12" t="s">
        <v>1907</v>
      </c>
      <c r="AW12" s="23">
        <f>+SUMIFS(CRUCE!D:D,CRUCE!A:A,'2022'!D12,CRUCE!B:B,'2022'!AS12)/COUNTIFS(D:D,D12,AS:AS,AS12)</f>
        <v>424672049.76999998</v>
      </c>
      <c r="AX12" s="23">
        <f t="shared" si="2"/>
        <v>424672049.76999998</v>
      </c>
      <c r="AY12" s="23">
        <f t="shared" si="3"/>
        <v>0</v>
      </c>
    </row>
    <row r="13" spans="1:51" x14ac:dyDescent="0.3">
      <c r="A13">
        <v>2022</v>
      </c>
      <c r="B13">
        <v>307</v>
      </c>
      <c r="C13">
        <v>1101021000104</v>
      </c>
      <c r="D13" s="5">
        <v>52</v>
      </c>
      <c r="E13" s="8" t="s">
        <v>1031</v>
      </c>
      <c r="F13">
        <v>1101021000104</v>
      </c>
      <c r="G13" s="8" t="s">
        <v>1032</v>
      </c>
      <c r="H13" t="s">
        <v>47</v>
      </c>
      <c r="I13" s="11">
        <v>21160890.809999999</v>
      </c>
      <c r="J13" s="11">
        <v>21160890.809999999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21160890.809999999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28826670.420000002</v>
      </c>
      <c r="X13" s="11">
        <v>515200.28</v>
      </c>
      <c r="Y13" s="17">
        <v>28311470.140000001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28826670.420000002</v>
      </c>
      <c r="AG13" s="11">
        <v>515200.28</v>
      </c>
      <c r="AH13" s="12">
        <v>28311470.140000001</v>
      </c>
      <c r="AI13" s="11">
        <v>28311470.140000001</v>
      </c>
      <c r="AJ13" s="11">
        <v>0</v>
      </c>
      <c r="AK13" s="11">
        <v>0</v>
      </c>
      <c r="AL13" s="11">
        <v>28311470.140000001</v>
      </c>
      <c r="AM13" s="11">
        <v>28826670.420000002</v>
      </c>
      <c r="AN13" s="11">
        <v>515200.28</v>
      </c>
      <c r="AO13" s="11">
        <v>28826670.420000002</v>
      </c>
      <c r="AP13" s="11">
        <v>0</v>
      </c>
      <c r="AQ13" s="11">
        <v>515200.28</v>
      </c>
      <c r="AR13" t="s">
        <v>69</v>
      </c>
      <c r="AS13" s="4" t="str">
        <f t="shared" si="0"/>
        <v>Impuesto de Registro - Cámaras de Comercio (4% Turismo)</v>
      </c>
      <c r="AT13" t="str">
        <f t="shared" si="1"/>
        <v>52Impuesto de Registro - Cámaras de Comercio (4% Turismo)28311470,14</v>
      </c>
      <c r="AU13" t="str">
        <f>+_xlfn.XLOOKUP(AT13,CRUCE!J:J,CRUCE!M:M)</f>
        <v>READY</v>
      </c>
      <c r="AV13" t="s">
        <v>1907</v>
      </c>
      <c r="AW13" s="23">
        <f>+SUMIFS(CRUCE!D:D,CRUCE!A:A,'2022'!D13,CRUCE!B:B,'2022'!AS13)/COUNTIFS(D:D,D13,AS:AS,AS13)</f>
        <v>28311470.140000001</v>
      </c>
      <c r="AX13" s="23">
        <f t="shared" si="2"/>
        <v>28311470.140000001</v>
      </c>
      <c r="AY13" s="23">
        <f t="shared" si="3"/>
        <v>0</v>
      </c>
    </row>
    <row r="14" spans="1:51" x14ac:dyDescent="0.3">
      <c r="A14">
        <v>2022</v>
      </c>
      <c r="B14">
        <v>307</v>
      </c>
      <c r="C14">
        <v>1101021000105</v>
      </c>
      <c r="D14" s="5">
        <v>53</v>
      </c>
      <c r="E14" s="8" t="s">
        <v>1033</v>
      </c>
      <c r="F14">
        <v>1101021000105</v>
      </c>
      <c r="G14" s="8" t="s">
        <v>1034</v>
      </c>
      <c r="H14" t="s">
        <v>47</v>
      </c>
      <c r="I14" s="11">
        <v>31741336.23</v>
      </c>
      <c r="J14" s="11">
        <v>31741336.23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31741336.23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43240003.939999998</v>
      </c>
      <c r="X14" s="11">
        <v>772800.42</v>
      </c>
      <c r="Y14" s="17">
        <v>42467203.520000003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43240003.939999998</v>
      </c>
      <c r="AG14" s="11">
        <v>772800.42</v>
      </c>
      <c r="AH14" s="12">
        <v>42467203.520000003</v>
      </c>
      <c r="AI14" s="11">
        <v>42467203.520000003</v>
      </c>
      <c r="AJ14" s="11">
        <v>0</v>
      </c>
      <c r="AK14" s="11">
        <v>0</v>
      </c>
      <c r="AL14" s="11">
        <v>42467203.520000003</v>
      </c>
      <c r="AM14" s="11">
        <v>43240003.939999998</v>
      </c>
      <c r="AN14" s="11">
        <v>772800.42</v>
      </c>
      <c r="AO14" s="11">
        <v>43240003.939999998</v>
      </c>
      <c r="AP14" s="11">
        <v>0</v>
      </c>
      <c r="AQ14" s="11">
        <v>772800.42</v>
      </c>
      <c r="AR14" t="s">
        <v>71</v>
      </c>
      <c r="AS14" s="4" t="str">
        <f t="shared" si="0"/>
        <v>Impuesto de Registro - Cámaras de Comercio (6% Proyecta)</v>
      </c>
      <c r="AT14" t="str">
        <f t="shared" si="1"/>
        <v>53Impuesto de Registro - Cámaras de Comercio (6% Proyecta)42467203,52</v>
      </c>
      <c r="AU14" t="str">
        <f>+_xlfn.XLOOKUP(AT14,CRUCE!J:J,CRUCE!M:M)</f>
        <v>READY</v>
      </c>
      <c r="AV14" t="s">
        <v>1907</v>
      </c>
      <c r="AW14" s="23">
        <f>+SUMIFS(CRUCE!D:D,CRUCE!A:A,'2022'!D14,CRUCE!B:B,'2022'!AS14)/COUNTIFS(D:D,D14,AS:AS,AS14)</f>
        <v>42467203.520000003</v>
      </c>
      <c r="AX14" s="23">
        <f t="shared" si="2"/>
        <v>42467203.520000003</v>
      </c>
      <c r="AY14" s="23">
        <f t="shared" si="3"/>
        <v>0</v>
      </c>
    </row>
    <row r="15" spans="1:51" hidden="1" x14ac:dyDescent="0.3">
      <c r="A15">
        <v>2022</v>
      </c>
      <c r="B15">
        <v>307</v>
      </c>
      <c r="C15">
        <v>11010210002</v>
      </c>
      <c r="D15" s="5" t="s">
        <v>44</v>
      </c>
      <c r="E15" s="8" t="s">
        <v>1035</v>
      </c>
      <c r="F15">
        <v>11010210002</v>
      </c>
      <c r="G15" s="8" t="s">
        <v>73</v>
      </c>
      <c r="H15" t="s">
        <v>47</v>
      </c>
      <c r="I15" s="11">
        <v>17105053405.719999</v>
      </c>
      <c r="J15" s="11">
        <v>17105053405.719999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17105053405.719999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24815254800</v>
      </c>
      <c r="X15" s="11">
        <v>2314142796</v>
      </c>
      <c r="Y15" s="17">
        <v>22501112004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24815254800</v>
      </c>
      <c r="AG15" s="11">
        <v>2314142796</v>
      </c>
      <c r="AH15" s="12">
        <v>22501112004</v>
      </c>
      <c r="AI15" s="11">
        <v>22501112004</v>
      </c>
      <c r="AJ15" s="11">
        <v>0</v>
      </c>
      <c r="AK15" s="11">
        <v>0</v>
      </c>
      <c r="AL15" s="11">
        <v>22596662400</v>
      </c>
      <c r="AM15" s="11">
        <v>24796414500</v>
      </c>
      <c r="AN15" s="11">
        <v>2199752100</v>
      </c>
      <c r="AO15" s="11">
        <v>24796414500</v>
      </c>
      <c r="AP15" s="11">
        <v>0</v>
      </c>
      <c r="AQ15" s="11">
        <v>2199752100</v>
      </c>
      <c r="AR15" t="s">
        <v>48</v>
      </c>
      <c r="AS15"/>
      <c r="AW15"/>
      <c r="AX15"/>
      <c r="AY15"/>
    </row>
    <row r="16" spans="1:51" x14ac:dyDescent="0.3">
      <c r="A16">
        <v>2022</v>
      </c>
      <c r="B16">
        <v>307</v>
      </c>
      <c r="C16">
        <v>1101021000201</v>
      </c>
      <c r="D16" s="5">
        <v>1</v>
      </c>
      <c r="E16" s="8" t="s">
        <v>1036</v>
      </c>
      <c r="F16">
        <v>1101021000201</v>
      </c>
      <c r="G16" s="8" t="s">
        <v>1037</v>
      </c>
      <c r="H16" t="s">
        <v>47</v>
      </c>
      <c r="I16" s="11">
        <v>3421010680.9499998</v>
      </c>
      <c r="J16" s="11">
        <v>3421010680.9499998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3421010680.9499998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4961922841</v>
      </c>
      <c r="X16" s="11">
        <v>461700439.80000001</v>
      </c>
      <c r="Y16" s="17">
        <v>4500222401.1999998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4961922841</v>
      </c>
      <c r="AG16" s="11">
        <v>461700439.80000001</v>
      </c>
      <c r="AH16" s="12">
        <v>4500222401.1999998</v>
      </c>
      <c r="AI16" s="11">
        <v>4500222401.1999998</v>
      </c>
      <c r="AJ16" s="11">
        <v>0</v>
      </c>
      <c r="AK16" s="11">
        <v>0</v>
      </c>
      <c r="AL16" s="11">
        <v>4519332480</v>
      </c>
      <c r="AM16" s="11">
        <v>4959282900</v>
      </c>
      <c r="AN16" s="11">
        <v>439950420</v>
      </c>
      <c r="AO16" s="11">
        <v>4959282900</v>
      </c>
      <c r="AP16" s="11">
        <v>0</v>
      </c>
      <c r="AQ16" s="11">
        <v>439950420</v>
      </c>
      <c r="AR16" t="s">
        <v>64</v>
      </c>
      <c r="AS16" s="4" t="str">
        <f t="shared" ref="AS16:AS21" si="4">+G16</f>
        <v>Impuesto de Registro - Oficinas de Instrumentos Públicos ( 20% FONPET)</v>
      </c>
      <c r="AT16" t="str">
        <f t="shared" ref="AT16:AT21" si="5">+D16&amp;AS16&amp;Y16</f>
        <v>1Impuesto de Registro - Oficinas de Instrumentos Públicos ( 20% FONPET)4500222401,2</v>
      </c>
      <c r="AU16" t="str">
        <f>+_xlfn.XLOOKUP(AT16,CRUCE!J:J,CRUCE!M:M)</f>
        <v>READY</v>
      </c>
      <c r="AV16" t="s">
        <v>1907</v>
      </c>
      <c r="AW16" s="23">
        <f>+SUMIFS(CRUCE!D:D,CRUCE!A:A,'2022'!D16,CRUCE!B:B,'2022'!AS16)/COUNTIFS(D:D,D16,AS:AS,AS16)</f>
        <v>4500222401.1999998</v>
      </c>
      <c r="AX16" s="23">
        <f t="shared" ref="AX16:AX21" si="6">+SUMIFS(Y:Y,D:D,D16,AS:AS,AS16)/COUNTIFS(D:D,D16,AS:AS,AS16)</f>
        <v>4500222401.1999998</v>
      </c>
      <c r="AY16" s="23">
        <f t="shared" ref="AY16:AY21" si="7">+AW16-AX16</f>
        <v>0</v>
      </c>
    </row>
    <row r="17" spans="1:51" x14ac:dyDescent="0.3">
      <c r="A17">
        <v>2022</v>
      </c>
      <c r="B17">
        <v>307</v>
      </c>
      <c r="C17">
        <v>1101021000202</v>
      </c>
      <c r="D17" s="5">
        <v>13</v>
      </c>
      <c r="E17" s="8" t="s">
        <v>1038</v>
      </c>
      <c r="F17">
        <v>1101021000202</v>
      </c>
      <c r="G17" s="8" t="s">
        <v>1039</v>
      </c>
      <c r="H17" t="s">
        <v>47</v>
      </c>
      <c r="I17" s="11">
        <v>1710505340.96</v>
      </c>
      <c r="J17" s="11">
        <v>1710505340.96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1710505340.96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2481525480</v>
      </c>
      <c r="X17" s="11">
        <v>231414279.40000001</v>
      </c>
      <c r="Y17" s="17">
        <v>2250111200.5999999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2481525480</v>
      </c>
      <c r="AG17" s="11">
        <v>231414279.40000001</v>
      </c>
      <c r="AH17" s="12">
        <v>2250111200.5999999</v>
      </c>
      <c r="AI17" s="11">
        <v>2250111200.5999999</v>
      </c>
      <c r="AJ17" s="11">
        <v>0</v>
      </c>
      <c r="AK17" s="11">
        <v>0</v>
      </c>
      <c r="AL17" s="11">
        <v>2259666240</v>
      </c>
      <c r="AM17" s="11">
        <v>2479641450</v>
      </c>
      <c r="AN17" s="11">
        <v>219975210</v>
      </c>
      <c r="AO17" s="11">
        <v>2479641450</v>
      </c>
      <c r="AP17" s="11">
        <v>0</v>
      </c>
      <c r="AQ17" s="11">
        <v>219975210</v>
      </c>
      <c r="AR17" t="s">
        <v>66</v>
      </c>
      <c r="AS17" s="4" t="str">
        <f t="shared" si="4"/>
        <v>Impuesto de Registro - Oficinas de Instrumentos Públicos (10% Cuotas Partes Pensionales)</v>
      </c>
      <c r="AT17" t="str">
        <f t="shared" si="5"/>
        <v>13Impuesto de Registro - Oficinas de Instrumentos Públicos (10% Cuotas Partes Pensionales)2250111200,6</v>
      </c>
      <c r="AU17" t="str">
        <f>+_xlfn.XLOOKUP(AT17,CRUCE!J:J,CRUCE!M:M)</f>
        <v>READY</v>
      </c>
      <c r="AV17" t="s">
        <v>1907</v>
      </c>
      <c r="AW17" s="23">
        <f>+SUMIFS(CRUCE!D:D,CRUCE!A:A,'2022'!D17,CRUCE!B:B,'2022'!AS17)/COUNTIFS(D:D,D17,AS:AS,AS17)</f>
        <v>2250111200.5999999</v>
      </c>
      <c r="AX17" s="23">
        <f t="shared" si="6"/>
        <v>2250111200.5999999</v>
      </c>
      <c r="AY17" s="23">
        <f t="shared" si="7"/>
        <v>0</v>
      </c>
    </row>
    <row r="18" spans="1:51" x14ac:dyDescent="0.3">
      <c r="A18">
        <v>2022</v>
      </c>
      <c r="B18">
        <v>307</v>
      </c>
      <c r="C18">
        <v>1101021000203</v>
      </c>
      <c r="D18" s="5">
        <v>20</v>
      </c>
      <c r="E18" s="8" t="s">
        <v>1040</v>
      </c>
      <c r="F18">
        <v>1101021000203</v>
      </c>
      <c r="G18" s="8" t="s">
        <v>1041</v>
      </c>
      <c r="H18" t="s">
        <v>47</v>
      </c>
      <c r="I18" s="11">
        <v>10263032042.85</v>
      </c>
      <c r="J18" s="11">
        <v>10263032042.85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10263032042.85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14890280993</v>
      </c>
      <c r="X18" s="11">
        <v>1389613790.4000001</v>
      </c>
      <c r="Y18" s="17">
        <v>13500667202.6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14890280993</v>
      </c>
      <c r="AG18" s="11">
        <v>1389613790.4000001</v>
      </c>
      <c r="AH18" s="12">
        <v>13500667202.6</v>
      </c>
      <c r="AI18" s="11">
        <v>13500667202.6</v>
      </c>
      <c r="AJ18" s="11">
        <v>0</v>
      </c>
      <c r="AK18" s="11">
        <v>0</v>
      </c>
      <c r="AL18" s="11">
        <v>13557997440</v>
      </c>
      <c r="AM18" s="11">
        <v>14877848700</v>
      </c>
      <c r="AN18" s="11">
        <v>1319851260</v>
      </c>
      <c r="AO18" s="11">
        <v>14877848700</v>
      </c>
      <c r="AP18" s="11">
        <v>0</v>
      </c>
      <c r="AQ18" s="11">
        <v>1319851260</v>
      </c>
      <c r="AR18" t="s">
        <v>57</v>
      </c>
      <c r="AS18" s="4" t="str">
        <f t="shared" si="4"/>
        <v>Impuesto de Registro - Oficinas de Instrumentos Públicos (ICLD)</v>
      </c>
      <c r="AT18" t="str">
        <f t="shared" si="5"/>
        <v>20Impuesto de Registro - Oficinas de Instrumentos Públicos (ICLD)13500667202,6</v>
      </c>
      <c r="AU18" t="str">
        <f>+_xlfn.XLOOKUP(AT18,CRUCE!J:J,CRUCE!M:M)</f>
        <v>READY</v>
      </c>
      <c r="AV18" t="s">
        <v>1907</v>
      </c>
      <c r="AW18" s="23">
        <f>+SUMIFS(CRUCE!D:D,CRUCE!A:A,'2022'!D18,CRUCE!B:B,'2022'!AS18)/COUNTIFS(D:D,D18,AS:AS,AS18)</f>
        <v>13500667202.6</v>
      </c>
      <c r="AX18" s="23">
        <f t="shared" si="6"/>
        <v>13500667202.6</v>
      </c>
      <c r="AY18" s="23">
        <f t="shared" si="7"/>
        <v>0</v>
      </c>
    </row>
    <row r="19" spans="1:51" x14ac:dyDescent="0.3">
      <c r="A19">
        <v>2022</v>
      </c>
      <c r="B19">
        <v>307</v>
      </c>
      <c r="C19">
        <v>1101021000204</v>
      </c>
      <c r="D19" s="5">
        <v>52</v>
      </c>
      <c r="E19" s="8" t="s">
        <v>1042</v>
      </c>
      <c r="F19">
        <v>1101021000204</v>
      </c>
      <c r="G19" s="8" t="s">
        <v>1043</v>
      </c>
      <c r="H19" t="s">
        <v>47</v>
      </c>
      <c r="I19" s="11">
        <v>684202136.19000006</v>
      </c>
      <c r="J19" s="11">
        <v>684202136.19000006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684202136.19000006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992610192</v>
      </c>
      <c r="X19" s="11">
        <v>92565711.359999999</v>
      </c>
      <c r="Y19" s="17">
        <v>900044480.63999999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992610192</v>
      </c>
      <c r="AG19" s="11">
        <v>92565711.359999999</v>
      </c>
      <c r="AH19" s="12">
        <v>900044480.63999999</v>
      </c>
      <c r="AI19" s="11">
        <v>900044480.63999999</v>
      </c>
      <c r="AJ19" s="11">
        <v>0</v>
      </c>
      <c r="AK19" s="11">
        <v>0</v>
      </c>
      <c r="AL19" s="11">
        <v>903866496</v>
      </c>
      <c r="AM19" s="11">
        <v>991856580</v>
      </c>
      <c r="AN19" s="11">
        <v>87990084</v>
      </c>
      <c r="AO19" s="11">
        <v>991856580</v>
      </c>
      <c r="AP19" s="11">
        <v>0</v>
      </c>
      <c r="AQ19" s="11">
        <v>87990084</v>
      </c>
      <c r="AR19" t="s">
        <v>69</v>
      </c>
      <c r="AS19" s="4" t="str">
        <f t="shared" si="4"/>
        <v>Impuesto de Registro - Oficinas de Instrumentos Públicos (4% Turismo)</v>
      </c>
      <c r="AT19" t="str">
        <f t="shared" si="5"/>
        <v>52Impuesto de Registro - Oficinas de Instrumentos Públicos (4% Turismo)900044480,64</v>
      </c>
      <c r="AU19" t="str">
        <f>+_xlfn.XLOOKUP(AT19,CRUCE!J:J,CRUCE!M:M)</f>
        <v>READY</v>
      </c>
      <c r="AV19" t="s">
        <v>1907</v>
      </c>
      <c r="AW19" s="23">
        <f>+SUMIFS(CRUCE!D:D,CRUCE!A:A,'2022'!D19,CRUCE!B:B,'2022'!AS19)/COUNTIFS(D:D,D19,AS:AS,AS19)</f>
        <v>900044480.63999999</v>
      </c>
      <c r="AX19" s="23">
        <f t="shared" si="6"/>
        <v>900044480.63999999</v>
      </c>
      <c r="AY19" s="23">
        <f t="shared" si="7"/>
        <v>0</v>
      </c>
    </row>
    <row r="20" spans="1:51" x14ac:dyDescent="0.3">
      <c r="A20">
        <v>2022</v>
      </c>
      <c r="B20">
        <v>307</v>
      </c>
      <c r="C20">
        <v>1101021000205</v>
      </c>
      <c r="D20" s="5">
        <v>53</v>
      </c>
      <c r="E20" s="8" t="s">
        <v>1044</v>
      </c>
      <c r="F20">
        <v>1101021000205</v>
      </c>
      <c r="G20" s="8" t="s">
        <v>1045</v>
      </c>
      <c r="H20" t="s">
        <v>47</v>
      </c>
      <c r="I20" s="11">
        <v>1026303204.77</v>
      </c>
      <c r="J20" s="11">
        <v>1026303204.77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1026303204.77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1488915294</v>
      </c>
      <c r="X20" s="11">
        <v>138848575.03999999</v>
      </c>
      <c r="Y20" s="17">
        <v>1350066718.96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1488915294</v>
      </c>
      <c r="AG20" s="11">
        <v>138848575.03999999</v>
      </c>
      <c r="AH20" s="12">
        <v>1350066718.96</v>
      </c>
      <c r="AI20" s="11">
        <v>1350066718.96</v>
      </c>
      <c r="AJ20" s="11">
        <v>0</v>
      </c>
      <c r="AK20" s="11">
        <v>0</v>
      </c>
      <c r="AL20" s="11">
        <v>1355799744</v>
      </c>
      <c r="AM20" s="11">
        <v>1487784870</v>
      </c>
      <c r="AN20" s="11">
        <v>131985126</v>
      </c>
      <c r="AO20" s="11">
        <v>1487784870</v>
      </c>
      <c r="AP20" s="11">
        <v>0</v>
      </c>
      <c r="AQ20" s="11">
        <v>131985126</v>
      </c>
      <c r="AR20" t="s">
        <v>71</v>
      </c>
      <c r="AS20" s="4" t="str">
        <f t="shared" si="4"/>
        <v>Impuesto de Registro - Oficinas de Instrumentos Públicos (6% Proyecta)</v>
      </c>
      <c r="AT20" t="str">
        <f t="shared" si="5"/>
        <v>53Impuesto de Registro - Oficinas de Instrumentos Públicos (6% Proyecta)1350066718,96</v>
      </c>
      <c r="AU20" t="str">
        <f>+_xlfn.XLOOKUP(AT20,CRUCE!J:J,CRUCE!M:M)</f>
        <v>READY</v>
      </c>
      <c r="AV20" t="s">
        <v>1907</v>
      </c>
      <c r="AW20" s="23">
        <f>+SUMIFS(CRUCE!D:D,CRUCE!A:A,'2022'!D20,CRUCE!B:B,'2022'!AS20)/COUNTIFS(D:D,D20,AS:AS,AS20)</f>
        <v>1350066718.96</v>
      </c>
      <c r="AX20" s="23">
        <f t="shared" si="6"/>
        <v>1350066718.96</v>
      </c>
      <c r="AY20" s="23">
        <f t="shared" si="7"/>
        <v>0</v>
      </c>
    </row>
    <row r="21" spans="1:51" x14ac:dyDescent="0.3">
      <c r="A21">
        <v>2022</v>
      </c>
      <c r="B21">
        <v>307</v>
      </c>
      <c r="C21">
        <v>110102102</v>
      </c>
      <c r="D21" s="5">
        <v>20</v>
      </c>
      <c r="E21" s="8" t="s">
        <v>78</v>
      </c>
      <c r="F21">
        <v>110102102</v>
      </c>
      <c r="G21" s="8" t="s">
        <v>79</v>
      </c>
      <c r="H21" t="s">
        <v>47</v>
      </c>
      <c r="I21" s="11">
        <v>693652915</v>
      </c>
      <c r="J21" s="11">
        <v>693652915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693652915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633596100</v>
      </c>
      <c r="X21" s="11">
        <v>0</v>
      </c>
      <c r="Y21" s="17">
        <v>633596100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633596100</v>
      </c>
      <c r="AG21" s="11">
        <v>0</v>
      </c>
      <c r="AH21" s="12">
        <v>633596100</v>
      </c>
      <c r="AI21" s="11">
        <v>633596100</v>
      </c>
      <c r="AJ21" s="11">
        <v>0</v>
      </c>
      <c r="AK21" s="11">
        <v>0</v>
      </c>
      <c r="AL21" s="11">
        <v>633596100</v>
      </c>
      <c r="AM21" s="11">
        <v>633596100</v>
      </c>
      <c r="AN21" s="11">
        <v>0</v>
      </c>
      <c r="AO21" s="11">
        <v>633596100</v>
      </c>
      <c r="AP21" s="11">
        <v>0</v>
      </c>
      <c r="AQ21" s="11">
        <v>0</v>
      </c>
      <c r="AR21" t="s">
        <v>57</v>
      </c>
      <c r="AS21" s="4" t="str">
        <f t="shared" si="4"/>
        <v>Impuesto al degüello de ganado mayor</v>
      </c>
      <c r="AT21" t="str">
        <f t="shared" si="5"/>
        <v>20Impuesto al degüello de ganado mayor633596100</v>
      </c>
      <c r="AU21" t="str">
        <f>+_xlfn.XLOOKUP(AT21,CRUCE!J:J,CRUCE!M:M)</f>
        <v>READY</v>
      </c>
      <c r="AV21" t="s">
        <v>1907</v>
      </c>
      <c r="AW21" s="23">
        <f>+SUMIFS(CRUCE!D:D,CRUCE!A:A,'2022'!D21,CRUCE!B:B,'2022'!AS21)/COUNTIFS(D:D,D21,AS:AS,AS21)</f>
        <v>633596100</v>
      </c>
      <c r="AX21" s="23">
        <f t="shared" si="6"/>
        <v>633596100</v>
      </c>
      <c r="AY21" s="23">
        <f t="shared" si="7"/>
        <v>0</v>
      </c>
    </row>
    <row r="22" spans="1:51" hidden="1" x14ac:dyDescent="0.3">
      <c r="A22">
        <v>2022</v>
      </c>
      <c r="B22">
        <v>307</v>
      </c>
      <c r="C22">
        <v>110102104</v>
      </c>
      <c r="D22" s="5" t="s">
        <v>44</v>
      </c>
      <c r="E22" s="8" t="s">
        <v>85</v>
      </c>
      <c r="F22">
        <v>110102104</v>
      </c>
      <c r="G22" s="8" t="s">
        <v>86</v>
      </c>
      <c r="H22" t="s">
        <v>47</v>
      </c>
      <c r="I22" s="11">
        <v>5585764723</v>
      </c>
      <c r="J22" s="11">
        <v>5585764723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5585764723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4254644777.1300001</v>
      </c>
      <c r="X22" s="11">
        <v>87204538</v>
      </c>
      <c r="Y22" s="17">
        <v>4167440239.1300001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4254644777.1300001</v>
      </c>
      <c r="AG22" s="11">
        <v>87204538</v>
      </c>
      <c r="AH22" s="12">
        <v>4167440239.1300001</v>
      </c>
      <c r="AI22" s="11">
        <v>4167440239.1300001</v>
      </c>
      <c r="AJ22" s="11">
        <v>0</v>
      </c>
      <c r="AK22" s="11">
        <v>0</v>
      </c>
      <c r="AL22" s="11">
        <v>4167440239.1300001</v>
      </c>
      <c r="AM22" s="11">
        <v>4254644777.1300001</v>
      </c>
      <c r="AN22" s="11">
        <v>87204538</v>
      </c>
      <c r="AO22" s="11">
        <v>4254644777.1300001</v>
      </c>
      <c r="AP22" s="11">
        <v>0</v>
      </c>
      <c r="AQ22" s="11">
        <v>87204538</v>
      </c>
      <c r="AR22" t="s">
        <v>48</v>
      </c>
      <c r="AS22"/>
      <c r="AW22"/>
      <c r="AX22"/>
      <c r="AY22"/>
    </row>
    <row r="23" spans="1:51" hidden="1" x14ac:dyDescent="0.3">
      <c r="A23">
        <v>2022</v>
      </c>
      <c r="B23">
        <v>307</v>
      </c>
      <c r="C23">
        <v>11010210402</v>
      </c>
      <c r="D23" s="5" t="s">
        <v>44</v>
      </c>
      <c r="E23" s="8" t="s">
        <v>93</v>
      </c>
      <c r="F23">
        <v>11010210402</v>
      </c>
      <c r="G23" s="8" t="s">
        <v>94</v>
      </c>
      <c r="H23" t="s">
        <v>47</v>
      </c>
      <c r="I23" s="11">
        <v>5585764723</v>
      </c>
      <c r="J23" s="11">
        <v>5585764723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5585764723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4254644777.1300001</v>
      </c>
      <c r="X23" s="11">
        <v>87204538</v>
      </c>
      <c r="Y23" s="17">
        <v>4167440239.1300001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4254644777.1300001</v>
      </c>
      <c r="AG23" s="11">
        <v>87204538</v>
      </c>
      <c r="AH23" s="12">
        <v>4167440239.1300001</v>
      </c>
      <c r="AI23" s="11">
        <v>4167440239.1300001</v>
      </c>
      <c r="AJ23" s="11">
        <v>0</v>
      </c>
      <c r="AK23" s="11">
        <v>0</v>
      </c>
      <c r="AL23" s="11">
        <v>4167440239.1300001</v>
      </c>
      <c r="AM23" s="11">
        <v>4254644777.1300001</v>
      </c>
      <c r="AN23" s="11">
        <v>87204538</v>
      </c>
      <c r="AO23" s="11">
        <v>4254644777.1300001</v>
      </c>
      <c r="AP23" s="11">
        <v>0</v>
      </c>
      <c r="AQ23" s="11">
        <v>87204538</v>
      </c>
      <c r="AR23" t="s">
        <v>48</v>
      </c>
      <c r="AS23"/>
      <c r="AW23"/>
      <c r="AX23"/>
      <c r="AY23"/>
    </row>
    <row r="24" spans="1:51" x14ac:dyDescent="0.3">
      <c r="A24">
        <v>2022</v>
      </c>
      <c r="B24">
        <v>307</v>
      </c>
      <c r="C24">
        <v>1101021040201</v>
      </c>
      <c r="D24" s="5">
        <v>145</v>
      </c>
      <c r="E24" s="8" t="s">
        <v>1046</v>
      </c>
      <c r="F24">
        <v>1101021040201</v>
      </c>
      <c r="G24" s="8" t="s">
        <v>96</v>
      </c>
      <c r="H24" t="s">
        <v>47</v>
      </c>
      <c r="I24" s="11">
        <v>135654286</v>
      </c>
      <c r="J24" s="11">
        <v>135654286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135654286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54056896.530000001</v>
      </c>
      <c r="X24" s="11">
        <v>4027668</v>
      </c>
      <c r="Y24" s="17">
        <v>50029228.530000001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54056896.530000001</v>
      </c>
      <c r="AG24" s="11">
        <v>4027668</v>
      </c>
      <c r="AH24" s="12">
        <v>50029228.530000001</v>
      </c>
      <c r="AI24" s="11">
        <v>50029228.530000001</v>
      </c>
      <c r="AJ24" s="11">
        <v>0</v>
      </c>
      <c r="AK24" s="11">
        <v>0</v>
      </c>
      <c r="AL24" s="11">
        <v>50029228.530000001</v>
      </c>
      <c r="AM24" s="11">
        <v>54056896.530000001</v>
      </c>
      <c r="AN24" s="11">
        <v>4027668</v>
      </c>
      <c r="AO24" s="11">
        <v>54056896.530000001</v>
      </c>
      <c r="AP24" s="11">
        <v>0</v>
      </c>
      <c r="AQ24" s="11">
        <v>4027668</v>
      </c>
      <c r="AR24" t="s">
        <v>84</v>
      </c>
      <c r="AS24" s="4" t="str">
        <f t="shared" ref="AS24:AS27" si="8">+G24</f>
        <v>Impuesto al consumo de vinos, aperitivos y similares - Nacionales</v>
      </c>
      <c r="AT24" t="str">
        <f t="shared" ref="AT24:AT27" si="9">+D24&amp;AS24&amp;Y24</f>
        <v>145Impuesto al consumo de vinos, aperitivos y similares - Nacionales50029228,53</v>
      </c>
      <c r="AU24" t="str">
        <f>+_xlfn.XLOOKUP(AT24,CRUCE!J:J,CRUCE!M:M)</f>
        <v>READY</v>
      </c>
      <c r="AV24" t="s">
        <v>1907</v>
      </c>
      <c r="AW24" s="23">
        <f>+SUMIFS(CRUCE!D:D,CRUCE!A:A,'2022'!D24,CRUCE!B:B,'2022'!AS24)/COUNTIFS(D:D,D24,AS:AS,AS24)</f>
        <v>50029228.530000001</v>
      </c>
      <c r="AX24" s="23">
        <f t="shared" ref="AX24:AX27" si="10">+SUMIFS(Y:Y,D:D,D24,AS:AS,AS24)/COUNTIFS(D:D,D24,AS:AS,AS24)</f>
        <v>50029228.530000001</v>
      </c>
      <c r="AY24" s="23">
        <f t="shared" ref="AY24:AY27" si="11">+AW24-AX24</f>
        <v>0</v>
      </c>
    </row>
    <row r="25" spans="1:51" x14ac:dyDescent="0.3">
      <c r="A25">
        <v>2022</v>
      </c>
      <c r="B25">
        <v>307</v>
      </c>
      <c r="C25">
        <v>1101021040201</v>
      </c>
      <c r="D25" s="5">
        <v>20</v>
      </c>
      <c r="E25" s="8" t="s">
        <v>95</v>
      </c>
      <c r="F25">
        <v>1101021040201</v>
      </c>
      <c r="G25" s="8" t="s">
        <v>96</v>
      </c>
      <c r="H25" t="s">
        <v>47</v>
      </c>
      <c r="I25" s="11">
        <v>2713085722</v>
      </c>
      <c r="J25" s="11">
        <v>2713085722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2713085722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1088274356.4000001</v>
      </c>
      <c r="X25" s="11">
        <v>76420785.799999997</v>
      </c>
      <c r="Y25" s="17">
        <v>1011853570.6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1088274356.4000001</v>
      </c>
      <c r="AG25" s="11">
        <v>76420785.799999997</v>
      </c>
      <c r="AH25" s="12">
        <v>1011853570.6</v>
      </c>
      <c r="AI25" s="11">
        <v>1011853570.6</v>
      </c>
      <c r="AJ25" s="11">
        <v>0</v>
      </c>
      <c r="AK25" s="11">
        <v>0</v>
      </c>
      <c r="AL25" s="11">
        <v>1011853570.6</v>
      </c>
      <c r="AM25" s="11">
        <v>1088274356.4000001</v>
      </c>
      <c r="AN25" s="11">
        <v>76420785.799999997</v>
      </c>
      <c r="AO25" s="11">
        <v>1088274356.4000001</v>
      </c>
      <c r="AP25" s="11">
        <v>0</v>
      </c>
      <c r="AQ25" s="11">
        <v>76420785.799999997</v>
      </c>
      <c r="AR25" t="s">
        <v>57</v>
      </c>
      <c r="AS25" s="4" t="str">
        <f t="shared" si="8"/>
        <v>Impuesto al consumo de vinos, aperitivos y similares - Nacionales</v>
      </c>
      <c r="AT25" t="str">
        <f t="shared" si="9"/>
        <v>20Impuesto al consumo de vinos, aperitivos y similares - Nacionales1011853570,6</v>
      </c>
      <c r="AU25" t="str">
        <f>+_xlfn.XLOOKUP(AT25,CRUCE!J:J,CRUCE!M:M)</f>
        <v>READY</v>
      </c>
      <c r="AV25" t="s">
        <v>1907</v>
      </c>
      <c r="AW25" s="23">
        <f>+SUMIFS(CRUCE!D:D,CRUCE!A:A,'2022'!D25,CRUCE!B:B,'2022'!AS25)/COUNTIFS(D:D,D25,AS:AS,AS25)</f>
        <v>1011853570.6</v>
      </c>
      <c r="AX25" s="23">
        <f t="shared" si="10"/>
        <v>1011853570.6</v>
      </c>
      <c r="AY25" s="23">
        <f t="shared" si="11"/>
        <v>0</v>
      </c>
    </row>
    <row r="26" spans="1:51" x14ac:dyDescent="0.3">
      <c r="A26">
        <v>2022</v>
      </c>
      <c r="B26">
        <v>307</v>
      </c>
      <c r="C26">
        <v>1101021040202</v>
      </c>
      <c r="D26" s="5">
        <v>145</v>
      </c>
      <c r="E26" s="8" t="s">
        <v>1047</v>
      </c>
      <c r="F26">
        <v>1101021040202</v>
      </c>
      <c r="G26" s="8" t="s">
        <v>98</v>
      </c>
      <c r="H26" t="s">
        <v>47</v>
      </c>
      <c r="I26" s="11">
        <v>130334511</v>
      </c>
      <c r="J26" s="11">
        <v>130334511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130334511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158999024.19999999</v>
      </c>
      <c r="X26" s="11">
        <v>6756084.2000000002</v>
      </c>
      <c r="Y26" s="17">
        <v>152242940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158999024.19999999</v>
      </c>
      <c r="AG26" s="11">
        <v>6756084.2000000002</v>
      </c>
      <c r="AH26" s="12">
        <v>152242940</v>
      </c>
      <c r="AI26" s="11">
        <v>152242940</v>
      </c>
      <c r="AJ26" s="11">
        <v>0</v>
      </c>
      <c r="AK26" s="11">
        <v>0</v>
      </c>
      <c r="AL26" s="11">
        <v>152242940</v>
      </c>
      <c r="AM26" s="11">
        <v>158999024.19999999</v>
      </c>
      <c r="AN26" s="11">
        <v>6756084.2000000002</v>
      </c>
      <c r="AO26" s="11">
        <v>158999024.19999999</v>
      </c>
      <c r="AP26" s="11">
        <v>0</v>
      </c>
      <c r="AQ26" s="11">
        <v>6756084.2000000002</v>
      </c>
      <c r="AR26" t="s">
        <v>84</v>
      </c>
      <c r="AS26" s="4" t="str">
        <f t="shared" si="8"/>
        <v>Impuesto al consumo de vinos, aperitivos y similares - Extranjeros</v>
      </c>
      <c r="AT26" t="str">
        <f t="shared" si="9"/>
        <v>145Impuesto al consumo de vinos, aperitivos y similares - Extranjeros152242940</v>
      </c>
      <c r="AU26" t="str">
        <f>+_xlfn.XLOOKUP(AT26,CRUCE!J:J,CRUCE!M:M)</f>
        <v>READY</v>
      </c>
      <c r="AV26" t="s">
        <v>1907</v>
      </c>
      <c r="AW26" s="23">
        <f>+SUMIFS(CRUCE!D:D,CRUCE!A:A,'2022'!D26,CRUCE!B:B,'2022'!AS26)/COUNTIFS(D:D,D26,AS:AS,AS26)</f>
        <v>152242940</v>
      </c>
      <c r="AX26" s="23">
        <f t="shared" si="10"/>
        <v>152242940</v>
      </c>
      <c r="AY26" s="23">
        <f t="shared" si="11"/>
        <v>0</v>
      </c>
    </row>
    <row r="27" spans="1:51" x14ac:dyDescent="0.3">
      <c r="A27">
        <v>2022</v>
      </c>
      <c r="B27">
        <v>307</v>
      </c>
      <c r="C27">
        <v>1101021040202</v>
      </c>
      <c r="D27" s="5">
        <v>20</v>
      </c>
      <c r="E27" s="8" t="s">
        <v>97</v>
      </c>
      <c r="F27">
        <v>1101021040202</v>
      </c>
      <c r="G27" s="8" t="s">
        <v>98</v>
      </c>
      <c r="H27" t="s">
        <v>47</v>
      </c>
      <c r="I27" s="11">
        <v>2606690204</v>
      </c>
      <c r="J27" s="11">
        <v>2606690204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2606690204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2953314500</v>
      </c>
      <c r="X27" s="11">
        <v>0</v>
      </c>
      <c r="Y27" s="17">
        <v>2953314500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2953314500</v>
      </c>
      <c r="AG27" s="11">
        <v>0</v>
      </c>
      <c r="AH27" s="12">
        <v>2953314500</v>
      </c>
      <c r="AI27" s="11">
        <v>2953314500</v>
      </c>
      <c r="AJ27" s="11">
        <v>0</v>
      </c>
      <c r="AK27" s="11">
        <v>0</v>
      </c>
      <c r="AL27" s="11">
        <v>2953314500</v>
      </c>
      <c r="AM27" s="11">
        <v>2953314500</v>
      </c>
      <c r="AN27" s="11">
        <v>0</v>
      </c>
      <c r="AO27" s="11">
        <v>2953314500</v>
      </c>
      <c r="AP27" s="11">
        <v>0</v>
      </c>
      <c r="AQ27" s="11">
        <v>0</v>
      </c>
      <c r="AR27" t="s">
        <v>57</v>
      </c>
      <c r="AS27" s="4" t="str">
        <f t="shared" si="8"/>
        <v>Impuesto al consumo de vinos, aperitivos y similares - Extranjeros</v>
      </c>
      <c r="AT27" t="str">
        <f t="shared" si="9"/>
        <v>20Impuesto al consumo de vinos, aperitivos y similares - Extranjeros2953314500</v>
      </c>
      <c r="AU27" t="str">
        <f>+_xlfn.XLOOKUP(AT27,CRUCE!J:J,CRUCE!M:M)</f>
        <v>READY</v>
      </c>
      <c r="AV27" t="s">
        <v>1907</v>
      </c>
      <c r="AW27" s="23">
        <f>+SUMIFS(CRUCE!D:D,CRUCE!A:A,'2022'!D27,CRUCE!B:B,'2022'!AS27)/COUNTIFS(D:D,D27,AS:AS,AS27)</f>
        <v>2953314500</v>
      </c>
      <c r="AX27" s="23">
        <f t="shared" si="10"/>
        <v>2953314500</v>
      </c>
      <c r="AY27" s="23">
        <f t="shared" si="11"/>
        <v>0</v>
      </c>
    </row>
    <row r="28" spans="1:51" hidden="1" x14ac:dyDescent="0.3">
      <c r="A28">
        <v>2022</v>
      </c>
      <c r="B28">
        <v>307</v>
      </c>
      <c r="C28">
        <v>110102105</v>
      </c>
      <c r="D28" s="5" t="s">
        <v>44</v>
      </c>
      <c r="E28" s="8" t="s">
        <v>99</v>
      </c>
      <c r="F28">
        <v>110102105</v>
      </c>
      <c r="G28" s="8" t="s">
        <v>100</v>
      </c>
      <c r="H28" t="s">
        <v>47</v>
      </c>
      <c r="I28" s="11">
        <v>17647340374</v>
      </c>
      <c r="J28" s="11">
        <v>17647340374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17647340374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19670392424</v>
      </c>
      <c r="X28" s="11">
        <v>1802923400</v>
      </c>
      <c r="Y28" s="17">
        <v>17867469024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19670392424</v>
      </c>
      <c r="AG28" s="11">
        <v>1802923400</v>
      </c>
      <c r="AH28" s="12">
        <v>17867469024</v>
      </c>
      <c r="AI28" s="11">
        <v>17867469024</v>
      </c>
      <c r="AJ28" s="11">
        <v>0</v>
      </c>
      <c r="AK28" s="11">
        <v>0</v>
      </c>
      <c r="AL28" s="11">
        <v>17867469024</v>
      </c>
      <c r="AM28" s="11">
        <v>19670392424</v>
      </c>
      <c r="AN28" s="11">
        <v>1802923400</v>
      </c>
      <c r="AO28" s="11">
        <v>19670392424</v>
      </c>
      <c r="AP28" s="11">
        <v>0</v>
      </c>
      <c r="AQ28" s="11">
        <v>1802923400</v>
      </c>
      <c r="AR28" t="s">
        <v>48</v>
      </c>
      <c r="AS28"/>
      <c r="AW28"/>
      <c r="AX28"/>
      <c r="AY28"/>
    </row>
    <row r="29" spans="1:51" x14ac:dyDescent="0.3">
      <c r="A29">
        <v>2022</v>
      </c>
      <c r="B29">
        <v>307</v>
      </c>
      <c r="C29">
        <v>11010210501</v>
      </c>
      <c r="D29" s="5">
        <v>20</v>
      </c>
      <c r="E29" s="8" t="s">
        <v>101</v>
      </c>
      <c r="F29">
        <v>11010210501</v>
      </c>
      <c r="G29" s="8" t="s">
        <v>102</v>
      </c>
      <c r="H29" t="s">
        <v>47</v>
      </c>
      <c r="I29" s="11">
        <v>17382630268.389999</v>
      </c>
      <c r="J29" s="11">
        <v>17382630268.389999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17382630268.389999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19026249424</v>
      </c>
      <c r="X29" s="11">
        <v>1802769400</v>
      </c>
      <c r="Y29" s="17">
        <v>17223480024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19026249424</v>
      </c>
      <c r="AG29" s="11">
        <v>1802769400</v>
      </c>
      <c r="AH29" s="12">
        <v>17223480024</v>
      </c>
      <c r="AI29" s="11">
        <v>17223480024</v>
      </c>
      <c r="AJ29" s="11">
        <v>0</v>
      </c>
      <c r="AK29" s="11">
        <v>0</v>
      </c>
      <c r="AL29" s="11">
        <v>17223480024</v>
      </c>
      <c r="AM29" s="11">
        <v>19026249424</v>
      </c>
      <c r="AN29" s="11">
        <v>1802769400</v>
      </c>
      <c r="AO29" s="11">
        <v>19026249424</v>
      </c>
      <c r="AP29" s="11">
        <v>0</v>
      </c>
      <c r="AQ29" s="11">
        <v>1802769400</v>
      </c>
      <c r="AR29" t="s">
        <v>57</v>
      </c>
      <c r="AS29" s="4" t="str">
        <f t="shared" ref="AS29:AS30" si="12">+G29</f>
        <v>Impuesto al consumo de cervezas, sifones, refajos y mezclas - Nacionales</v>
      </c>
      <c r="AT29" t="str">
        <f t="shared" ref="AT29:AT30" si="13">+D29&amp;AS29&amp;Y29</f>
        <v>20Impuesto al consumo de cervezas, sifones, refajos y mezclas - Nacionales17223480024</v>
      </c>
      <c r="AU29" t="str">
        <f>+_xlfn.XLOOKUP(AT29,CRUCE!J:J,CRUCE!M:M)</f>
        <v>READY</v>
      </c>
      <c r="AV29" t="s">
        <v>1907</v>
      </c>
      <c r="AW29" s="23">
        <f>+SUMIFS(CRUCE!D:D,CRUCE!A:A,'2022'!D29,CRUCE!B:B,'2022'!AS29)/COUNTIFS(D:D,D29,AS:AS,AS29)</f>
        <v>17223480024</v>
      </c>
      <c r="AX29" s="23">
        <f t="shared" ref="AX29:AX30" si="14">+SUMIFS(Y:Y,D:D,D29,AS:AS,AS29)/COUNTIFS(D:D,D29,AS:AS,AS29)</f>
        <v>17223480024</v>
      </c>
      <c r="AY29" s="23">
        <f t="shared" ref="AY29:AY30" si="15">+AW29-AX29</f>
        <v>0</v>
      </c>
    </row>
    <row r="30" spans="1:51" x14ac:dyDescent="0.3">
      <c r="A30">
        <v>2022</v>
      </c>
      <c r="B30">
        <v>307</v>
      </c>
      <c r="C30">
        <v>11010210502</v>
      </c>
      <c r="D30" s="5">
        <v>20</v>
      </c>
      <c r="E30" s="8" t="s">
        <v>103</v>
      </c>
      <c r="F30">
        <v>11010210502</v>
      </c>
      <c r="G30" s="8" t="s">
        <v>104</v>
      </c>
      <c r="H30" t="s">
        <v>47</v>
      </c>
      <c r="I30" s="11">
        <v>264710105.61000001</v>
      </c>
      <c r="J30" s="11">
        <v>264710105.61000001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264710105.61000001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644143000</v>
      </c>
      <c r="X30" s="11">
        <v>154000</v>
      </c>
      <c r="Y30" s="17">
        <v>643989000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644143000</v>
      </c>
      <c r="AG30" s="11">
        <v>154000</v>
      </c>
      <c r="AH30" s="12">
        <v>643989000</v>
      </c>
      <c r="AI30" s="11">
        <v>643989000</v>
      </c>
      <c r="AJ30" s="11">
        <v>0</v>
      </c>
      <c r="AK30" s="11">
        <v>0</v>
      </c>
      <c r="AL30" s="11">
        <v>643989000</v>
      </c>
      <c r="AM30" s="11">
        <v>644143000</v>
      </c>
      <c r="AN30" s="11">
        <v>154000</v>
      </c>
      <c r="AO30" s="11">
        <v>644143000</v>
      </c>
      <c r="AP30" s="11">
        <v>0</v>
      </c>
      <c r="AQ30" s="11">
        <v>154000</v>
      </c>
      <c r="AR30" t="s">
        <v>57</v>
      </c>
      <c r="AS30" s="4" t="str">
        <f t="shared" si="12"/>
        <v>Impuesto al consumo de cervezas, sifones, refajos y mezclas - Extranjeras</v>
      </c>
      <c r="AT30" t="str">
        <f t="shared" si="13"/>
        <v>20Impuesto al consumo de cervezas, sifones, refajos y mezclas - Extranjeras643989000</v>
      </c>
      <c r="AU30" t="str">
        <f>+_xlfn.XLOOKUP(AT30,CRUCE!J:J,CRUCE!M:M)</f>
        <v>READY</v>
      </c>
      <c r="AV30" t="s">
        <v>1907</v>
      </c>
      <c r="AW30" s="23">
        <f>+SUMIFS(CRUCE!D:D,CRUCE!A:A,'2022'!D30,CRUCE!B:B,'2022'!AS30)/COUNTIFS(D:D,D30,AS:AS,AS30)</f>
        <v>643989000</v>
      </c>
      <c r="AX30" s="23">
        <f t="shared" si="14"/>
        <v>643989000</v>
      </c>
      <c r="AY30" s="23">
        <f t="shared" si="15"/>
        <v>0</v>
      </c>
    </row>
    <row r="31" spans="1:51" hidden="1" x14ac:dyDescent="0.3">
      <c r="A31">
        <v>2022</v>
      </c>
      <c r="B31">
        <v>307</v>
      </c>
      <c r="C31">
        <v>110102106</v>
      </c>
      <c r="D31" s="5" t="s">
        <v>44</v>
      </c>
      <c r="E31" s="8" t="s">
        <v>105</v>
      </c>
      <c r="F31">
        <v>110102106</v>
      </c>
      <c r="G31" s="8" t="s">
        <v>106</v>
      </c>
      <c r="H31" t="s">
        <v>47</v>
      </c>
      <c r="I31" s="11">
        <v>10859778214</v>
      </c>
      <c r="J31" s="11">
        <v>10859778214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10859778214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11703083543</v>
      </c>
      <c r="X31" s="11">
        <v>565532835</v>
      </c>
      <c r="Y31" s="17">
        <v>11137550708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11703083543</v>
      </c>
      <c r="AG31" s="11">
        <v>565532835</v>
      </c>
      <c r="AH31" s="12">
        <v>11137550708</v>
      </c>
      <c r="AI31" s="11">
        <v>11137550708</v>
      </c>
      <c r="AJ31" s="11">
        <v>0</v>
      </c>
      <c r="AK31" s="11">
        <v>0</v>
      </c>
      <c r="AL31" s="11">
        <v>11137550708</v>
      </c>
      <c r="AM31" s="11">
        <v>11703083543</v>
      </c>
      <c r="AN31" s="11">
        <v>565532835</v>
      </c>
      <c r="AO31" s="11">
        <v>11703083543</v>
      </c>
      <c r="AP31" s="11">
        <v>0</v>
      </c>
      <c r="AQ31" s="11">
        <v>565532835</v>
      </c>
      <c r="AR31" t="s">
        <v>48</v>
      </c>
      <c r="AS31"/>
      <c r="AW31"/>
      <c r="AX31"/>
      <c r="AY31"/>
    </row>
    <row r="32" spans="1:51" hidden="1" x14ac:dyDescent="0.3">
      <c r="A32">
        <v>2022</v>
      </c>
      <c r="B32">
        <v>307</v>
      </c>
      <c r="C32">
        <v>11010210601</v>
      </c>
      <c r="D32" s="5" t="s">
        <v>44</v>
      </c>
      <c r="E32" s="8" t="s">
        <v>107</v>
      </c>
      <c r="F32">
        <v>11010210601</v>
      </c>
      <c r="G32" s="8" t="s">
        <v>108</v>
      </c>
      <c r="H32" t="s">
        <v>47</v>
      </c>
      <c r="I32" s="11">
        <v>10859778214</v>
      </c>
      <c r="J32" s="11">
        <v>10859778214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10859778214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11703083543</v>
      </c>
      <c r="X32" s="11">
        <v>565532835</v>
      </c>
      <c r="Y32" s="17">
        <v>11137550708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11703083543</v>
      </c>
      <c r="AG32" s="11">
        <v>565532835</v>
      </c>
      <c r="AH32" s="12">
        <v>11137550708</v>
      </c>
      <c r="AI32" s="11">
        <v>11137550708</v>
      </c>
      <c r="AJ32" s="11">
        <v>0</v>
      </c>
      <c r="AK32" s="11">
        <v>0</v>
      </c>
      <c r="AL32" s="11">
        <v>11137550708</v>
      </c>
      <c r="AM32" s="11">
        <v>11703083543</v>
      </c>
      <c r="AN32" s="11">
        <v>565532835</v>
      </c>
      <c r="AO32" s="11">
        <v>11703083543</v>
      </c>
      <c r="AP32" s="11">
        <v>0</v>
      </c>
      <c r="AQ32" s="11">
        <v>565532835</v>
      </c>
      <c r="AR32" t="s">
        <v>48</v>
      </c>
      <c r="AS32"/>
      <c r="AW32"/>
      <c r="AX32"/>
      <c r="AY32"/>
    </row>
    <row r="33" spans="1:51" x14ac:dyDescent="0.3">
      <c r="A33">
        <v>2022</v>
      </c>
      <c r="B33">
        <v>307</v>
      </c>
      <c r="C33">
        <v>1101021060102</v>
      </c>
      <c r="D33" s="5">
        <v>20</v>
      </c>
      <c r="E33" s="8" t="s">
        <v>109</v>
      </c>
      <c r="F33">
        <v>1101021060102</v>
      </c>
      <c r="G33" s="8" t="s">
        <v>110</v>
      </c>
      <c r="H33" t="s">
        <v>47</v>
      </c>
      <c r="I33" s="11">
        <v>10859778214</v>
      </c>
      <c r="J33" s="11">
        <v>10859778214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10859778214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11703083543</v>
      </c>
      <c r="X33" s="11">
        <v>565532835</v>
      </c>
      <c r="Y33" s="17">
        <v>11137550708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11703083543</v>
      </c>
      <c r="AG33" s="11">
        <v>565532835</v>
      </c>
      <c r="AH33" s="12">
        <v>11137550708</v>
      </c>
      <c r="AI33" s="11">
        <v>11137550708</v>
      </c>
      <c r="AJ33" s="11">
        <v>0</v>
      </c>
      <c r="AK33" s="11">
        <v>0</v>
      </c>
      <c r="AL33" s="11">
        <v>11137550708</v>
      </c>
      <c r="AM33" s="11">
        <v>11703083543</v>
      </c>
      <c r="AN33" s="11">
        <v>565532835</v>
      </c>
      <c r="AO33" s="11">
        <v>11703083543</v>
      </c>
      <c r="AP33" s="11">
        <v>0</v>
      </c>
      <c r="AQ33" s="11">
        <v>565532835</v>
      </c>
      <c r="AR33" t="s">
        <v>57</v>
      </c>
      <c r="AS33" s="4" t="str">
        <f t="shared" ref="AS33:AS34" si="16">+G33</f>
        <v>Componente específico del impuesto al consumo de cigarrillos y tabaco - Extranjeros</v>
      </c>
      <c r="AT33" t="str">
        <f t="shared" ref="AT33:AT35" si="17">+D33&amp;AS33&amp;Y33</f>
        <v>20Componente específico del impuesto al consumo de cigarrillos y tabaco - Extranjeros11137550708</v>
      </c>
      <c r="AU33" t="str">
        <f>+_xlfn.XLOOKUP(AT33,CRUCE!J:J,CRUCE!M:M)</f>
        <v>READY</v>
      </c>
      <c r="AV33" t="s">
        <v>1907</v>
      </c>
      <c r="AW33" s="23">
        <f>+SUMIFS(CRUCE!D:D,CRUCE!A:A,'2022'!D33,CRUCE!B:B,'2022'!AS33)/COUNTIFS(D:D,D33,AS:AS,AS33)</f>
        <v>11137550708</v>
      </c>
      <c r="AX33" s="23">
        <f t="shared" ref="AX33:AX35" si="18">+SUMIFS(Y:Y,D:D,D33,AS:AS,AS33)/COUNTIFS(D:D,D33,AS:AS,AS33)</f>
        <v>11137550708</v>
      </c>
      <c r="AY33" s="23">
        <f t="shared" ref="AY33:AY35" si="19">+AW33-AX33</f>
        <v>0</v>
      </c>
    </row>
    <row r="34" spans="1:51" x14ac:dyDescent="0.3">
      <c r="A34">
        <v>2022</v>
      </c>
      <c r="B34">
        <v>307</v>
      </c>
      <c r="C34">
        <v>110102109</v>
      </c>
      <c r="D34" s="5">
        <v>20</v>
      </c>
      <c r="E34" s="8" t="s">
        <v>111</v>
      </c>
      <c r="F34">
        <v>110102109</v>
      </c>
      <c r="G34" s="8" t="s">
        <v>112</v>
      </c>
      <c r="H34" t="s">
        <v>47</v>
      </c>
      <c r="I34" s="11">
        <v>7947476705</v>
      </c>
      <c r="J34" s="11">
        <v>7947476705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7947476705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9664260500</v>
      </c>
      <c r="X34" s="11">
        <v>237344000</v>
      </c>
      <c r="Y34" s="17">
        <v>9426916500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9664260500</v>
      </c>
      <c r="AG34" s="11">
        <v>237344000</v>
      </c>
      <c r="AH34" s="12">
        <v>9426916500</v>
      </c>
      <c r="AI34" s="11">
        <v>9426916500</v>
      </c>
      <c r="AJ34" s="11">
        <v>0</v>
      </c>
      <c r="AK34" s="11">
        <v>0</v>
      </c>
      <c r="AL34" s="11">
        <v>9426916500</v>
      </c>
      <c r="AM34" s="11">
        <v>9664260500</v>
      </c>
      <c r="AN34" s="11">
        <v>237344000</v>
      </c>
      <c r="AO34" s="11">
        <v>9664260500</v>
      </c>
      <c r="AP34" s="11">
        <v>0</v>
      </c>
      <c r="AQ34" s="11">
        <v>237344000</v>
      </c>
      <c r="AR34" t="s">
        <v>57</v>
      </c>
      <c r="AS34" s="4" t="str">
        <f t="shared" si="16"/>
        <v xml:space="preserve">Sobretasa a la gasolina </v>
      </c>
      <c r="AT34" t="str">
        <f t="shared" si="17"/>
        <v>20Sobretasa a la gasolina 9426916500</v>
      </c>
      <c r="AU34" t="str">
        <f>+_xlfn.XLOOKUP(AT34,CRUCE!J:J,CRUCE!M:M)</f>
        <v>READY</v>
      </c>
      <c r="AV34" t="s">
        <v>1907</v>
      </c>
      <c r="AW34" s="23">
        <f>+SUMIFS(CRUCE!D:D,CRUCE!A:A,'2022'!D34,CRUCE!B:B,'2022'!AS34)/COUNTIFS(D:D,D34,AS:AS,AS34)</f>
        <v>9426916500</v>
      </c>
      <c r="AX34" s="23">
        <f t="shared" si="18"/>
        <v>9426916500</v>
      </c>
      <c r="AY34" s="23">
        <f t="shared" si="19"/>
        <v>0</v>
      </c>
    </row>
    <row r="35" spans="1:51" x14ac:dyDescent="0.3">
      <c r="A35">
        <v>2022</v>
      </c>
      <c r="B35">
        <v>307</v>
      </c>
      <c r="C35">
        <v>110102213</v>
      </c>
      <c r="D35" s="5">
        <v>42</v>
      </c>
      <c r="E35" s="8" t="s">
        <v>113</v>
      </c>
      <c r="F35">
        <v>110102213</v>
      </c>
      <c r="G35" s="8" t="s">
        <v>114</v>
      </c>
      <c r="H35" t="s">
        <v>47</v>
      </c>
      <c r="I35" s="11">
        <v>1611202918</v>
      </c>
      <c r="J35" s="11">
        <v>1611202918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1611202918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3710887236.5700002</v>
      </c>
      <c r="X35" s="11">
        <v>0</v>
      </c>
      <c r="Y35" s="17">
        <v>3710887236.5700002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3710887236.5700002</v>
      </c>
      <c r="AG35" s="11">
        <v>0</v>
      </c>
      <c r="AH35" s="12">
        <v>3710887236.5700002</v>
      </c>
      <c r="AI35" s="11">
        <v>3710887236.5700002</v>
      </c>
      <c r="AJ35" s="11">
        <v>0</v>
      </c>
      <c r="AK35" s="11">
        <v>0</v>
      </c>
      <c r="AL35" s="11">
        <v>3710887236.5700002</v>
      </c>
      <c r="AM35" s="11">
        <v>3710887236.5700002</v>
      </c>
      <c r="AN35" s="11">
        <v>0</v>
      </c>
      <c r="AO35" s="11">
        <v>3710887236.5700002</v>
      </c>
      <c r="AP35" s="11">
        <v>0</v>
      </c>
      <c r="AQ35" s="11">
        <v>0</v>
      </c>
      <c r="AR35" t="s">
        <v>115</v>
      </c>
      <c r="AS35" s="4" t="s">
        <v>1327</v>
      </c>
      <c r="AT35" t="str">
        <f t="shared" si="17"/>
        <v>42Contribución especial sobre contratos de obras públicas3710887236,57</v>
      </c>
      <c r="AU35" t="str">
        <f>+_xlfn.XLOOKUP(AT35,CRUCE!J:J,CRUCE!M:M)</f>
        <v>READY</v>
      </c>
      <c r="AV35" t="s">
        <v>1907</v>
      </c>
      <c r="AW35" s="23">
        <f>+SUMIFS(CRUCE!D:D,CRUCE!A:A,'2022'!D35,CRUCE!B:B,'2022'!AS35)/COUNTIFS(D:D,D35,AS:AS,AS35)</f>
        <v>3710887236.5700002</v>
      </c>
      <c r="AX35" s="23">
        <f t="shared" si="18"/>
        <v>3710887236.5700002</v>
      </c>
      <c r="AY35" s="23">
        <f t="shared" si="19"/>
        <v>0</v>
      </c>
    </row>
    <row r="36" spans="1:51" hidden="1" x14ac:dyDescent="0.3">
      <c r="A36">
        <v>2022</v>
      </c>
      <c r="B36">
        <v>307</v>
      </c>
      <c r="C36">
        <v>110102300</v>
      </c>
      <c r="D36" s="5" t="s">
        <v>44</v>
      </c>
      <c r="E36" s="8" t="s">
        <v>116</v>
      </c>
      <c r="F36">
        <v>110102300</v>
      </c>
      <c r="G36" s="8" t="s">
        <v>117</v>
      </c>
      <c r="H36" t="s">
        <v>47</v>
      </c>
      <c r="I36" s="11">
        <v>13041274800</v>
      </c>
      <c r="J36" s="11">
        <v>13041274800</v>
      </c>
      <c r="K36" s="11">
        <v>4976863046.4399996</v>
      </c>
      <c r="L36" s="11">
        <v>0</v>
      </c>
      <c r="M36" s="11">
        <v>4976863046.4399996</v>
      </c>
      <c r="N36" s="11">
        <v>4976863046.4399996</v>
      </c>
      <c r="O36" s="11">
        <v>0</v>
      </c>
      <c r="P36" s="11">
        <v>18018137846.439999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20788377800</v>
      </c>
      <c r="X36" s="11">
        <v>1016920800</v>
      </c>
      <c r="Y36" s="17">
        <v>19771457000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20788377800</v>
      </c>
      <c r="AG36" s="11">
        <v>1016920800</v>
      </c>
      <c r="AH36" s="12">
        <v>19771457000</v>
      </c>
      <c r="AI36" s="11">
        <v>19771457000</v>
      </c>
      <c r="AJ36" s="11">
        <v>0</v>
      </c>
      <c r="AK36" s="11">
        <v>0</v>
      </c>
      <c r="AL36" s="11">
        <v>19771457000</v>
      </c>
      <c r="AM36" s="11">
        <v>20788377800</v>
      </c>
      <c r="AN36" s="11">
        <v>1016920800</v>
      </c>
      <c r="AO36" s="11">
        <v>20788377800</v>
      </c>
      <c r="AP36" s="11">
        <v>0</v>
      </c>
      <c r="AQ36" s="11">
        <v>1016920800</v>
      </c>
      <c r="AR36" t="s">
        <v>48</v>
      </c>
      <c r="AS36"/>
      <c r="AW36"/>
      <c r="AX36"/>
      <c r="AY36"/>
    </row>
    <row r="37" spans="1:51" hidden="1" x14ac:dyDescent="0.3">
      <c r="A37">
        <v>2022</v>
      </c>
      <c r="B37">
        <v>307</v>
      </c>
      <c r="C37">
        <v>11010230001</v>
      </c>
      <c r="D37" s="5" t="s">
        <v>44</v>
      </c>
      <c r="E37" s="8" t="s">
        <v>1048</v>
      </c>
      <c r="F37">
        <v>11010230001</v>
      </c>
      <c r="G37" s="8" t="s">
        <v>119</v>
      </c>
      <c r="H37" t="s">
        <v>47</v>
      </c>
      <c r="I37" s="11">
        <v>4241398703</v>
      </c>
      <c r="J37" s="11">
        <v>4241398703</v>
      </c>
      <c r="K37" s="11">
        <v>1310848562.23</v>
      </c>
      <c r="L37" s="11">
        <v>0</v>
      </c>
      <c r="M37" s="11">
        <v>1310848562.23</v>
      </c>
      <c r="N37" s="11">
        <v>1310848562.23</v>
      </c>
      <c r="O37" s="11">
        <v>0</v>
      </c>
      <c r="P37" s="11">
        <v>5552247265.2299995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5775238400</v>
      </c>
      <c r="X37" s="11">
        <v>8602500</v>
      </c>
      <c r="Y37" s="17">
        <v>5766635900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5775238400</v>
      </c>
      <c r="AG37" s="11">
        <v>8602500</v>
      </c>
      <c r="AH37" s="12">
        <v>5766635900</v>
      </c>
      <c r="AI37" s="11">
        <v>5766635900</v>
      </c>
      <c r="AJ37" s="11">
        <v>0</v>
      </c>
      <c r="AK37" s="11">
        <v>0</v>
      </c>
      <c r="AL37" s="11">
        <v>5766635900</v>
      </c>
      <c r="AM37" s="11">
        <v>5775238400</v>
      </c>
      <c r="AN37" s="11">
        <v>8602500</v>
      </c>
      <c r="AO37" s="11">
        <v>5775238400</v>
      </c>
      <c r="AP37" s="11">
        <v>0</v>
      </c>
      <c r="AQ37" s="11">
        <v>8602500</v>
      </c>
      <c r="AR37" t="s">
        <v>48</v>
      </c>
      <c r="AS37"/>
      <c r="AW37"/>
      <c r="AX37"/>
      <c r="AY37"/>
    </row>
    <row r="38" spans="1:51" x14ac:dyDescent="0.3">
      <c r="A38">
        <v>2022</v>
      </c>
      <c r="B38">
        <v>307</v>
      </c>
      <c r="C38">
        <v>1101023000101</v>
      </c>
      <c r="D38" s="5">
        <v>6</v>
      </c>
      <c r="E38" s="8" t="s">
        <v>1049</v>
      </c>
      <c r="F38">
        <v>1101023000101</v>
      </c>
      <c r="G38" s="8" t="s">
        <v>1050</v>
      </c>
      <c r="H38" t="s">
        <v>47</v>
      </c>
      <c r="I38" s="11">
        <v>3393118962</v>
      </c>
      <c r="J38" s="11">
        <v>3393118962</v>
      </c>
      <c r="K38" s="11">
        <v>1168149583.9100001</v>
      </c>
      <c r="L38" s="11">
        <v>0</v>
      </c>
      <c r="M38" s="11">
        <v>1168149583.9100001</v>
      </c>
      <c r="N38" s="11">
        <v>1168149583.9100001</v>
      </c>
      <c r="O38" s="11">
        <v>0</v>
      </c>
      <c r="P38" s="11">
        <v>4561268545.9099998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4620803360.6999998</v>
      </c>
      <c r="X38" s="11">
        <v>6882000</v>
      </c>
      <c r="Y38" s="17">
        <v>4613921360.6999998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4620803360.6999998</v>
      </c>
      <c r="AG38" s="11">
        <v>6882000</v>
      </c>
      <c r="AH38" s="12">
        <v>4613921360.6999998</v>
      </c>
      <c r="AI38" s="11">
        <v>4613921360.6999998</v>
      </c>
      <c r="AJ38" s="11">
        <v>0</v>
      </c>
      <c r="AK38" s="11">
        <v>0</v>
      </c>
      <c r="AL38" s="11">
        <v>4613921360.6999998</v>
      </c>
      <c r="AM38" s="11">
        <v>4620803360.6999998</v>
      </c>
      <c r="AN38" s="11">
        <v>6882000</v>
      </c>
      <c r="AO38" s="11">
        <v>4620803360.6999998</v>
      </c>
      <c r="AP38" s="11">
        <v>0</v>
      </c>
      <c r="AQ38" s="11">
        <v>6882000</v>
      </c>
      <c r="AR38" t="s">
        <v>120</v>
      </c>
      <c r="AS38" s="4" t="str">
        <f t="shared" ref="AS38:AS39" si="20">+G38</f>
        <v>Estampilla para el bienestar del adulto mayor (80% Inversion)</v>
      </c>
      <c r="AT38" t="str">
        <f t="shared" ref="AT38:AT39" si="21">+D38&amp;AS38&amp;Y38</f>
        <v>6Estampilla para el bienestar del adulto mayor (80% Inversion)4613921360,7</v>
      </c>
      <c r="AU38" t="str">
        <f>+_xlfn.XLOOKUP(AT38,CRUCE!J:J,CRUCE!M:M)</f>
        <v>READY</v>
      </c>
      <c r="AV38" t="s">
        <v>1907</v>
      </c>
      <c r="AW38" s="23">
        <f>+SUMIFS(CRUCE!D:D,CRUCE!A:A,'2022'!D38,CRUCE!B:B,'2022'!AS38)/COUNTIFS(D:D,D38,AS:AS,AS38)</f>
        <v>4613921360.6999998</v>
      </c>
      <c r="AX38" s="23">
        <f t="shared" ref="AX38:AX39" si="22">+SUMIFS(Y:Y,D:D,D38,AS:AS,AS38)/COUNTIFS(D:D,D38,AS:AS,AS38)</f>
        <v>4613921360.6999998</v>
      </c>
      <c r="AY38" s="23">
        <f t="shared" ref="AY38:AY39" si="23">+AW38-AX38</f>
        <v>0</v>
      </c>
    </row>
    <row r="39" spans="1:51" x14ac:dyDescent="0.3">
      <c r="A39">
        <v>2022</v>
      </c>
      <c r="B39">
        <v>307</v>
      </c>
      <c r="C39">
        <v>1101023000102</v>
      </c>
      <c r="D39" s="5">
        <v>178</v>
      </c>
      <c r="E39" s="8" t="s">
        <v>1051</v>
      </c>
      <c r="F39">
        <v>1101023000102</v>
      </c>
      <c r="G39" s="8" t="s">
        <v>1052</v>
      </c>
      <c r="H39" t="s">
        <v>47</v>
      </c>
      <c r="I39" s="11">
        <v>848279741</v>
      </c>
      <c r="J39" s="11">
        <v>848279741</v>
      </c>
      <c r="K39" s="11">
        <v>142698978.31999999</v>
      </c>
      <c r="L39" s="11">
        <v>0</v>
      </c>
      <c r="M39" s="11">
        <v>142698978.31999999</v>
      </c>
      <c r="N39" s="11">
        <v>142698978.31999999</v>
      </c>
      <c r="O39" s="11">
        <v>0</v>
      </c>
      <c r="P39" s="11">
        <v>990978719.32000005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1154435039.3</v>
      </c>
      <c r="X39" s="11">
        <v>1720500</v>
      </c>
      <c r="Y39" s="17">
        <v>1152714539.3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1154435039.3</v>
      </c>
      <c r="AG39" s="11">
        <v>1720500</v>
      </c>
      <c r="AH39" s="12">
        <v>1152714539.3</v>
      </c>
      <c r="AI39" s="11">
        <v>1152714539.3</v>
      </c>
      <c r="AJ39" s="11">
        <v>0</v>
      </c>
      <c r="AK39" s="11">
        <v>0</v>
      </c>
      <c r="AL39" s="11">
        <v>1152714539.3</v>
      </c>
      <c r="AM39" s="11">
        <v>1154435039.3</v>
      </c>
      <c r="AN39" s="11">
        <v>1720500</v>
      </c>
      <c r="AO39" s="11">
        <v>1154435039.3</v>
      </c>
      <c r="AP39" s="11">
        <v>0</v>
      </c>
      <c r="AQ39" s="11">
        <v>1720500</v>
      </c>
      <c r="AR39" t="s">
        <v>122</v>
      </c>
      <c r="AS39" s="4" t="str">
        <f t="shared" si="20"/>
        <v>Estampilla para el bienestar del adulto mayor (20% Pensiones)</v>
      </c>
      <c r="AT39" t="str">
        <f t="shared" si="21"/>
        <v>178Estampilla para el bienestar del adulto mayor (20% Pensiones)1152714539,3</v>
      </c>
      <c r="AU39" t="str">
        <f>+_xlfn.XLOOKUP(AT39,CRUCE!J:J,CRUCE!M:M)</f>
        <v>READY</v>
      </c>
      <c r="AV39" t="s">
        <v>1907</v>
      </c>
      <c r="AW39" s="23">
        <f>+SUMIFS(CRUCE!D:D,CRUCE!A:A,'2022'!D39,CRUCE!B:B,'2022'!AS39)/COUNTIFS(D:D,D39,AS:AS,AS39)</f>
        <v>1152714539.3</v>
      </c>
      <c r="AX39" s="23">
        <f t="shared" si="22"/>
        <v>1152714539.3</v>
      </c>
      <c r="AY39" s="23">
        <f t="shared" si="23"/>
        <v>0</v>
      </c>
    </row>
    <row r="40" spans="1:51" hidden="1" x14ac:dyDescent="0.3">
      <c r="A40">
        <v>2022</v>
      </c>
      <c r="B40">
        <v>307</v>
      </c>
      <c r="C40">
        <v>11010230002</v>
      </c>
      <c r="D40" s="5" t="s">
        <v>44</v>
      </c>
      <c r="E40" s="8" t="s">
        <v>1053</v>
      </c>
      <c r="F40">
        <v>11010230002</v>
      </c>
      <c r="G40" s="8" t="s">
        <v>124</v>
      </c>
      <c r="H40" t="s">
        <v>47</v>
      </c>
      <c r="I40" s="11">
        <v>7056699904</v>
      </c>
      <c r="J40" s="11">
        <v>7056699904</v>
      </c>
      <c r="K40" s="11">
        <v>3287303243.8699999</v>
      </c>
      <c r="L40" s="11">
        <v>0</v>
      </c>
      <c r="M40" s="11">
        <v>3287303243.8699999</v>
      </c>
      <c r="N40" s="11">
        <v>3287303243.8699999</v>
      </c>
      <c r="O40" s="11">
        <v>0</v>
      </c>
      <c r="P40" s="11">
        <v>10344003147.870001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12495506200</v>
      </c>
      <c r="X40" s="11">
        <v>926701600</v>
      </c>
      <c r="Y40" s="17">
        <v>11568804600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12495506200</v>
      </c>
      <c r="AG40" s="11">
        <v>926701600</v>
      </c>
      <c r="AH40" s="12">
        <v>11568804600</v>
      </c>
      <c r="AI40" s="11">
        <v>11568804600</v>
      </c>
      <c r="AJ40" s="11">
        <v>0</v>
      </c>
      <c r="AK40" s="11">
        <v>0</v>
      </c>
      <c r="AL40" s="11">
        <v>11568804600</v>
      </c>
      <c r="AM40" s="11">
        <v>12495506200</v>
      </c>
      <c r="AN40" s="11">
        <v>926701600</v>
      </c>
      <c r="AO40" s="11">
        <v>12495506200</v>
      </c>
      <c r="AP40" s="11">
        <v>0</v>
      </c>
      <c r="AQ40" s="11">
        <v>926701600</v>
      </c>
      <c r="AR40" t="s">
        <v>48</v>
      </c>
      <c r="AS40"/>
      <c r="AW40"/>
      <c r="AX40"/>
      <c r="AY40"/>
    </row>
    <row r="41" spans="1:51" x14ac:dyDescent="0.3">
      <c r="A41">
        <v>2022</v>
      </c>
      <c r="B41">
        <v>307</v>
      </c>
      <c r="C41">
        <v>1101023000201</v>
      </c>
      <c r="D41" s="5">
        <v>4</v>
      </c>
      <c r="E41" s="8" t="s">
        <v>1054</v>
      </c>
      <c r="F41">
        <v>1101023000201</v>
      </c>
      <c r="G41" s="8" t="s">
        <v>1055</v>
      </c>
      <c r="H41" t="s">
        <v>47</v>
      </c>
      <c r="I41" s="11">
        <v>3528349952</v>
      </c>
      <c r="J41" s="11">
        <v>3528349952</v>
      </c>
      <c r="K41" s="11">
        <v>1941559801.96</v>
      </c>
      <c r="L41" s="11">
        <v>0</v>
      </c>
      <c r="M41" s="11">
        <v>1941559801.96</v>
      </c>
      <c r="N41" s="11">
        <v>1941559801.96</v>
      </c>
      <c r="O41" s="11">
        <v>0</v>
      </c>
      <c r="P41" s="11">
        <v>5469909753.96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6247753099.9899998</v>
      </c>
      <c r="X41" s="11">
        <v>463350800</v>
      </c>
      <c r="Y41" s="17">
        <v>5784402299.9899998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6247753099.9899998</v>
      </c>
      <c r="AG41" s="11">
        <v>463350800</v>
      </c>
      <c r="AH41" s="12">
        <v>5784402299.9899998</v>
      </c>
      <c r="AI41" s="11">
        <v>5784402299.9899998</v>
      </c>
      <c r="AJ41" s="11">
        <v>0</v>
      </c>
      <c r="AK41" s="11">
        <v>0</v>
      </c>
      <c r="AL41" s="11">
        <v>5784402299.9899998</v>
      </c>
      <c r="AM41" s="11">
        <v>6247753099.9899998</v>
      </c>
      <c r="AN41" s="11">
        <v>463350800</v>
      </c>
      <c r="AO41" s="11">
        <v>6247753099.9899998</v>
      </c>
      <c r="AP41" s="11">
        <v>0</v>
      </c>
      <c r="AQ41" s="11">
        <v>463350800</v>
      </c>
      <c r="AR41" t="s">
        <v>125</v>
      </c>
      <c r="AS41" s="4" t="str">
        <f t="shared" ref="AS41:AS43" si="24">+G41</f>
        <v>Estampilla pro desarrollo departamental (50% inversion)</v>
      </c>
      <c r="AT41" t="str">
        <f t="shared" ref="AT41:AT43" si="25">+D41&amp;AS41&amp;Y41</f>
        <v>4Estampilla pro desarrollo departamental (50% inversion)5784402299,99</v>
      </c>
      <c r="AU41" t="str">
        <f>+_xlfn.XLOOKUP(AT41,CRUCE!J:J,CRUCE!M:M)</f>
        <v>READY</v>
      </c>
      <c r="AV41" t="s">
        <v>1907</v>
      </c>
      <c r="AW41" s="23">
        <f>+SUMIFS(CRUCE!D:D,CRUCE!A:A,'2022'!D41,CRUCE!B:B,'2022'!AS41)/COUNTIFS(D:D,D41,AS:AS,AS41)</f>
        <v>5784402299.9899998</v>
      </c>
      <c r="AX41" s="23">
        <f t="shared" ref="AX41:AX43" si="26">+SUMIFS(Y:Y,D:D,D41,AS:AS,AS41)/COUNTIFS(D:D,D41,AS:AS,AS41)</f>
        <v>5784402299.9899998</v>
      </c>
      <c r="AY41" s="23">
        <f t="shared" ref="AY41:AY43" si="27">+AW41-AX41</f>
        <v>0</v>
      </c>
    </row>
    <row r="42" spans="1:51" x14ac:dyDescent="0.3">
      <c r="A42">
        <v>2022</v>
      </c>
      <c r="B42">
        <v>307</v>
      </c>
      <c r="C42">
        <v>1101023000202</v>
      </c>
      <c r="D42" s="5">
        <v>176</v>
      </c>
      <c r="E42" s="8" t="s">
        <v>1056</v>
      </c>
      <c r="F42">
        <v>1101023000202</v>
      </c>
      <c r="G42" s="8" t="s">
        <v>1057</v>
      </c>
      <c r="H42" t="s">
        <v>47</v>
      </c>
      <c r="I42" s="11">
        <v>1411339981</v>
      </c>
      <c r="J42" s="11">
        <v>1411339981</v>
      </c>
      <c r="K42" s="11">
        <v>657500691.79999995</v>
      </c>
      <c r="L42" s="11">
        <v>0</v>
      </c>
      <c r="M42" s="11">
        <v>657500691.79999995</v>
      </c>
      <c r="N42" s="11">
        <v>657500691.79999995</v>
      </c>
      <c r="O42" s="11">
        <v>0</v>
      </c>
      <c r="P42" s="11">
        <v>2068840672.8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2512059505</v>
      </c>
      <c r="X42" s="11">
        <v>196587535</v>
      </c>
      <c r="Y42" s="17">
        <v>2315471970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2512059505</v>
      </c>
      <c r="AG42" s="11">
        <v>196587535</v>
      </c>
      <c r="AH42" s="12">
        <v>2315471970</v>
      </c>
      <c r="AI42" s="11">
        <v>2315471970</v>
      </c>
      <c r="AJ42" s="11">
        <v>0</v>
      </c>
      <c r="AK42" s="11">
        <v>0</v>
      </c>
      <c r="AL42" s="11">
        <v>2315471970</v>
      </c>
      <c r="AM42" s="11">
        <v>2512059505</v>
      </c>
      <c r="AN42" s="11">
        <v>196587535</v>
      </c>
      <c r="AO42" s="11">
        <v>2512059505</v>
      </c>
      <c r="AP42" s="11">
        <v>0</v>
      </c>
      <c r="AQ42" s="11">
        <v>196587535</v>
      </c>
      <c r="AR42" t="s">
        <v>127</v>
      </c>
      <c r="AS42" s="4" t="str">
        <f t="shared" si="24"/>
        <v>Estampilla pro desarrollo departamental (20% Pension)</v>
      </c>
      <c r="AT42" t="str">
        <f t="shared" si="25"/>
        <v>176Estampilla pro desarrollo departamental (20% Pension)2315471970</v>
      </c>
      <c r="AU42" t="str">
        <f>+_xlfn.XLOOKUP(AT42,CRUCE!J:J,CRUCE!M:M)</f>
        <v>READY</v>
      </c>
      <c r="AV42" t="s">
        <v>1907</v>
      </c>
      <c r="AW42" s="23">
        <f>+SUMIFS(CRUCE!D:D,CRUCE!A:A,'2022'!D42,CRUCE!B:B,'2022'!AS42)/COUNTIFS(D:D,D42,AS:AS,AS42)</f>
        <v>2315471970</v>
      </c>
      <c r="AX42" s="23">
        <f t="shared" si="26"/>
        <v>2315471970</v>
      </c>
      <c r="AY42" s="23">
        <f t="shared" si="27"/>
        <v>0</v>
      </c>
    </row>
    <row r="43" spans="1:51" x14ac:dyDescent="0.3">
      <c r="A43">
        <v>2022</v>
      </c>
      <c r="B43">
        <v>307</v>
      </c>
      <c r="C43">
        <v>1101023000203</v>
      </c>
      <c r="D43" s="5">
        <v>177</v>
      </c>
      <c r="E43" s="8" t="s">
        <v>1058</v>
      </c>
      <c r="F43">
        <v>1101023000203</v>
      </c>
      <c r="G43" s="8" t="s">
        <v>1059</v>
      </c>
      <c r="H43" t="s">
        <v>47</v>
      </c>
      <c r="I43" s="11">
        <v>2117009971</v>
      </c>
      <c r="J43" s="11">
        <v>2117009971</v>
      </c>
      <c r="K43" s="11">
        <v>688242750.11000001</v>
      </c>
      <c r="L43" s="11">
        <v>0</v>
      </c>
      <c r="M43" s="11">
        <v>688242750.11000001</v>
      </c>
      <c r="N43" s="11">
        <v>688242750.11000001</v>
      </c>
      <c r="O43" s="11">
        <v>0</v>
      </c>
      <c r="P43" s="11">
        <v>2805252721.1100001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3735693595.0100002</v>
      </c>
      <c r="X43" s="11">
        <v>266763265</v>
      </c>
      <c r="Y43" s="17">
        <v>3468930330.0100002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3735693595.0100002</v>
      </c>
      <c r="AG43" s="11">
        <v>266763265</v>
      </c>
      <c r="AH43" s="12">
        <v>3468930330.0100002</v>
      </c>
      <c r="AI43" s="11">
        <v>3468930330.0100002</v>
      </c>
      <c r="AJ43" s="11">
        <v>0</v>
      </c>
      <c r="AK43" s="11">
        <v>0</v>
      </c>
      <c r="AL43" s="11">
        <v>3468930330.0100002</v>
      </c>
      <c r="AM43" s="11">
        <v>3735693595.0100002</v>
      </c>
      <c r="AN43" s="11">
        <v>266763265</v>
      </c>
      <c r="AO43" s="11">
        <v>3735693595.0100002</v>
      </c>
      <c r="AP43" s="11">
        <v>0</v>
      </c>
      <c r="AQ43" s="11">
        <v>266763265</v>
      </c>
      <c r="AR43" t="s">
        <v>129</v>
      </c>
      <c r="AS43" s="4" t="str">
        <f t="shared" si="24"/>
        <v>Estampilla pro desarrollo departamental (30% Proyecta)</v>
      </c>
      <c r="AT43" t="str">
        <f t="shared" si="25"/>
        <v>177Estampilla pro desarrollo departamental (30% Proyecta)3468930330,01</v>
      </c>
      <c r="AU43" t="str">
        <f>+_xlfn.XLOOKUP(AT43,CRUCE!J:J,CRUCE!M:M)</f>
        <v>READY</v>
      </c>
      <c r="AV43" t="s">
        <v>1907</v>
      </c>
      <c r="AW43" s="23">
        <f>+SUMIFS(CRUCE!D:D,CRUCE!A:A,'2022'!D43,CRUCE!B:B,'2022'!AS43)/COUNTIFS(D:D,D43,AS:AS,AS43)</f>
        <v>3468930330.0100002</v>
      </c>
      <c r="AX43" s="23">
        <f t="shared" si="26"/>
        <v>3468930330.0100002</v>
      </c>
      <c r="AY43" s="23">
        <f t="shared" si="27"/>
        <v>0</v>
      </c>
    </row>
    <row r="44" spans="1:51" hidden="1" x14ac:dyDescent="0.3">
      <c r="A44">
        <v>2022</v>
      </c>
      <c r="B44">
        <v>307</v>
      </c>
      <c r="C44">
        <v>11010230055</v>
      </c>
      <c r="D44" s="5" t="s">
        <v>44</v>
      </c>
      <c r="E44" s="8" t="s">
        <v>1060</v>
      </c>
      <c r="F44">
        <v>11010230055</v>
      </c>
      <c r="G44" s="8" t="s">
        <v>134</v>
      </c>
      <c r="H44" t="s">
        <v>47</v>
      </c>
      <c r="I44" s="11">
        <v>1743176193</v>
      </c>
      <c r="J44" s="11">
        <v>1743176193</v>
      </c>
      <c r="K44" s="11">
        <v>378711240.33999997</v>
      </c>
      <c r="L44" s="11">
        <v>0</v>
      </c>
      <c r="M44" s="11">
        <v>378711240.33999997</v>
      </c>
      <c r="N44" s="11">
        <v>378711240.33999997</v>
      </c>
      <c r="O44" s="11">
        <v>0</v>
      </c>
      <c r="P44" s="11">
        <v>2121887433.3399999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2517633200</v>
      </c>
      <c r="X44" s="11">
        <v>81616700</v>
      </c>
      <c r="Y44" s="17">
        <v>2436016500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2517633200</v>
      </c>
      <c r="AG44" s="11">
        <v>81616700</v>
      </c>
      <c r="AH44" s="12">
        <v>2436016500</v>
      </c>
      <c r="AI44" s="11">
        <v>2436016500</v>
      </c>
      <c r="AJ44" s="11">
        <v>0</v>
      </c>
      <c r="AK44" s="11">
        <v>0</v>
      </c>
      <c r="AL44" s="11">
        <v>2436016500</v>
      </c>
      <c r="AM44" s="11">
        <v>2517633200</v>
      </c>
      <c r="AN44" s="11">
        <v>81616700</v>
      </c>
      <c r="AO44" s="11">
        <v>2517633200</v>
      </c>
      <c r="AP44" s="11">
        <v>0</v>
      </c>
      <c r="AQ44" s="11">
        <v>81616700</v>
      </c>
      <c r="AR44" t="s">
        <v>48</v>
      </c>
      <c r="AS44"/>
      <c r="AW44"/>
      <c r="AX44"/>
      <c r="AY44"/>
    </row>
    <row r="45" spans="1:51" x14ac:dyDescent="0.3">
      <c r="A45">
        <v>2022</v>
      </c>
      <c r="B45">
        <v>307</v>
      </c>
      <c r="C45">
        <v>1101023005501</v>
      </c>
      <c r="D45" s="5">
        <v>5</v>
      </c>
      <c r="E45" s="8" t="s">
        <v>1061</v>
      </c>
      <c r="F45">
        <v>1101023005501</v>
      </c>
      <c r="G45" s="8" t="s">
        <v>1062</v>
      </c>
      <c r="H45" t="s">
        <v>47</v>
      </c>
      <c r="I45" s="11">
        <v>348635239</v>
      </c>
      <c r="J45" s="11">
        <v>348635239</v>
      </c>
      <c r="K45" s="11">
        <v>75742247.75</v>
      </c>
      <c r="L45" s="11">
        <v>0</v>
      </c>
      <c r="M45" s="11">
        <v>75742247.75</v>
      </c>
      <c r="N45" s="11">
        <v>75742247.75</v>
      </c>
      <c r="O45" s="11">
        <v>0</v>
      </c>
      <c r="P45" s="11">
        <v>424377486.75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503526640</v>
      </c>
      <c r="X45" s="11">
        <v>16323340</v>
      </c>
      <c r="Y45" s="17">
        <v>487203300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503526640</v>
      </c>
      <c r="AG45" s="11">
        <v>16323340</v>
      </c>
      <c r="AH45" s="12">
        <v>487203300</v>
      </c>
      <c r="AI45" s="11">
        <v>487203300</v>
      </c>
      <c r="AJ45" s="11">
        <v>0</v>
      </c>
      <c r="AK45" s="11">
        <v>0</v>
      </c>
      <c r="AL45" s="11">
        <v>487203300</v>
      </c>
      <c r="AM45" s="11">
        <v>503526640</v>
      </c>
      <c r="AN45" s="11">
        <v>16323340</v>
      </c>
      <c r="AO45" s="11">
        <v>503526640</v>
      </c>
      <c r="AP45" s="11">
        <v>0</v>
      </c>
      <c r="AQ45" s="11">
        <v>16323340</v>
      </c>
      <c r="AR45" t="s">
        <v>135</v>
      </c>
      <c r="AS45" s="4" t="str">
        <f t="shared" ref="AS45:AS49" si="28">+G45</f>
        <v>Estampilla pro cultura (20% Pensiones)</v>
      </c>
      <c r="AT45" t="str">
        <f t="shared" ref="AT45:AT49" si="29">+D45&amp;AS45&amp;Y45</f>
        <v>5Estampilla pro cultura (20% Pensiones)487203300</v>
      </c>
      <c r="AU45" t="str">
        <f>+_xlfn.XLOOKUP(AT45,CRUCE!J:J,CRUCE!M:M)</f>
        <v>READY</v>
      </c>
      <c r="AV45" t="s">
        <v>1907</v>
      </c>
      <c r="AW45" s="23">
        <f>+SUMIFS(CRUCE!D:D,CRUCE!A:A,'2022'!D45,CRUCE!B:B,'2022'!AS45)/COUNTIFS(D:D,D45,AS:AS,AS45)</f>
        <v>487203300</v>
      </c>
      <c r="AX45" s="23">
        <f t="shared" ref="AX45:AX49" si="30">+SUMIFS(Y:Y,D:D,D45,AS:AS,AS45)/COUNTIFS(D:D,D45,AS:AS,AS45)</f>
        <v>487203300</v>
      </c>
      <c r="AY45" s="23">
        <f t="shared" ref="AY45:AY49" si="31">+AW45-AX45</f>
        <v>0</v>
      </c>
    </row>
    <row r="46" spans="1:51" x14ac:dyDescent="0.3">
      <c r="A46">
        <v>2022</v>
      </c>
      <c r="B46">
        <v>307</v>
      </c>
      <c r="C46">
        <v>1101023005502</v>
      </c>
      <c r="D46" s="5">
        <v>33</v>
      </c>
      <c r="E46" s="8" t="s">
        <v>1063</v>
      </c>
      <c r="F46">
        <v>1101023005502</v>
      </c>
      <c r="G46" s="8" t="s">
        <v>1064</v>
      </c>
      <c r="H46" t="s">
        <v>47</v>
      </c>
      <c r="I46" s="11">
        <v>174317619</v>
      </c>
      <c r="J46" s="11">
        <v>174317619</v>
      </c>
      <c r="K46" s="11">
        <v>37871124.189999998</v>
      </c>
      <c r="L46" s="11">
        <v>0</v>
      </c>
      <c r="M46" s="11">
        <v>37871124.189999998</v>
      </c>
      <c r="N46" s="11">
        <v>37871124.189999998</v>
      </c>
      <c r="O46" s="11">
        <v>0</v>
      </c>
      <c r="P46" s="11">
        <v>212188743.19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251763320</v>
      </c>
      <c r="X46" s="11">
        <v>8161670</v>
      </c>
      <c r="Y46" s="17">
        <v>243601650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251763320</v>
      </c>
      <c r="AG46" s="11">
        <v>8161670</v>
      </c>
      <c r="AH46" s="12">
        <v>243601650</v>
      </c>
      <c r="AI46" s="11">
        <v>243601650</v>
      </c>
      <c r="AJ46" s="11">
        <v>0</v>
      </c>
      <c r="AK46" s="11">
        <v>0</v>
      </c>
      <c r="AL46" s="11">
        <v>243601650</v>
      </c>
      <c r="AM46" s="11">
        <v>251763320</v>
      </c>
      <c r="AN46" s="11">
        <v>8161670</v>
      </c>
      <c r="AO46" s="11">
        <v>251763320</v>
      </c>
      <c r="AP46" s="11">
        <v>0</v>
      </c>
      <c r="AQ46" s="11">
        <v>8161670</v>
      </c>
      <c r="AR46" t="s">
        <v>137</v>
      </c>
      <c r="AS46" s="4" t="str">
        <f t="shared" si="28"/>
        <v>Estampilla pro cultura (10% Seguridad Social Artista)</v>
      </c>
      <c r="AT46" t="str">
        <f t="shared" si="29"/>
        <v>33Estampilla pro cultura (10% Seguridad Social Artista)243601650</v>
      </c>
      <c r="AU46" t="str">
        <f>+_xlfn.XLOOKUP(AT46,CRUCE!J:J,CRUCE!M:M)</f>
        <v>READY</v>
      </c>
      <c r="AV46" t="s">
        <v>1907</v>
      </c>
      <c r="AW46" s="23">
        <f>+SUMIFS(CRUCE!D:D,CRUCE!A:A,'2022'!D46,CRUCE!B:B,'2022'!AS46)/COUNTIFS(D:D,D46,AS:AS,AS46)</f>
        <v>243601650</v>
      </c>
      <c r="AX46" s="23">
        <f t="shared" si="30"/>
        <v>243601650</v>
      </c>
      <c r="AY46" s="23">
        <f t="shared" si="31"/>
        <v>0</v>
      </c>
    </row>
    <row r="47" spans="1:51" x14ac:dyDescent="0.3">
      <c r="A47">
        <v>2022</v>
      </c>
      <c r="B47">
        <v>307</v>
      </c>
      <c r="C47">
        <v>1101023005503</v>
      </c>
      <c r="D47" s="5">
        <v>34</v>
      </c>
      <c r="E47" s="8" t="s">
        <v>1065</v>
      </c>
      <c r="F47">
        <v>1101023005503</v>
      </c>
      <c r="G47" s="8" t="s">
        <v>1066</v>
      </c>
      <c r="H47" t="s">
        <v>47</v>
      </c>
      <c r="I47" s="11">
        <v>174317619</v>
      </c>
      <c r="J47" s="11">
        <v>174317619</v>
      </c>
      <c r="K47" s="11">
        <v>37974244.189999998</v>
      </c>
      <c r="L47" s="11">
        <v>0</v>
      </c>
      <c r="M47" s="11">
        <v>37974244.189999998</v>
      </c>
      <c r="N47" s="11">
        <v>37974244.189999998</v>
      </c>
      <c r="O47" s="11">
        <v>0</v>
      </c>
      <c r="P47" s="11">
        <v>212291863.19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251866440</v>
      </c>
      <c r="X47" s="11">
        <v>8161670</v>
      </c>
      <c r="Y47" s="17">
        <v>243704770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251866440</v>
      </c>
      <c r="AG47" s="11">
        <v>8161670</v>
      </c>
      <c r="AH47" s="12">
        <v>243704770</v>
      </c>
      <c r="AI47" s="11">
        <v>243704770</v>
      </c>
      <c r="AJ47" s="11">
        <v>0</v>
      </c>
      <c r="AK47" s="11">
        <v>0</v>
      </c>
      <c r="AL47" s="11">
        <v>243704770</v>
      </c>
      <c r="AM47" s="11">
        <v>251866440</v>
      </c>
      <c r="AN47" s="11">
        <v>8161670</v>
      </c>
      <c r="AO47" s="11">
        <v>251866440</v>
      </c>
      <c r="AP47" s="11">
        <v>0</v>
      </c>
      <c r="AQ47" s="11">
        <v>8161670</v>
      </c>
      <c r="AR47" t="s">
        <v>139</v>
      </c>
      <c r="AS47" s="4" t="str">
        <f t="shared" si="28"/>
        <v>Estampilla pro cultura (10% Bibliotecas)</v>
      </c>
      <c r="AT47" t="str">
        <f t="shared" si="29"/>
        <v>34Estampilla pro cultura (10% Bibliotecas)243704770</v>
      </c>
      <c r="AU47" t="str">
        <f>+_xlfn.XLOOKUP(AT47,CRUCE!J:J,CRUCE!M:M)</f>
        <v>READY</v>
      </c>
      <c r="AV47" t="s">
        <v>1907</v>
      </c>
      <c r="AW47" s="23">
        <f>+SUMIFS(CRUCE!D:D,CRUCE!A:A,'2022'!D47,CRUCE!B:B,'2022'!AS47)/COUNTIFS(D:D,D47,AS:AS,AS47)</f>
        <v>243704770</v>
      </c>
      <c r="AX47" s="23">
        <f t="shared" si="30"/>
        <v>243704770</v>
      </c>
      <c r="AY47" s="23">
        <f t="shared" si="31"/>
        <v>0</v>
      </c>
    </row>
    <row r="48" spans="1:51" x14ac:dyDescent="0.3">
      <c r="A48">
        <v>2022</v>
      </c>
      <c r="B48">
        <v>307</v>
      </c>
      <c r="C48">
        <v>1101023005504</v>
      </c>
      <c r="D48" s="5">
        <v>39</v>
      </c>
      <c r="E48" s="8" t="s">
        <v>1067</v>
      </c>
      <c r="F48">
        <v>1101023005504</v>
      </c>
      <c r="G48" s="8" t="s">
        <v>1068</v>
      </c>
      <c r="H48" t="s">
        <v>47</v>
      </c>
      <c r="I48" s="11">
        <v>871588097</v>
      </c>
      <c r="J48" s="11">
        <v>871588097</v>
      </c>
      <c r="K48" s="11">
        <v>189252500.00999999</v>
      </c>
      <c r="L48" s="11">
        <v>0</v>
      </c>
      <c r="M48" s="11">
        <v>189252500.00999999</v>
      </c>
      <c r="N48" s="11">
        <v>189252500.00999999</v>
      </c>
      <c r="O48" s="11">
        <v>0</v>
      </c>
      <c r="P48" s="11">
        <v>1060840597.01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1258713480</v>
      </c>
      <c r="X48" s="11">
        <v>40808350</v>
      </c>
      <c r="Y48" s="17">
        <v>1217905130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1258713480</v>
      </c>
      <c r="AG48" s="11">
        <v>40808350</v>
      </c>
      <c r="AH48" s="12">
        <v>1217905130</v>
      </c>
      <c r="AI48" s="11">
        <v>1217905130</v>
      </c>
      <c r="AJ48" s="11">
        <v>0</v>
      </c>
      <c r="AK48" s="11">
        <v>0</v>
      </c>
      <c r="AL48" s="11">
        <v>1217905130</v>
      </c>
      <c r="AM48" s="11">
        <v>1258713480</v>
      </c>
      <c r="AN48" s="11">
        <v>40808350</v>
      </c>
      <c r="AO48" s="11">
        <v>1258713480</v>
      </c>
      <c r="AP48" s="11">
        <v>0</v>
      </c>
      <c r="AQ48" s="11">
        <v>40808350</v>
      </c>
      <c r="AR48" t="s">
        <v>141</v>
      </c>
      <c r="AS48" s="4" t="str">
        <f t="shared" si="28"/>
        <v>Estampilla pro cultura (50% Concertacion)</v>
      </c>
      <c r="AT48" t="str">
        <f t="shared" si="29"/>
        <v>39Estampilla pro cultura (50% Concertacion)1217905130</v>
      </c>
      <c r="AU48" t="str">
        <f>+_xlfn.XLOOKUP(AT48,CRUCE!J:J,CRUCE!M:M)</f>
        <v>READY</v>
      </c>
      <c r="AV48" t="s">
        <v>1907</v>
      </c>
      <c r="AW48" s="23">
        <f>+SUMIFS(CRUCE!D:D,CRUCE!A:A,'2022'!D48,CRUCE!B:B,'2022'!AS48)/COUNTIFS(D:D,D48,AS:AS,AS48)</f>
        <v>1217905130</v>
      </c>
      <c r="AX48" s="23">
        <f t="shared" si="30"/>
        <v>1217905130</v>
      </c>
      <c r="AY48" s="23">
        <f t="shared" si="31"/>
        <v>0</v>
      </c>
    </row>
    <row r="49" spans="1:51" x14ac:dyDescent="0.3">
      <c r="A49">
        <v>2022</v>
      </c>
      <c r="B49">
        <v>307</v>
      </c>
      <c r="C49">
        <v>1101023005505</v>
      </c>
      <c r="D49" s="5">
        <v>41</v>
      </c>
      <c r="E49" s="8" t="s">
        <v>1069</v>
      </c>
      <c r="F49">
        <v>1101023005505</v>
      </c>
      <c r="G49" s="8" t="s">
        <v>1070</v>
      </c>
      <c r="H49" t="s">
        <v>47</v>
      </c>
      <c r="I49" s="11">
        <v>174317619</v>
      </c>
      <c r="J49" s="11">
        <v>174317619</v>
      </c>
      <c r="K49" s="11">
        <v>37871124.200000003</v>
      </c>
      <c r="L49" s="11">
        <v>0</v>
      </c>
      <c r="M49" s="11">
        <v>37871124.200000003</v>
      </c>
      <c r="N49" s="11">
        <v>37871124.200000003</v>
      </c>
      <c r="O49" s="11">
        <v>0</v>
      </c>
      <c r="P49" s="11">
        <v>212188743.19999999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251763320</v>
      </c>
      <c r="X49" s="11">
        <v>8161670</v>
      </c>
      <c r="Y49" s="17">
        <v>243601650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251763320</v>
      </c>
      <c r="AG49" s="11">
        <v>8161670</v>
      </c>
      <c r="AH49" s="12">
        <v>243601650</v>
      </c>
      <c r="AI49" s="11">
        <v>243601650</v>
      </c>
      <c r="AJ49" s="11">
        <v>0</v>
      </c>
      <c r="AK49" s="11">
        <v>0</v>
      </c>
      <c r="AL49" s="11">
        <v>243601650</v>
      </c>
      <c r="AM49" s="11">
        <v>251763320</v>
      </c>
      <c r="AN49" s="11">
        <v>8161670</v>
      </c>
      <c r="AO49" s="11">
        <v>251763320</v>
      </c>
      <c r="AP49" s="11">
        <v>0</v>
      </c>
      <c r="AQ49" s="11">
        <v>8161670</v>
      </c>
      <c r="AR49" t="s">
        <v>143</v>
      </c>
      <c r="AS49" s="4" t="str">
        <f t="shared" si="28"/>
        <v>Estampilla pro cultura (10% Estimulos)</v>
      </c>
      <c r="AT49" t="str">
        <f t="shared" si="29"/>
        <v>41Estampilla pro cultura (10% Estimulos)243601650</v>
      </c>
      <c r="AU49" t="str">
        <f>+_xlfn.XLOOKUP(AT49,CRUCE!J:J,CRUCE!M:M)</f>
        <v>READY</v>
      </c>
      <c r="AV49" t="s">
        <v>1907</v>
      </c>
      <c r="AW49" s="23">
        <f>+SUMIFS(CRUCE!D:D,CRUCE!A:A,'2022'!D49,CRUCE!B:B,'2022'!AS49)/COUNTIFS(D:D,D49,AS:AS,AS49)</f>
        <v>243601650</v>
      </c>
      <c r="AX49" s="23">
        <f t="shared" si="30"/>
        <v>243601650</v>
      </c>
      <c r="AY49" s="23">
        <f t="shared" si="31"/>
        <v>0</v>
      </c>
    </row>
    <row r="50" spans="1:51" hidden="1" x14ac:dyDescent="0.3">
      <c r="A50">
        <v>2022</v>
      </c>
      <c r="B50">
        <v>307</v>
      </c>
      <c r="C50">
        <v>1102</v>
      </c>
      <c r="D50" s="5" t="s">
        <v>44</v>
      </c>
      <c r="E50" s="8" t="s">
        <v>144</v>
      </c>
      <c r="F50">
        <v>1102</v>
      </c>
      <c r="G50" s="8" t="s">
        <v>145</v>
      </c>
      <c r="H50" t="s">
        <v>47</v>
      </c>
      <c r="I50" s="11">
        <v>25542934508</v>
      </c>
      <c r="J50" s="11">
        <v>25542934508</v>
      </c>
      <c r="K50" s="11">
        <v>49427626573</v>
      </c>
      <c r="L50" s="11">
        <v>187491584</v>
      </c>
      <c r="M50" s="11">
        <v>49240134989</v>
      </c>
      <c r="N50" s="11">
        <v>49427626573</v>
      </c>
      <c r="O50" s="11">
        <v>187491584</v>
      </c>
      <c r="P50" s="11">
        <v>74783069497</v>
      </c>
      <c r="Q50" s="11">
        <v>14868295228.309999</v>
      </c>
      <c r="R50" s="11">
        <v>38244729.350000001</v>
      </c>
      <c r="S50" s="11">
        <v>14830050498.959999</v>
      </c>
      <c r="T50" s="11">
        <v>0</v>
      </c>
      <c r="U50" s="11">
        <v>0</v>
      </c>
      <c r="V50" s="11">
        <v>0</v>
      </c>
      <c r="W50" s="11">
        <v>86860395813.690002</v>
      </c>
      <c r="X50" s="11">
        <v>4549937269.9399996</v>
      </c>
      <c r="Y50" s="17">
        <v>82310458543.75</v>
      </c>
      <c r="Z50" s="11">
        <v>14868295228.309999</v>
      </c>
      <c r="AA50" s="11">
        <v>38244729.350000001</v>
      </c>
      <c r="AB50" s="11">
        <v>14830050498.959999</v>
      </c>
      <c r="AC50" s="11">
        <v>0</v>
      </c>
      <c r="AD50" s="11">
        <v>0</v>
      </c>
      <c r="AE50" s="11">
        <v>0</v>
      </c>
      <c r="AF50" s="11">
        <v>86860395813.690002</v>
      </c>
      <c r="AG50" s="11">
        <v>4549937269.9399996</v>
      </c>
      <c r="AH50" s="12">
        <v>82310458543.75</v>
      </c>
      <c r="AI50" s="11">
        <v>82310458543.75</v>
      </c>
      <c r="AJ50" s="11">
        <v>38112099.020000003</v>
      </c>
      <c r="AK50" s="11">
        <v>38112099.020000003</v>
      </c>
      <c r="AL50" s="11">
        <v>82286912588.460007</v>
      </c>
      <c r="AM50" s="11">
        <v>86732252258.649994</v>
      </c>
      <c r="AN50" s="11">
        <v>4445339670.1899996</v>
      </c>
      <c r="AO50" s="11">
        <v>86732252258.649994</v>
      </c>
      <c r="AP50" s="11">
        <v>0</v>
      </c>
      <c r="AQ50" s="11">
        <v>4445339670.1899996</v>
      </c>
      <c r="AR50" t="s">
        <v>48</v>
      </c>
      <c r="AS50"/>
      <c r="AW50"/>
      <c r="AX50"/>
      <c r="AY50"/>
    </row>
    <row r="51" spans="1:51" hidden="1" x14ac:dyDescent="0.3">
      <c r="A51">
        <v>2022</v>
      </c>
      <c r="B51">
        <v>307</v>
      </c>
      <c r="C51">
        <v>110201</v>
      </c>
      <c r="D51" s="5" t="s">
        <v>44</v>
      </c>
      <c r="E51" s="8" t="s">
        <v>146</v>
      </c>
      <c r="F51">
        <v>110201</v>
      </c>
      <c r="G51" s="8" t="s">
        <v>147</v>
      </c>
      <c r="H51" t="s">
        <v>47</v>
      </c>
      <c r="I51" s="11">
        <v>580088442</v>
      </c>
      <c r="J51" s="11">
        <v>580088442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580088442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613318043.67999995</v>
      </c>
      <c r="X51" s="11">
        <v>33229623.68</v>
      </c>
      <c r="Y51" s="17">
        <v>580088420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613318043.67999995</v>
      </c>
      <c r="AG51" s="11">
        <v>33229623.68</v>
      </c>
      <c r="AH51" s="12">
        <v>580088420</v>
      </c>
      <c r="AI51" s="11">
        <v>580088420</v>
      </c>
      <c r="AJ51" s="11">
        <v>-5034564.32</v>
      </c>
      <c r="AK51" s="11">
        <v>-5034564.32</v>
      </c>
      <c r="AL51" s="11">
        <v>585122984.32000005</v>
      </c>
      <c r="AM51" s="11">
        <v>613318043.67999995</v>
      </c>
      <c r="AN51" s="11">
        <v>28195059.359999999</v>
      </c>
      <c r="AO51" s="11">
        <v>613318043.67999995</v>
      </c>
      <c r="AP51" s="11">
        <v>0</v>
      </c>
      <c r="AQ51" s="11">
        <v>28195059.359999999</v>
      </c>
      <c r="AR51" t="s">
        <v>48</v>
      </c>
      <c r="AS51"/>
      <c r="AW51"/>
      <c r="AX51"/>
      <c r="AY51"/>
    </row>
    <row r="52" spans="1:51" hidden="1" x14ac:dyDescent="0.3">
      <c r="A52">
        <v>2022</v>
      </c>
      <c r="B52">
        <v>307</v>
      </c>
      <c r="C52">
        <v>110201003</v>
      </c>
      <c r="D52" s="5" t="s">
        <v>44</v>
      </c>
      <c r="E52" s="8" t="s">
        <v>148</v>
      </c>
      <c r="F52">
        <v>110201003</v>
      </c>
      <c r="G52" s="8" t="s">
        <v>149</v>
      </c>
      <c r="H52" t="s">
        <v>47</v>
      </c>
      <c r="I52" s="11">
        <v>580088442</v>
      </c>
      <c r="J52" s="11">
        <v>580088442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580088442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613318043.67999995</v>
      </c>
      <c r="X52" s="11">
        <v>33229623.68</v>
      </c>
      <c r="Y52" s="17">
        <v>580088420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613318043.67999995</v>
      </c>
      <c r="AG52" s="11">
        <v>33229623.68</v>
      </c>
      <c r="AH52" s="12">
        <v>580088420</v>
      </c>
      <c r="AI52" s="11">
        <v>580088420</v>
      </c>
      <c r="AJ52" s="11">
        <v>-5034564.32</v>
      </c>
      <c r="AK52" s="11">
        <v>-5034564.32</v>
      </c>
      <c r="AL52" s="11">
        <v>585122984.32000005</v>
      </c>
      <c r="AM52" s="11">
        <v>613318043.67999995</v>
      </c>
      <c r="AN52" s="11">
        <v>28195059.359999999</v>
      </c>
      <c r="AO52" s="11">
        <v>613318043.67999995</v>
      </c>
      <c r="AP52" s="11">
        <v>0</v>
      </c>
      <c r="AQ52" s="11">
        <v>28195059.359999999</v>
      </c>
      <c r="AR52" t="s">
        <v>48</v>
      </c>
      <c r="AS52"/>
      <c r="AW52"/>
      <c r="AX52"/>
      <c r="AY52"/>
    </row>
    <row r="53" spans="1:51" hidden="1" x14ac:dyDescent="0.3">
      <c r="A53">
        <v>2022</v>
      </c>
      <c r="B53">
        <v>307</v>
      </c>
      <c r="C53">
        <v>11020100301</v>
      </c>
      <c r="D53" s="5" t="s">
        <v>44</v>
      </c>
      <c r="E53" s="8" t="s">
        <v>150</v>
      </c>
      <c r="F53">
        <v>11020100301</v>
      </c>
      <c r="G53" s="8" t="s">
        <v>151</v>
      </c>
      <c r="H53" t="s">
        <v>47</v>
      </c>
      <c r="I53" s="11">
        <v>580088442</v>
      </c>
      <c r="J53" s="11">
        <v>580088442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580088442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613318043.67999995</v>
      </c>
      <c r="X53" s="11">
        <v>33229623.68</v>
      </c>
      <c r="Y53" s="17">
        <v>580088420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613318043.67999995</v>
      </c>
      <c r="AG53" s="11">
        <v>33229623.68</v>
      </c>
      <c r="AH53" s="12">
        <v>580088420</v>
      </c>
      <c r="AI53" s="11">
        <v>580088420</v>
      </c>
      <c r="AJ53" s="11">
        <v>-5034564.32</v>
      </c>
      <c r="AK53" s="11">
        <v>-5034564.32</v>
      </c>
      <c r="AL53" s="11">
        <v>585122984.32000005</v>
      </c>
      <c r="AM53" s="11">
        <v>613318043.67999995</v>
      </c>
      <c r="AN53" s="11">
        <v>28195059.359999999</v>
      </c>
      <c r="AO53" s="11">
        <v>613318043.67999995</v>
      </c>
      <c r="AP53" s="11">
        <v>0</v>
      </c>
      <c r="AQ53" s="11">
        <v>28195059.359999999</v>
      </c>
      <c r="AR53" t="s">
        <v>48</v>
      </c>
      <c r="AS53"/>
      <c r="AW53"/>
      <c r="AX53"/>
      <c r="AY53"/>
    </row>
    <row r="54" spans="1:51" hidden="1" x14ac:dyDescent="0.3">
      <c r="A54">
        <v>2022</v>
      </c>
      <c r="B54">
        <v>307</v>
      </c>
      <c r="C54">
        <v>1102010030100</v>
      </c>
      <c r="D54" s="5" t="s">
        <v>44</v>
      </c>
      <c r="E54" s="8" t="s">
        <v>152</v>
      </c>
      <c r="F54">
        <v>1102010030100</v>
      </c>
      <c r="G54" s="8" t="s">
        <v>151</v>
      </c>
      <c r="H54" t="s">
        <v>47</v>
      </c>
      <c r="I54" s="11">
        <v>580088442</v>
      </c>
      <c r="J54" s="11">
        <v>580088442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580088442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613318043.67999995</v>
      </c>
      <c r="X54" s="11">
        <v>33229623.68</v>
      </c>
      <c r="Y54" s="17">
        <v>580088420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613318043.67999995</v>
      </c>
      <c r="AG54" s="11">
        <v>33229623.68</v>
      </c>
      <c r="AH54" s="12">
        <v>580088420</v>
      </c>
      <c r="AI54" s="11">
        <v>580088420</v>
      </c>
      <c r="AJ54" s="11">
        <v>-5034564.32</v>
      </c>
      <c r="AK54" s="11">
        <v>-5034564.32</v>
      </c>
      <c r="AL54" s="11">
        <v>585122984.32000005</v>
      </c>
      <c r="AM54" s="11">
        <v>613318043.67999995</v>
      </c>
      <c r="AN54" s="11">
        <v>28195059.359999999</v>
      </c>
      <c r="AO54" s="11">
        <v>613318043.67999995</v>
      </c>
      <c r="AP54" s="11">
        <v>0</v>
      </c>
      <c r="AQ54" s="11">
        <v>28195059.359999999</v>
      </c>
      <c r="AR54" t="s">
        <v>48</v>
      </c>
      <c r="AS54"/>
      <c r="AW54"/>
      <c r="AX54"/>
      <c r="AY54"/>
    </row>
    <row r="55" spans="1:51" hidden="1" x14ac:dyDescent="0.3">
      <c r="A55">
        <v>2022</v>
      </c>
      <c r="B55">
        <v>307</v>
      </c>
      <c r="C55">
        <v>110201003010000</v>
      </c>
      <c r="D55" s="5" t="s">
        <v>44</v>
      </c>
      <c r="E55" s="8" t="s">
        <v>153</v>
      </c>
      <c r="F55">
        <v>110201003010000</v>
      </c>
      <c r="G55" s="8" t="s">
        <v>151</v>
      </c>
      <c r="H55" t="s">
        <v>47</v>
      </c>
      <c r="I55" s="11">
        <v>580088442</v>
      </c>
      <c r="J55" s="11">
        <v>580088442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580088442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613318043.67999995</v>
      </c>
      <c r="X55" s="11">
        <v>33229623.68</v>
      </c>
      <c r="Y55" s="17">
        <v>580088420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613318043.67999995</v>
      </c>
      <c r="AG55" s="11">
        <v>33229623.68</v>
      </c>
      <c r="AH55" s="12">
        <v>580088420</v>
      </c>
      <c r="AI55" s="11">
        <v>580088420</v>
      </c>
      <c r="AJ55" s="11">
        <v>-5034564.32</v>
      </c>
      <c r="AK55" s="11">
        <v>-5034564.32</v>
      </c>
      <c r="AL55" s="11">
        <v>585122984.32000005</v>
      </c>
      <c r="AM55" s="11">
        <v>613318043.67999995</v>
      </c>
      <c r="AN55" s="11">
        <v>28195059.359999999</v>
      </c>
      <c r="AO55" s="11">
        <v>613318043.67999995</v>
      </c>
      <c r="AP55" s="11">
        <v>0</v>
      </c>
      <c r="AQ55" s="11">
        <v>28195059.359999999</v>
      </c>
      <c r="AR55" t="s">
        <v>48</v>
      </c>
      <c r="AS55"/>
      <c r="AW55"/>
      <c r="AX55"/>
      <c r="AY55"/>
    </row>
    <row r="56" spans="1:51" hidden="1" x14ac:dyDescent="0.3">
      <c r="A56">
        <v>2022</v>
      </c>
      <c r="B56">
        <v>307</v>
      </c>
      <c r="C56">
        <v>1.1020100301E+17</v>
      </c>
      <c r="D56" s="5" t="s">
        <v>44</v>
      </c>
      <c r="E56" s="8" t="s">
        <v>1071</v>
      </c>
      <c r="F56">
        <v>1.1020100301E+17</v>
      </c>
      <c r="G56" s="8" t="s">
        <v>151</v>
      </c>
      <c r="H56" t="s">
        <v>47</v>
      </c>
      <c r="I56" s="11">
        <v>580088442</v>
      </c>
      <c r="J56" s="11">
        <v>580088442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580088442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613318043.67999995</v>
      </c>
      <c r="X56" s="11">
        <v>33229623.68</v>
      </c>
      <c r="Y56" s="17">
        <v>580088420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613318043.67999995</v>
      </c>
      <c r="AG56" s="11">
        <v>33229623.68</v>
      </c>
      <c r="AH56" s="12">
        <v>580088420</v>
      </c>
      <c r="AI56" s="11">
        <v>580088420</v>
      </c>
      <c r="AJ56" s="11">
        <v>-5034564.32</v>
      </c>
      <c r="AK56" s="11">
        <v>-5034564.32</v>
      </c>
      <c r="AL56" s="11">
        <v>585122984.32000005</v>
      </c>
      <c r="AM56" s="11">
        <v>613318043.67999995</v>
      </c>
      <c r="AN56" s="11">
        <v>28195059.359999999</v>
      </c>
      <c r="AO56" s="11">
        <v>613318043.67999995</v>
      </c>
      <c r="AP56" s="11">
        <v>0</v>
      </c>
      <c r="AQ56" s="11">
        <v>28195059.359999999</v>
      </c>
      <c r="AR56" t="s">
        <v>48</v>
      </c>
      <c r="AS56"/>
      <c r="AW56"/>
      <c r="AX56"/>
      <c r="AY56"/>
    </row>
    <row r="57" spans="1:51" hidden="1" x14ac:dyDescent="0.3">
      <c r="A57">
        <v>2022</v>
      </c>
      <c r="B57">
        <v>307</v>
      </c>
      <c r="C57">
        <v>1.1020100300999999E+20</v>
      </c>
      <c r="D57" s="5" t="s">
        <v>44</v>
      </c>
      <c r="E57" s="8" t="s">
        <v>1072</v>
      </c>
      <c r="F57">
        <v>1.1020100300999999E+20</v>
      </c>
      <c r="G57" s="8" t="s">
        <v>151</v>
      </c>
      <c r="H57" t="s">
        <v>47</v>
      </c>
      <c r="I57" s="11">
        <v>580088442</v>
      </c>
      <c r="J57" s="11">
        <v>580088442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580088442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613318043.67999995</v>
      </c>
      <c r="X57" s="11">
        <v>33229623.68</v>
      </c>
      <c r="Y57" s="17">
        <v>580088420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613318043.67999995</v>
      </c>
      <c r="AG57" s="11">
        <v>33229623.68</v>
      </c>
      <c r="AH57" s="12">
        <v>580088420</v>
      </c>
      <c r="AI57" s="11">
        <v>580088420</v>
      </c>
      <c r="AJ57" s="11">
        <v>-5034564.32</v>
      </c>
      <c r="AK57" s="11">
        <v>-5034564.32</v>
      </c>
      <c r="AL57" s="11">
        <v>585122984.32000005</v>
      </c>
      <c r="AM57" s="11">
        <v>613318043.67999995</v>
      </c>
      <c r="AN57" s="11">
        <v>28195059.359999999</v>
      </c>
      <c r="AO57" s="11">
        <v>613318043.67999995</v>
      </c>
      <c r="AP57" s="11">
        <v>0</v>
      </c>
      <c r="AQ57" s="11">
        <v>28195059.359999999</v>
      </c>
      <c r="AR57" t="s">
        <v>48</v>
      </c>
      <c r="AS57"/>
      <c r="AW57"/>
      <c r="AX57"/>
      <c r="AY57"/>
    </row>
    <row r="58" spans="1:51" x14ac:dyDescent="0.3">
      <c r="A58">
        <v>2022</v>
      </c>
      <c r="B58">
        <v>307</v>
      </c>
      <c r="C58">
        <v>1.1020100301000001E+35</v>
      </c>
      <c r="D58" s="5">
        <v>18</v>
      </c>
      <c r="E58" s="8" t="s">
        <v>156</v>
      </c>
      <c r="F58">
        <v>1.1020100301000001E+35</v>
      </c>
      <c r="G58" s="8" t="s">
        <v>157</v>
      </c>
      <c r="H58" t="s">
        <v>47</v>
      </c>
      <c r="I58" s="11">
        <v>38261187</v>
      </c>
      <c r="J58" s="11">
        <v>38261187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38261187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38261185</v>
      </c>
      <c r="X58" s="11">
        <v>0</v>
      </c>
      <c r="Y58" s="17">
        <v>38261185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38261185</v>
      </c>
      <c r="AG58" s="11">
        <v>0</v>
      </c>
      <c r="AH58" s="12">
        <v>38261185</v>
      </c>
      <c r="AI58" s="11">
        <v>38261185</v>
      </c>
      <c r="AJ58" s="11">
        <v>0</v>
      </c>
      <c r="AK58" s="11">
        <v>0</v>
      </c>
      <c r="AL58" s="11">
        <v>38261185</v>
      </c>
      <c r="AM58" s="11">
        <v>38261185</v>
      </c>
      <c r="AN58" s="11">
        <v>0</v>
      </c>
      <c r="AO58" s="11">
        <v>38261185</v>
      </c>
      <c r="AP58" s="11">
        <v>0</v>
      </c>
      <c r="AQ58" s="11">
        <v>0</v>
      </c>
      <c r="AR58" t="s">
        <v>158</v>
      </c>
      <c r="AS58" s="4" t="str">
        <f t="shared" ref="AS58:AS66" si="32">+G58</f>
        <v>E.S.P. Empresa Sanitaria del Quindío S.A.</v>
      </c>
      <c r="AT58" t="str">
        <f t="shared" ref="AT58:AT66" si="33">+D58&amp;AS58&amp;Y58</f>
        <v>18E.S.P. Empresa Sanitaria del Quindío S.A.38261185</v>
      </c>
      <c r="AU58" t="str">
        <f>+_xlfn.XLOOKUP(AT58,CRUCE!J:J,CRUCE!M:M)</f>
        <v>READY</v>
      </c>
      <c r="AV58" t="s">
        <v>1907</v>
      </c>
      <c r="AW58" s="23">
        <f>+SUMIFS(CRUCE!D:D,CRUCE!A:A,'2022'!D58,CRUCE!B:B,'2022'!AS58)/COUNTIFS(D:D,D58,AS:AS,AS58)</f>
        <v>38261185</v>
      </c>
      <c r="AX58" s="23">
        <f t="shared" ref="AX58:AX66" si="34">+SUMIFS(Y:Y,D:D,D58,AS:AS,AS58)/COUNTIFS(D:D,D58,AS:AS,AS58)</f>
        <v>38261185</v>
      </c>
      <c r="AY58" s="23">
        <f t="shared" ref="AY58:AY66" si="35">+AW58-AX58</f>
        <v>0</v>
      </c>
    </row>
    <row r="59" spans="1:51" x14ac:dyDescent="0.3">
      <c r="A59">
        <v>2022</v>
      </c>
      <c r="B59">
        <v>307</v>
      </c>
      <c r="C59">
        <v>1.1020100301000001E+35</v>
      </c>
      <c r="D59" s="5">
        <v>18</v>
      </c>
      <c r="E59" s="8" t="s">
        <v>159</v>
      </c>
      <c r="F59">
        <v>1.1020100301000001E+35</v>
      </c>
      <c r="G59" s="8" t="s">
        <v>160</v>
      </c>
      <c r="H59" t="s">
        <v>47</v>
      </c>
      <c r="I59" s="11">
        <v>27519548</v>
      </c>
      <c r="J59" s="11">
        <v>27519548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27519548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27519547</v>
      </c>
      <c r="X59" s="11">
        <v>0</v>
      </c>
      <c r="Y59" s="17">
        <v>27519547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27519547</v>
      </c>
      <c r="AG59" s="11">
        <v>0</v>
      </c>
      <c r="AH59" s="12">
        <v>27519547</v>
      </c>
      <c r="AI59" s="11">
        <v>27519547</v>
      </c>
      <c r="AJ59" s="11">
        <v>0</v>
      </c>
      <c r="AK59" s="11">
        <v>0</v>
      </c>
      <c r="AL59" s="11">
        <v>27519547</v>
      </c>
      <c r="AM59" s="11">
        <v>27519547</v>
      </c>
      <c r="AN59" s="11">
        <v>0</v>
      </c>
      <c r="AO59" s="11">
        <v>27519547</v>
      </c>
      <c r="AP59" s="11">
        <v>0</v>
      </c>
      <c r="AQ59" s="11">
        <v>0</v>
      </c>
      <c r="AR59" t="s">
        <v>158</v>
      </c>
      <c r="AS59" s="4" t="str">
        <f t="shared" si="32"/>
        <v>Lotería del Quindío E.I.C.E.</v>
      </c>
      <c r="AT59" t="str">
        <f t="shared" si="33"/>
        <v>18Lotería del Quindío E.I.C.E.27519547</v>
      </c>
      <c r="AU59" t="str">
        <f>+_xlfn.XLOOKUP(AT59,CRUCE!J:J,CRUCE!M:M)</f>
        <v>READY</v>
      </c>
      <c r="AV59" t="s">
        <v>1907</v>
      </c>
      <c r="AW59" s="23">
        <f>+SUMIFS(CRUCE!D:D,CRUCE!A:A,'2022'!D59,CRUCE!B:B,'2022'!AS59)/COUNTIFS(D:D,D59,AS:AS,AS59)</f>
        <v>27519547</v>
      </c>
      <c r="AX59" s="23">
        <f t="shared" si="34"/>
        <v>27519547</v>
      </c>
      <c r="AY59" s="23">
        <f t="shared" si="35"/>
        <v>0</v>
      </c>
    </row>
    <row r="60" spans="1:51" x14ac:dyDescent="0.3">
      <c r="A60">
        <v>2022</v>
      </c>
      <c r="B60">
        <v>307</v>
      </c>
      <c r="C60">
        <v>1.1020100301000001E+35</v>
      </c>
      <c r="D60" s="5">
        <v>18</v>
      </c>
      <c r="E60" s="8" t="s">
        <v>161</v>
      </c>
      <c r="F60">
        <v>1.1020100301000001E+35</v>
      </c>
      <c r="G60" s="8" t="s">
        <v>162</v>
      </c>
      <c r="H60" t="s">
        <v>47</v>
      </c>
      <c r="I60" s="11">
        <v>175503039</v>
      </c>
      <c r="J60" s="11">
        <v>175503039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175503039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175503039</v>
      </c>
      <c r="X60" s="11">
        <v>0</v>
      </c>
      <c r="Y60" s="17">
        <v>175503039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175503039</v>
      </c>
      <c r="AG60" s="11">
        <v>0</v>
      </c>
      <c r="AH60" s="12">
        <v>175503039</v>
      </c>
      <c r="AI60" s="11">
        <v>175503039</v>
      </c>
      <c r="AJ60" s="11">
        <v>0</v>
      </c>
      <c r="AK60" s="11">
        <v>0</v>
      </c>
      <c r="AL60" s="11">
        <v>175503039</v>
      </c>
      <c r="AM60" s="11">
        <v>175503039</v>
      </c>
      <c r="AN60" s="11">
        <v>0</v>
      </c>
      <c r="AO60" s="11">
        <v>175503039</v>
      </c>
      <c r="AP60" s="11">
        <v>0</v>
      </c>
      <c r="AQ60" s="11">
        <v>0</v>
      </c>
      <c r="AR60" t="s">
        <v>158</v>
      </c>
      <c r="AS60" s="4" t="str">
        <f t="shared" si="32"/>
        <v>E.S.E. Hospital San Juan de Dios - Armenia</v>
      </c>
      <c r="AT60" t="str">
        <f t="shared" si="33"/>
        <v>18E.S.E. Hospital San Juan de Dios - Armenia175503039</v>
      </c>
      <c r="AU60" t="str">
        <f>+_xlfn.XLOOKUP(AT60,CRUCE!J:J,CRUCE!M:M)</f>
        <v>READY</v>
      </c>
      <c r="AV60" t="s">
        <v>1907</v>
      </c>
      <c r="AW60" s="23">
        <f>+SUMIFS(CRUCE!D:D,CRUCE!A:A,'2022'!D60,CRUCE!B:B,'2022'!AS60)/COUNTIFS(D:D,D60,AS:AS,AS60)</f>
        <v>175503039</v>
      </c>
      <c r="AX60" s="23">
        <f t="shared" si="34"/>
        <v>175503039</v>
      </c>
      <c r="AY60" s="23">
        <f t="shared" si="35"/>
        <v>0</v>
      </c>
    </row>
    <row r="61" spans="1:51" x14ac:dyDescent="0.3">
      <c r="A61">
        <v>2022</v>
      </c>
      <c r="B61">
        <v>307</v>
      </c>
      <c r="C61">
        <v>1.1020100301000001E+35</v>
      </c>
      <c r="D61" s="5">
        <v>18</v>
      </c>
      <c r="E61" s="8" t="s">
        <v>163</v>
      </c>
      <c r="F61">
        <v>1.1020100301000001E+35</v>
      </c>
      <c r="G61" s="8" t="s">
        <v>164</v>
      </c>
      <c r="H61" t="s">
        <v>47</v>
      </c>
      <c r="I61" s="11">
        <v>23353968</v>
      </c>
      <c r="J61" s="11">
        <v>23353968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23353968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23353968</v>
      </c>
      <c r="X61" s="11">
        <v>0</v>
      </c>
      <c r="Y61" s="17">
        <v>23353968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23353968</v>
      </c>
      <c r="AG61" s="11">
        <v>0</v>
      </c>
      <c r="AH61" s="12">
        <v>23353968</v>
      </c>
      <c r="AI61" s="11">
        <v>23353968</v>
      </c>
      <c r="AJ61" s="11">
        <v>0</v>
      </c>
      <c r="AK61" s="11">
        <v>0</v>
      </c>
      <c r="AL61" s="11">
        <v>23353968</v>
      </c>
      <c r="AM61" s="11">
        <v>23353968</v>
      </c>
      <c r="AN61" s="11">
        <v>0</v>
      </c>
      <c r="AO61" s="11">
        <v>23353968</v>
      </c>
      <c r="AP61" s="11">
        <v>0</v>
      </c>
      <c r="AQ61" s="11">
        <v>0</v>
      </c>
      <c r="AR61" t="s">
        <v>158</v>
      </c>
      <c r="AS61" s="4" t="str">
        <f t="shared" si="32"/>
        <v>E.S.E. Hospital La Misericordia - Calarcá</v>
      </c>
      <c r="AT61" t="str">
        <f t="shared" si="33"/>
        <v>18E.S.E. Hospital La Misericordia - Calarcá23353968</v>
      </c>
      <c r="AU61" t="str">
        <f>+_xlfn.XLOOKUP(AT61,CRUCE!J:J,CRUCE!M:M)</f>
        <v>READY</v>
      </c>
      <c r="AV61" t="s">
        <v>1907</v>
      </c>
      <c r="AW61" s="23">
        <f>+SUMIFS(CRUCE!D:D,CRUCE!A:A,'2022'!D61,CRUCE!B:B,'2022'!AS61)/COUNTIFS(D:D,D61,AS:AS,AS61)</f>
        <v>23353968</v>
      </c>
      <c r="AX61" s="23">
        <f t="shared" si="34"/>
        <v>23353968</v>
      </c>
      <c r="AY61" s="23">
        <f t="shared" si="35"/>
        <v>0</v>
      </c>
    </row>
    <row r="62" spans="1:51" x14ac:dyDescent="0.3">
      <c r="A62">
        <v>2022</v>
      </c>
      <c r="B62">
        <v>307</v>
      </c>
      <c r="C62">
        <v>1.1020100301000001E+35</v>
      </c>
      <c r="D62" s="5">
        <v>18</v>
      </c>
      <c r="E62" s="8" t="s">
        <v>165</v>
      </c>
      <c r="F62">
        <v>1.1020100301000001E+35</v>
      </c>
      <c r="G62" s="8" t="s">
        <v>166</v>
      </c>
      <c r="H62" t="s">
        <v>47</v>
      </c>
      <c r="I62" s="11">
        <v>15875711</v>
      </c>
      <c r="J62" s="11">
        <v>15875711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15875711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15875711</v>
      </c>
      <c r="X62" s="11">
        <v>0</v>
      </c>
      <c r="Y62" s="17">
        <v>15875711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15875711</v>
      </c>
      <c r="AG62" s="11">
        <v>0</v>
      </c>
      <c r="AH62" s="12">
        <v>15875711</v>
      </c>
      <c r="AI62" s="11">
        <v>15875711</v>
      </c>
      <c r="AJ62" s="11">
        <v>0</v>
      </c>
      <c r="AK62" s="11">
        <v>0</v>
      </c>
      <c r="AL62" s="11">
        <v>15875711</v>
      </c>
      <c r="AM62" s="11">
        <v>15875711</v>
      </c>
      <c r="AN62" s="11">
        <v>0</v>
      </c>
      <c r="AO62" s="11">
        <v>15875711</v>
      </c>
      <c r="AP62" s="11">
        <v>0</v>
      </c>
      <c r="AQ62" s="11">
        <v>0</v>
      </c>
      <c r="AR62" t="s">
        <v>158</v>
      </c>
      <c r="AS62" s="4" t="str">
        <f t="shared" si="32"/>
        <v>E.S.E. Hospital Mental - Filandia</v>
      </c>
      <c r="AT62" t="str">
        <f t="shared" si="33"/>
        <v>18E.S.E. Hospital Mental - Filandia15875711</v>
      </c>
      <c r="AU62" t="str">
        <f>+_xlfn.XLOOKUP(AT62,CRUCE!J:J,CRUCE!M:M)</f>
        <v>READY</v>
      </c>
      <c r="AV62" t="s">
        <v>1907</v>
      </c>
      <c r="AW62" s="23">
        <f>+SUMIFS(CRUCE!D:D,CRUCE!A:A,'2022'!D62,CRUCE!B:B,'2022'!AS62)/COUNTIFS(D:D,D62,AS:AS,AS62)</f>
        <v>15875711</v>
      </c>
      <c r="AX62" s="23">
        <f t="shared" si="34"/>
        <v>15875711</v>
      </c>
      <c r="AY62" s="23">
        <f t="shared" si="35"/>
        <v>0</v>
      </c>
    </row>
    <row r="63" spans="1:51" x14ac:dyDescent="0.3">
      <c r="A63">
        <v>2022</v>
      </c>
      <c r="B63">
        <v>307</v>
      </c>
      <c r="C63">
        <v>1.1020100301000001E+35</v>
      </c>
      <c r="D63" s="5">
        <v>18</v>
      </c>
      <c r="E63" s="8" t="s">
        <v>167</v>
      </c>
      <c r="F63">
        <v>1.1020100301000001E+35</v>
      </c>
      <c r="G63" s="8" t="s">
        <v>168</v>
      </c>
      <c r="H63" t="s">
        <v>47</v>
      </c>
      <c r="I63" s="11">
        <v>5506219</v>
      </c>
      <c r="J63" s="11">
        <v>5506219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5506219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5506207</v>
      </c>
      <c r="X63" s="11">
        <v>0</v>
      </c>
      <c r="Y63" s="17">
        <v>5506207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5506207</v>
      </c>
      <c r="AG63" s="11">
        <v>0</v>
      </c>
      <c r="AH63" s="12">
        <v>5506207</v>
      </c>
      <c r="AI63" s="11">
        <v>5506207</v>
      </c>
      <c r="AJ63" s="11">
        <v>0</v>
      </c>
      <c r="AK63" s="11">
        <v>0</v>
      </c>
      <c r="AL63" s="11">
        <v>5506207</v>
      </c>
      <c r="AM63" s="11">
        <v>5506207</v>
      </c>
      <c r="AN63" s="11">
        <v>0</v>
      </c>
      <c r="AO63" s="11">
        <v>5506207</v>
      </c>
      <c r="AP63" s="11">
        <v>0</v>
      </c>
      <c r="AQ63" s="11">
        <v>0</v>
      </c>
      <c r="AR63" t="s">
        <v>158</v>
      </c>
      <c r="AS63" s="4" t="str">
        <f t="shared" si="32"/>
        <v>Instituto Departamental de Deporte y Recreación del Quindío</v>
      </c>
      <c r="AT63" t="str">
        <f t="shared" si="33"/>
        <v>18Instituto Departamental de Deporte y Recreación del Quindío5506207</v>
      </c>
      <c r="AU63" t="str">
        <f>+_xlfn.XLOOKUP(AT63,CRUCE!J:J,CRUCE!M:M)</f>
        <v>READY</v>
      </c>
      <c r="AV63" t="s">
        <v>1907</v>
      </c>
      <c r="AW63" s="23">
        <f>+SUMIFS(CRUCE!D:D,CRUCE!A:A,'2022'!D63,CRUCE!B:B,'2022'!AS63)/COUNTIFS(D:D,D63,AS:AS,AS63)</f>
        <v>5506207</v>
      </c>
      <c r="AX63" s="23">
        <f t="shared" si="34"/>
        <v>5506207</v>
      </c>
      <c r="AY63" s="23">
        <f t="shared" si="35"/>
        <v>0</v>
      </c>
    </row>
    <row r="64" spans="1:51" x14ac:dyDescent="0.3">
      <c r="A64">
        <v>2022</v>
      </c>
      <c r="B64">
        <v>307</v>
      </c>
      <c r="C64">
        <v>1.1020100301000001E+35</v>
      </c>
      <c r="D64" s="5">
        <v>18</v>
      </c>
      <c r="E64" s="8" t="s">
        <v>169</v>
      </c>
      <c r="F64">
        <v>1.1020100301000001E+35</v>
      </c>
      <c r="G64" s="8" t="s">
        <v>170</v>
      </c>
      <c r="H64" t="s">
        <v>47</v>
      </c>
      <c r="I64" s="11">
        <v>5017381</v>
      </c>
      <c r="J64" s="11">
        <v>5017381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5017381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5017380</v>
      </c>
      <c r="X64" s="11">
        <v>0</v>
      </c>
      <c r="Y64" s="17">
        <v>5017380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5017380</v>
      </c>
      <c r="AG64" s="11">
        <v>0</v>
      </c>
      <c r="AH64" s="12">
        <v>5017380</v>
      </c>
      <c r="AI64" s="11">
        <v>5017380</v>
      </c>
      <c r="AJ64" s="11">
        <v>0</v>
      </c>
      <c r="AK64" s="11">
        <v>0</v>
      </c>
      <c r="AL64" s="11">
        <v>5017380</v>
      </c>
      <c r="AM64" s="11">
        <v>5017380</v>
      </c>
      <c r="AN64" s="11">
        <v>0</v>
      </c>
      <c r="AO64" s="11">
        <v>5017380</v>
      </c>
      <c r="AP64" s="11">
        <v>0</v>
      </c>
      <c r="AQ64" s="11">
        <v>0</v>
      </c>
      <c r="AR64" t="s">
        <v>158</v>
      </c>
      <c r="AS64" s="4" t="str">
        <f t="shared" si="32"/>
        <v>Instituto Departamental de Tránsito del Quindío</v>
      </c>
      <c r="AT64" t="str">
        <f t="shared" si="33"/>
        <v>18Instituto Departamental de Tránsito del Quindío5017380</v>
      </c>
      <c r="AU64" t="str">
        <f>+_xlfn.XLOOKUP(AT64,CRUCE!J:J,CRUCE!M:M)</f>
        <v>READY</v>
      </c>
      <c r="AV64" t="s">
        <v>1907</v>
      </c>
      <c r="AW64" s="23">
        <f>+SUMIFS(CRUCE!D:D,CRUCE!A:A,'2022'!D64,CRUCE!B:B,'2022'!AS64)/COUNTIFS(D:D,D64,AS:AS,AS64)</f>
        <v>5017380</v>
      </c>
      <c r="AX64" s="23">
        <f t="shared" si="34"/>
        <v>5017380</v>
      </c>
      <c r="AY64" s="23">
        <f t="shared" si="35"/>
        <v>0</v>
      </c>
    </row>
    <row r="65" spans="1:51" x14ac:dyDescent="0.3">
      <c r="A65">
        <v>2022</v>
      </c>
      <c r="B65">
        <v>307</v>
      </c>
      <c r="C65">
        <v>1.1020100301000001E+35</v>
      </c>
      <c r="D65" s="5">
        <v>18</v>
      </c>
      <c r="E65" s="8" t="s">
        <v>171</v>
      </c>
      <c r="F65">
        <v>1.1020100301000001E+35</v>
      </c>
      <c r="G65" s="8" t="s">
        <v>172</v>
      </c>
      <c r="H65" t="s">
        <v>47</v>
      </c>
      <c r="I65" s="11">
        <v>10547135</v>
      </c>
      <c r="J65" s="11">
        <v>10547135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10547135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18458190.68</v>
      </c>
      <c r="X65" s="11">
        <v>7911055.6799999997</v>
      </c>
      <c r="Y65" s="17">
        <v>10547135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18458190.68</v>
      </c>
      <c r="AG65" s="11">
        <v>7911055.6799999997</v>
      </c>
      <c r="AH65" s="12">
        <v>10547135</v>
      </c>
      <c r="AI65" s="11">
        <v>10547135</v>
      </c>
      <c r="AJ65" s="11">
        <v>-5034564.32</v>
      </c>
      <c r="AK65" s="11">
        <v>-5034564.32</v>
      </c>
      <c r="AL65" s="11">
        <v>15581699.32</v>
      </c>
      <c r="AM65" s="11">
        <v>18458190.68</v>
      </c>
      <c r="AN65" s="11">
        <v>2876491.36</v>
      </c>
      <c r="AO65" s="11">
        <v>18458190.68</v>
      </c>
      <c r="AP65" s="11">
        <v>0</v>
      </c>
      <c r="AQ65" s="11">
        <v>2876491.36</v>
      </c>
      <c r="AR65" t="s">
        <v>158</v>
      </c>
      <c r="AS65" s="4" t="str">
        <f t="shared" si="32"/>
        <v>Promotora de Vivienda y Desarrollo del Quindío</v>
      </c>
      <c r="AT65" t="str">
        <f t="shared" si="33"/>
        <v>18Promotora de Vivienda y Desarrollo del Quindío10547135</v>
      </c>
      <c r="AU65" t="str">
        <f>+_xlfn.XLOOKUP(AT65,CRUCE!J:J,CRUCE!M:M)</f>
        <v>READY</v>
      </c>
      <c r="AV65" t="s">
        <v>1907</v>
      </c>
      <c r="AW65" s="23">
        <f>+SUMIFS(CRUCE!D:D,CRUCE!A:A,'2022'!D65,CRUCE!B:B,'2022'!AS65)/COUNTIFS(D:D,D65,AS:AS,AS65)</f>
        <v>10547135</v>
      </c>
      <c r="AX65" s="23">
        <f t="shared" si="34"/>
        <v>10547135</v>
      </c>
      <c r="AY65" s="23">
        <f t="shared" si="35"/>
        <v>0</v>
      </c>
    </row>
    <row r="66" spans="1:51" x14ac:dyDescent="0.3">
      <c r="A66">
        <v>2022</v>
      </c>
      <c r="B66">
        <v>307</v>
      </c>
      <c r="C66">
        <v>1.1020100301000001E+35</v>
      </c>
      <c r="D66" s="5">
        <v>18</v>
      </c>
      <c r="E66" s="8" t="s">
        <v>173</v>
      </c>
      <c r="F66">
        <v>1.1020100301000001E+35</v>
      </c>
      <c r="G66" s="8" t="s">
        <v>174</v>
      </c>
      <c r="H66" t="s">
        <v>47</v>
      </c>
      <c r="I66" s="11">
        <v>278504254</v>
      </c>
      <c r="J66" s="11">
        <v>278504254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278504254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303822816</v>
      </c>
      <c r="X66" s="11">
        <v>25318568</v>
      </c>
      <c r="Y66" s="17">
        <v>278504248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303822816</v>
      </c>
      <c r="AG66" s="11">
        <v>25318568</v>
      </c>
      <c r="AH66" s="12">
        <v>278504248</v>
      </c>
      <c r="AI66" s="11">
        <v>278504248</v>
      </c>
      <c r="AJ66" s="11">
        <v>0</v>
      </c>
      <c r="AK66" s="11">
        <v>0</v>
      </c>
      <c r="AL66" s="11">
        <v>278504248</v>
      </c>
      <c r="AM66" s="11">
        <v>303822816</v>
      </c>
      <c r="AN66" s="11">
        <v>25318568</v>
      </c>
      <c r="AO66" s="11">
        <v>303822816</v>
      </c>
      <c r="AP66" s="11">
        <v>0</v>
      </c>
      <c r="AQ66" s="11">
        <v>25318568</v>
      </c>
      <c r="AR66" t="s">
        <v>158</v>
      </c>
      <c r="AS66" s="4" t="str">
        <f t="shared" si="32"/>
        <v>Universidad del Quindío</v>
      </c>
      <c r="AT66" t="str">
        <f t="shared" si="33"/>
        <v>18Universidad del Quindío278504248</v>
      </c>
      <c r="AU66" t="str">
        <f>+_xlfn.XLOOKUP(AT66,CRUCE!J:J,CRUCE!M:M)</f>
        <v>READY</v>
      </c>
      <c r="AV66" t="s">
        <v>1907</v>
      </c>
      <c r="AW66" s="23">
        <f>+SUMIFS(CRUCE!D:D,CRUCE!A:A,'2022'!D66,CRUCE!B:B,'2022'!AS66)/COUNTIFS(D:D,D66,AS:AS,AS66)</f>
        <v>278504248</v>
      </c>
      <c r="AX66" s="23">
        <f t="shared" si="34"/>
        <v>278504248</v>
      </c>
      <c r="AY66" s="23">
        <f t="shared" si="35"/>
        <v>0</v>
      </c>
    </row>
    <row r="67" spans="1:51" hidden="1" x14ac:dyDescent="0.3">
      <c r="A67">
        <v>2022</v>
      </c>
      <c r="B67">
        <v>307</v>
      </c>
      <c r="C67">
        <v>110203</v>
      </c>
      <c r="D67" s="5" t="s">
        <v>44</v>
      </c>
      <c r="E67" s="8" t="s">
        <v>183</v>
      </c>
      <c r="F67">
        <v>110203</v>
      </c>
      <c r="G67" s="8" t="s">
        <v>184</v>
      </c>
      <c r="H67" t="s">
        <v>47</v>
      </c>
      <c r="I67" s="11">
        <v>3914573650</v>
      </c>
      <c r="J67" s="11">
        <v>3914573650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3914573650</v>
      </c>
      <c r="Q67" s="11">
        <v>14552393087.82</v>
      </c>
      <c r="R67" s="11">
        <v>31359885.539999999</v>
      </c>
      <c r="S67" s="11">
        <v>14521033202.280001</v>
      </c>
      <c r="T67" s="11">
        <v>0</v>
      </c>
      <c r="U67" s="11">
        <v>0</v>
      </c>
      <c r="V67" s="11">
        <v>0</v>
      </c>
      <c r="W67" s="11">
        <v>4513414599.4799995</v>
      </c>
      <c r="X67" s="11">
        <v>92326887.730000004</v>
      </c>
      <c r="Y67" s="17">
        <v>4421087711.75</v>
      </c>
      <c r="Z67" s="11">
        <v>14552393087.82</v>
      </c>
      <c r="AA67" s="11">
        <v>31359885.539999999</v>
      </c>
      <c r="AB67" s="11">
        <v>14521033202.280001</v>
      </c>
      <c r="AC67" s="11">
        <v>0</v>
      </c>
      <c r="AD67" s="11">
        <v>0</v>
      </c>
      <c r="AE67" s="11">
        <v>0</v>
      </c>
      <c r="AF67" s="11">
        <v>4513414599.4799995</v>
      </c>
      <c r="AG67" s="11">
        <v>92326887.730000004</v>
      </c>
      <c r="AH67" s="12">
        <v>4421087711.75</v>
      </c>
      <c r="AI67" s="11">
        <v>4421087711.75</v>
      </c>
      <c r="AJ67" s="11">
        <v>0</v>
      </c>
      <c r="AK67" s="11">
        <v>0</v>
      </c>
      <c r="AL67" s="11">
        <v>4433235855.4799995</v>
      </c>
      <c r="AM67" s="11">
        <v>4513414599.4799995</v>
      </c>
      <c r="AN67" s="11">
        <v>80178744</v>
      </c>
      <c r="AO67" s="11">
        <v>4513414599.4799995</v>
      </c>
      <c r="AP67" s="11">
        <v>0</v>
      </c>
      <c r="AQ67" s="11">
        <v>80178744</v>
      </c>
      <c r="AR67" t="s">
        <v>48</v>
      </c>
      <c r="AS67"/>
      <c r="AW67"/>
      <c r="AX67"/>
      <c r="AY67"/>
    </row>
    <row r="68" spans="1:51" hidden="1" x14ac:dyDescent="0.3">
      <c r="A68">
        <v>2022</v>
      </c>
      <c r="B68">
        <v>307</v>
      </c>
      <c r="C68">
        <v>110203001</v>
      </c>
      <c r="D68" s="5" t="s">
        <v>44</v>
      </c>
      <c r="E68" s="8" t="s">
        <v>185</v>
      </c>
      <c r="F68">
        <v>110203001</v>
      </c>
      <c r="G68" s="8" t="s">
        <v>186</v>
      </c>
      <c r="H68" t="s">
        <v>47</v>
      </c>
      <c r="I68" s="11">
        <v>2546349720</v>
      </c>
      <c r="J68" s="11">
        <v>2546349720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2546349720</v>
      </c>
      <c r="Q68" s="11">
        <v>9564681129.7700005</v>
      </c>
      <c r="R68" s="11">
        <v>29643666.34</v>
      </c>
      <c r="S68" s="11">
        <v>9535037463.4300003</v>
      </c>
      <c r="T68" s="11">
        <v>0</v>
      </c>
      <c r="U68" s="11">
        <v>0</v>
      </c>
      <c r="V68" s="11">
        <v>0</v>
      </c>
      <c r="W68" s="11">
        <v>3714136026.1900001</v>
      </c>
      <c r="X68" s="11">
        <v>54158922.969999999</v>
      </c>
      <c r="Y68" s="17">
        <v>3659977103.2199998</v>
      </c>
      <c r="Z68" s="11">
        <v>9564681129.7700005</v>
      </c>
      <c r="AA68" s="11">
        <v>29643666.34</v>
      </c>
      <c r="AB68" s="11">
        <v>9535037463.4300003</v>
      </c>
      <c r="AC68" s="11">
        <v>0</v>
      </c>
      <c r="AD68" s="11">
        <v>0</v>
      </c>
      <c r="AE68" s="11">
        <v>0</v>
      </c>
      <c r="AF68" s="11">
        <v>3714136026.1900001</v>
      </c>
      <c r="AG68" s="11">
        <v>54158922.969999999</v>
      </c>
      <c r="AH68" s="12">
        <v>3659977103.2199998</v>
      </c>
      <c r="AI68" s="11">
        <v>3659977103.2199998</v>
      </c>
      <c r="AJ68" s="11">
        <v>0</v>
      </c>
      <c r="AK68" s="11">
        <v>0</v>
      </c>
      <c r="AL68" s="11">
        <v>3667712195.1900001</v>
      </c>
      <c r="AM68" s="11">
        <v>3714136026.1900001</v>
      </c>
      <c r="AN68" s="11">
        <v>46423831</v>
      </c>
      <c r="AO68" s="11">
        <v>3714136026.1900001</v>
      </c>
      <c r="AP68" s="11">
        <v>0</v>
      </c>
      <c r="AQ68" s="11">
        <v>46423831</v>
      </c>
      <c r="AR68" t="s">
        <v>48</v>
      </c>
      <c r="AS68"/>
      <c r="AW68"/>
      <c r="AX68"/>
      <c r="AY68"/>
    </row>
    <row r="69" spans="1:51" x14ac:dyDescent="0.3">
      <c r="A69">
        <v>2022</v>
      </c>
      <c r="B69">
        <v>307</v>
      </c>
      <c r="C69">
        <v>11020300103</v>
      </c>
      <c r="D69" s="5">
        <v>20</v>
      </c>
      <c r="E69" s="8" t="s">
        <v>187</v>
      </c>
      <c r="F69">
        <v>11020300103</v>
      </c>
      <c r="G69" s="8" t="s">
        <v>188</v>
      </c>
      <c r="H69" t="s">
        <v>47</v>
      </c>
      <c r="I69" s="11">
        <v>20000000</v>
      </c>
      <c r="J69" s="11">
        <v>20000000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20000000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62198257.200000003</v>
      </c>
      <c r="X69" s="11">
        <v>503000</v>
      </c>
      <c r="Y69" s="17">
        <v>61695257.200000003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62198257.200000003</v>
      </c>
      <c r="AG69" s="11">
        <v>503000</v>
      </c>
      <c r="AH69" s="12">
        <v>61695257.200000003</v>
      </c>
      <c r="AI69" s="11">
        <v>61695257.200000003</v>
      </c>
      <c r="AJ69" s="11">
        <v>0</v>
      </c>
      <c r="AK69" s="11">
        <v>0</v>
      </c>
      <c r="AL69" s="11">
        <v>61695257.200000003</v>
      </c>
      <c r="AM69" s="11">
        <v>62198257.200000003</v>
      </c>
      <c r="AN69" s="11">
        <v>503000</v>
      </c>
      <c r="AO69" s="11">
        <v>62198257.200000003</v>
      </c>
      <c r="AP69" s="11">
        <v>0</v>
      </c>
      <c r="AQ69" s="11">
        <v>503000</v>
      </c>
      <c r="AR69" t="s">
        <v>57</v>
      </c>
      <c r="AS69" s="4" t="str">
        <f t="shared" ref="AS69:AS72" si="36">+G69</f>
        <v>Sanciones disciplinarias</v>
      </c>
      <c r="AT69" t="str">
        <f t="shared" ref="AT69:AT72" si="37">+D69&amp;AS69&amp;Y69</f>
        <v>20Sanciones disciplinarias61695257,2</v>
      </c>
      <c r="AU69" t="str">
        <f>+_xlfn.XLOOKUP(AT69,CRUCE!J:J,CRUCE!M:M)</f>
        <v>READY</v>
      </c>
      <c r="AV69" t="s">
        <v>1907</v>
      </c>
      <c r="AW69" s="23">
        <f>+SUMIFS(CRUCE!D:D,CRUCE!A:A,'2022'!D69,CRUCE!B:B,'2022'!AS69)/COUNTIFS(D:D,D69,AS:AS,AS69)</f>
        <v>61695257.200000003</v>
      </c>
      <c r="AX69" s="23">
        <f t="shared" ref="AX69:AX72" si="38">+SUMIFS(Y:Y,D:D,D69,AS:AS,AS69)/COUNTIFS(D:D,D69,AS:AS,AS69)</f>
        <v>61695257.200000003</v>
      </c>
      <c r="AY69" s="23">
        <f t="shared" ref="AY69:AY72" si="39">+AW69-AX69</f>
        <v>0</v>
      </c>
    </row>
    <row r="70" spans="1:51" x14ac:dyDescent="0.3">
      <c r="A70">
        <v>2022</v>
      </c>
      <c r="B70">
        <v>307</v>
      </c>
      <c r="C70">
        <v>11020300104</v>
      </c>
      <c r="D70" s="5">
        <v>20</v>
      </c>
      <c r="E70" s="8" t="s">
        <v>189</v>
      </c>
      <c r="F70">
        <v>11020300104</v>
      </c>
      <c r="G70" s="8" t="s">
        <v>190</v>
      </c>
      <c r="H70" t="s">
        <v>47</v>
      </c>
      <c r="I70" s="11">
        <v>10000000</v>
      </c>
      <c r="J70" s="11">
        <v>10000000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10000000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7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2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t="s">
        <v>57</v>
      </c>
      <c r="AS70" s="4" t="str">
        <f t="shared" si="36"/>
        <v>Sanciones contractuales</v>
      </c>
      <c r="AT70" t="str">
        <f t="shared" si="37"/>
        <v>20Sanciones contractuales0</v>
      </c>
      <c r="AU70" t="str">
        <f>+_xlfn.XLOOKUP(AT70,CRUCE!J:J,CRUCE!M:M)</f>
        <v>READY</v>
      </c>
      <c r="AV70" t="s">
        <v>1907</v>
      </c>
      <c r="AW70" s="23">
        <f>+SUMIFS(CRUCE!D:D,CRUCE!A:A,'2022'!D70,CRUCE!B:B,'2022'!AS70)/COUNTIFS(D:D,D70,AS:AS,AS70)</f>
        <v>0</v>
      </c>
      <c r="AX70" s="23">
        <f t="shared" si="38"/>
        <v>0</v>
      </c>
      <c r="AY70" s="23">
        <f t="shared" si="39"/>
        <v>0</v>
      </c>
    </row>
    <row r="71" spans="1:51" x14ac:dyDescent="0.3">
      <c r="A71">
        <v>2022</v>
      </c>
      <c r="B71">
        <v>307</v>
      </c>
      <c r="C71">
        <v>11020300105</v>
      </c>
      <c r="D71" s="5">
        <v>20</v>
      </c>
      <c r="E71" s="8" t="s">
        <v>191</v>
      </c>
      <c r="F71">
        <v>11020300105</v>
      </c>
      <c r="G71" s="8" t="s">
        <v>192</v>
      </c>
      <c r="H71" t="s">
        <v>47</v>
      </c>
      <c r="I71" s="11">
        <v>120000000</v>
      </c>
      <c r="J71" s="11">
        <v>120000000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120000000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160326717.12</v>
      </c>
      <c r="X71" s="11">
        <v>79001</v>
      </c>
      <c r="Y71" s="17">
        <v>160247716.12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160326717.12</v>
      </c>
      <c r="AG71" s="11">
        <v>79001</v>
      </c>
      <c r="AH71" s="12">
        <v>160247716.12</v>
      </c>
      <c r="AI71" s="11">
        <v>160247716.12</v>
      </c>
      <c r="AJ71" s="11">
        <v>0</v>
      </c>
      <c r="AK71" s="11">
        <v>0</v>
      </c>
      <c r="AL71" s="11">
        <v>160247716.12</v>
      </c>
      <c r="AM71" s="11">
        <v>160326717.12</v>
      </c>
      <c r="AN71" s="11">
        <v>79001</v>
      </c>
      <c r="AO71" s="11">
        <v>160326717.12</v>
      </c>
      <c r="AP71" s="11">
        <v>0</v>
      </c>
      <c r="AQ71" s="11">
        <v>79001</v>
      </c>
      <c r="AR71" t="s">
        <v>57</v>
      </c>
      <c r="AS71" s="4" t="str">
        <f t="shared" si="36"/>
        <v>Sanciones administrativas</v>
      </c>
      <c r="AT71" t="str">
        <f t="shared" si="37"/>
        <v>20Sanciones administrativas160247716,12</v>
      </c>
      <c r="AU71" t="str">
        <f>+_xlfn.XLOOKUP(AT71,CRUCE!J:J,CRUCE!M:M)</f>
        <v>READY</v>
      </c>
      <c r="AV71" t="s">
        <v>1907</v>
      </c>
      <c r="AW71" s="23">
        <f>+SUMIFS(CRUCE!D:D,CRUCE!A:A,'2022'!D71,CRUCE!B:B,'2022'!AS71)/COUNTIFS(D:D,D71,AS:AS,AS71)</f>
        <v>160247716.12</v>
      </c>
      <c r="AX71" s="23">
        <f t="shared" si="38"/>
        <v>160247716.12</v>
      </c>
      <c r="AY71" s="23">
        <f t="shared" si="39"/>
        <v>0</v>
      </c>
    </row>
    <row r="72" spans="1:51" x14ac:dyDescent="0.3">
      <c r="A72">
        <v>2022</v>
      </c>
      <c r="B72">
        <v>307</v>
      </c>
      <c r="C72">
        <v>11020300106</v>
      </c>
      <c r="D72" s="5">
        <v>20</v>
      </c>
      <c r="E72" s="8" t="s">
        <v>193</v>
      </c>
      <c r="F72">
        <v>11020300106</v>
      </c>
      <c r="G72" s="8" t="s">
        <v>194</v>
      </c>
      <c r="H72" t="s">
        <v>47</v>
      </c>
      <c r="I72" s="11">
        <v>10000000</v>
      </c>
      <c r="J72" s="11">
        <v>10000000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10000000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1183176</v>
      </c>
      <c r="X72" s="11">
        <v>0</v>
      </c>
      <c r="Y72" s="17">
        <v>1183176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1183176</v>
      </c>
      <c r="AG72" s="11">
        <v>0</v>
      </c>
      <c r="AH72" s="12">
        <v>1183176</v>
      </c>
      <c r="AI72" s="11">
        <v>1183176</v>
      </c>
      <c r="AJ72" s="11">
        <v>0</v>
      </c>
      <c r="AK72" s="11">
        <v>0</v>
      </c>
      <c r="AL72" s="11">
        <v>1183176</v>
      </c>
      <c r="AM72" s="11">
        <v>1183176</v>
      </c>
      <c r="AN72" s="11">
        <v>0</v>
      </c>
      <c r="AO72" s="11">
        <v>1183176</v>
      </c>
      <c r="AP72" s="11">
        <v>0</v>
      </c>
      <c r="AQ72" s="11">
        <v>0</v>
      </c>
      <c r="AR72" t="s">
        <v>57</v>
      </c>
      <c r="AS72" s="4" t="str">
        <f t="shared" si="36"/>
        <v>Sanciones fiscales</v>
      </c>
      <c r="AT72" t="str">
        <f t="shared" si="37"/>
        <v>20Sanciones fiscales1183176</v>
      </c>
      <c r="AU72" t="str">
        <f>+_xlfn.XLOOKUP(AT72,CRUCE!J:J,CRUCE!M:M)</f>
        <v>READY</v>
      </c>
      <c r="AV72" t="s">
        <v>1907</v>
      </c>
      <c r="AW72" s="23">
        <f>+SUMIFS(CRUCE!D:D,CRUCE!A:A,'2022'!D72,CRUCE!B:B,'2022'!AS72)/COUNTIFS(D:D,D72,AS:AS,AS72)</f>
        <v>1183176</v>
      </c>
      <c r="AX72" s="23">
        <f t="shared" si="38"/>
        <v>1183176</v>
      </c>
      <c r="AY72" s="23">
        <f t="shared" si="39"/>
        <v>0</v>
      </c>
    </row>
    <row r="73" spans="1:51" hidden="1" x14ac:dyDescent="0.3">
      <c r="A73">
        <v>2022</v>
      </c>
      <c r="B73">
        <v>307</v>
      </c>
      <c r="C73">
        <v>11020300111</v>
      </c>
      <c r="D73" s="5" t="s">
        <v>44</v>
      </c>
      <c r="E73" s="8" t="s">
        <v>197</v>
      </c>
      <c r="F73">
        <v>11020300111</v>
      </c>
      <c r="G73" s="8" t="s">
        <v>198</v>
      </c>
      <c r="H73" t="s">
        <v>47</v>
      </c>
      <c r="I73" s="11">
        <v>2382349720</v>
      </c>
      <c r="J73" s="11">
        <v>2382349720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2382349720</v>
      </c>
      <c r="Q73" s="11">
        <v>9564681129.7700005</v>
      </c>
      <c r="R73" s="11">
        <v>29643666.34</v>
      </c>
      <c r="S73" s="11">
        <v>9535037463.4300003</v>
      </c>
      <c r="T73" s="11">
        <v>0</v>
      </c>
      <c r="U73" s="11">
        <v>0</v>
      </c>
      <c r="V73" s="11">
        <v>0</v>
      </c>
      <c r="W73" s="11">
        <v>3480566536.8699999</v>
      </c>
      <c r="X73" s="11">
        <v>53576921.969999999</v>
      </c>
      <c r="Y73" s="17">
        <v>3426989614.9000001</v>
      </c>
      <c r="Z73" s="11">
        <v>9564681129.7700005</v>
      </c>
      <c r="AA73" s="11">
        <v>29643666.34</v>
      </c>
      <c r="AB73" s="11">
        <v>9535037463.4300003</v>
      </c>
      <c r="AC73" s="11">
        <v>0</v>
      </c>
      <c r="AD73" s="11">
        <v>0</v>
      </c>
      <c r="AE73" s="11">
        <v>0</v>
      </c>
      <c r="AF73" s="11">
        <v>3480566536.8699999</v>
      </c>
      <c r="AG73" s="11">
        <v>53576921.969999999</v>
      </c>
      <c r="AH73" s="12">
        <v>3426989614.9000001</v>
      </c>
      <c r="AI73" s="11">
        <v>3426989614.9000001</v>
      </c>
      <c r="AJ73" s="11">
        <v>0</v>
      </c>
      <c r="AK73" s="11">
        <v>0</v>
      </c>
      <c r="AL73" s="11">
        <v>3434724706.8699999</v>
      </c>
      <c r="AM73" s="11">
        <v>3480566536.8699999</v>
      </c>
      <c r="AN73" s="11">
        <v>45841830</v>
      </c>
      <c r="AO73" s="11">
        <v>3480566536.8699999</v>
      </c>
      <c r="AP73" s="11">
        <v>0</v>
      </c>
      <c r="AQ73" s="11">
        <v>45841830</v>
      </c>
      <c r="AR73" t="s">
        <v>48</v>
      </c>
      <c r="AS73"/>
      <c r="AW73"/>
      <c r="AX73"/>
      <c r="AY73"/>
    </row>
    <row r="74" spans="1:51" x14ac:dyDescent="0.3">
      <c r="A74">
        <v>2022</v>
      </c>
      <c r="B74">
        <v>307</v>
      </c>
      <c r="C74">
        <v>1102030011101</v>
      </c>
      <c r="D74" s="5">
        <v>20</v>
      </c>
      <c r="E74" s="8" t="s">
        <v>1073</v>
      </c>
      <c r="F74">
        <v>1102030011101</v>
      </c>
      <c r="G74" s="8" t="s">
        <v>205</v>
      </c>
      <c r="H74" t="s">
        <v>47</v>
      </c>
      <c r="I74" s="11">
        <v>2382349720</v>
      </c>
      <c r="J74" s="11">
        <v>2382349720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2382349720</v>
      </c>
      <c r="Q74" s="11">
        <v>9564681129.7700005</v>
      </c>
      <c r="R74" s="11">
        <v>29643666.34</v>
      </c>
      <c r="S74" s="11">
        <v>9535037463.4300003</v>
      </c>
      <c r="T74" s="11">
        <v>0</v>
      </c>
      <c r="U74" s="11">
        <v>0</v>
      </c>
      <c r="V74" s="11">
        <v>0</v>
      </c>
      <c r="W74" s="11">
        <v>3480566536.8699999</v>
      </c>
      <c r="X74" s="11">
        <v>53576921.969999999</v>
      </c>
      <c r="Y74" s="17">
        <v>3426989614.9000001</v>
      </c>
      <c r="Z74" s="11">
        <v>9564681129.7700005</v>
      </c>
      <c r="AA74" s="11">
        <v>29643666.34</v>
      </c>
      <c r="AB74" s="11">
        <v>9535037463.4300003</v>
      </c>
      <c r="AC74" s="11">
        <v>0</v>
      </c>
      <c r="AD74" s="11">
        <v>0</v>
      </c>
      <c r="AE74" s="11">
        <v>0</v>
      </c>
      <c r="AF74" s="11">
        <v>3480566536.8699999</v>
      </c>
      <c r="AG74" s="11">
        <v>53576921.969999999</v>
      </c>
      <c r="AH74" s="12">
        <v>3426989614.9000001</v>
      </c>
      <c r="AI74" s="11">
        <v>3426989614.9000001</v>
      </c>
      <c r="AJ74" s="11">
        <v>0</v>
      </c>
      <c r="AK74" s="11">
        <v>0</v>
      </c>
      <c r="AL74" s="11">
        <v>3434724706.8699999</v>
      </c>
      <c r="AM74" s="11">
        <v>3480566536.8699999</v>
      </c>
      <c r="AN74" s="11">
        <v>45841830</v>
      </c>
      <c r="AO74" s="11">
        <v>3480566536.8699999</v>
      </c>
      <c r="AP74" s="11">
        <v>0</v>
      </c>
      <c r="AQ74" s="11">
        <v>45841830</v>
      </c>
      <c r="AR74" t="s">
        <v>57</v>
      </c>
      <c r="AS74" s="4" t="str">
        <f t="shared" ref="AS74:AS76" si="40">+G74</f>
        <v>Impuesto sobre vehículos automotores (Sanciones )</v>
      </c>
      <c r="AT74" t="str">
        <f t="shared" ref="AT74:AT76" si="41">+D74&amp;AS74&amp;Y74</f>
        <v>20Impuesto sobre vehículos automotores (Sanciones )3426989614,9</v>
      </c>
      <c r="AU74" t="str">
        <f>+_xlfn.XLOOKUP(AT74,CRUCE!J:J,CRUCE!M:M)</f>
        <v>READY</v>
      </c>
      <c r="AV74" t="s">
        <v>1907</v>
      </c>
      <c r="AW74" s="23">
        <f>+SUMIFS(CRUCE!D:D,CRUCE!A:A,'2022'!D74,CRUCE!B:B,'2022'!AS74)/COUNTIFS(D:D,D74,AS:AS,AS74)</f>
        <v>3426989614.9000001</v>
      </c>
      <c r="AX74" s="23">
        <f t="shared" ref="AX74:AX76" si="42">+SUMIFS(Y:Y,D:D,D74,AS:AS,AS74)/COUNTIFS(D:D,D74,AS:AS,AS74)</f>
        <v>3426989614.9000001</v>
      </c>
      <c r="AY74" s="23">
        <f t="shared" ref="AY74:AY76" si="43">+AW74-AX74</f>
        <v>0</v>
      </c>
    </row>
    <row r="75" spans="1:51" x14ac:dyDescent="0.3">
      <c r="A75">
        <v>2022</v>
      </c>
      <c r="B75">
        <v>307</v>
      </c>
      <c r="C75">
        <v>11020300113</v>
      </c>
      <c r="D75" s="5">
        <v>20</v>
      </c>
      <c r="E75" s="8" t="s">
        <v>206</v>
      </c>
      <c r="F75">
        <v>11020300113</v>
      </c>
      <c r="G75" s="8" t="s">
        <v>207</v>
      </c>
      <c r="H75" t="s">
        <v>47</v>
      </c>
      <c r="I75" s="11">
        <v>3000000</v>
      </c>
      <c r="J75" s="11">
        <v>3000000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3000000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7352396</v>
      </c>
      <c r="X75" s="11">
        <v>0</v>
      </c>
      <c r="Y75" s="17">
        <v>7352396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7352396</v>
      </c>
      <c r="AG75" s="11">
        <v>0</v>
      </c>
      <c r="AH75" s="12">
        <v>7352396</v>
      </c>
      <c r="AI75" s="11">
        <v>7352396</v>
      </c>
      <c r="AJ75" s="11">
        <v>0</v>
      </c>
      <c r="AK75" s="11">
        <v>0</v>
      </c>
      <c r="AL75" s="11">
        <v>7352396</v>
      </c>
      <c r="AM75" s="11">
        <v>7352396</v>
      </c>
      <c r="AN75" s="11">
        <v>0</v>
      </c>
      <c r="AO75" s="11">
        <v>7352396</v>
      </c>
      <c r="AP75" s="11">
        <v>0</v>
      </c>
      <c r="AQ75" s="11">
        <v>0</v>
      </c>
      <c r="AR75" t="s">
        <v>57</v>
      </c>
      <c r="AS75" s="4" t="str">
        <f t="shared" si="40"/>
        <v>Sanciones sanitarias</v>
      </c>
      <c r="AT75" t="str">
        <f t="shared" si="41"/>
        <v>20Sanciones sanitarias7352396</v>
      </c>
      <c r="AU75" t="str">
        <f>+_xlfn.XLOOKUP(AT75,CRUCE!J:J,CRUCE!M:M)</f>
        <v>READY</v>
      </c>
      <c r="AV75" t="s">
        <v>1907</v>
      </c>
      <c r="AW75" s="23">
        <f>+SUMIFS(CRUCE!D:D,CRUCE!A:A,'2022'!D75,CRUCE!B:B,'2022'!AS75)/COUNTIFS(D:D,D75,AS:AS,AS75)</f>
        <v>7352396</v>
      </c>
      <c r="AX75" s="23">
        <f t="shared" si="42"/>
        <v>7352396</v>
      </c>
      <c r="AY75" s="23">
        <f t="shared" si="43"/>
        <v>0</v>
      </c>
    </row>
    <row r="76" spans="1:51" x14ac:dyDescent="0.3">
      <c r="A76">
        <v>2022</v>
      </c>
      <c r="B76">
        <v>307</v>
      </c>
      <c r="C76">
        <v>11020300118</v>
      </c>
      <c r="D76" s="5">
        <v>20</v>
      </c>
      <c r="E76" s="8" t="s">
        <v>210</v>
      </c>
      <c r="F76">
        <v>11020300118</v>
      </c>
      <c r="G76" s="8" t="s">
        <v>211</v>
      </c>
      <c r="H76" t="s">
        <v>47</v>
      </c>
      <c r="I76" s="11">
        <v>1000000</v>
      </c>
      <c r="J76" s="11">
        <v>1000000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1000000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2508943</v>
      </c>
      <c r="X76" s="11">
        <v>0</v>
      </c>
      <c r="Y76" s="17">
        <v>2508943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2508943</v>
      </c>
      <c r="AG76" s="11">
        <v>0</v>
      </c>
      <c r="AH76" s="12">
        <v>2508943</v>
      </c>
      <c r="AI76" s="11">
        <v>2508943</v>
      </c>
      <c r="AJ76" s="11">
        <v>0</v>
      </c>
      <c r="AK76" s="11">
        <v>0</v>
      </c>
      <c r="AL76" s="11">
        <v>2508943</v>
      </c>
      <c r="AM76" s="11">
        <v>2508943</v>
      </c>
      <c r="AN76" s="11">
        <v>0</v>
      </c>
      <c r="AO76" s="11">
        <v>2508943</v>
      </c>
      <c r="AP76" s="11">
        <v>0</v>
      </c>
      <c r="AQ76" s="11">
        <v>0</v>
      </c>
      <c r="AR76" t="s">
        <v>57</v>
      </c>
      <c r="AS76" s="4" t="str">
        <f t="shared" si="40"/>
        <v>Multas y sanciones por violación al régimen de venta de medicamentos controlados</v>
      </c>
      <c r="AT76" t="str">
        <f t="shared" si="41"/>
        <v>20Multas y sanciones por violación al régimen de venta de medicamentos controlados2508943</v>
      </c>
      <c r="AU76" t="str">
        <f>+_xlfn.XLOOKUP(AT76,CRUCE!J:J,CRUCE!M:M)</f>
        <v>READY</v>
      </c>
      <c r="AV76" t="s">
        <v>1907</v>
      </c>
      <c r="AW76" s="23">
        <f>+SUMIFS(CRUCE!D:D,CRUCE!A:A,'2022'!D76,CRUCE!B:B,'2022'!AS76)/COUNTIFS(D:D,D76,AS:AS,AS76)</f>
        <v>2508943</v>
      </c>
      <c r="AX76" s="23">
        <f t="shared" si="42"/>
        <v>2508943</v>
      </c>
      <c r="AY76" s="23">
        <f t="shared" si="43"/>
        <v>0</v>
      </c>
    </row>
    <row r="77" spans="1:51" hidden="1" x14ac:dyDescent="0.3">
      <c r="A77">
        <v>2022</v>
      </c>
      <c r="B77">
        <v>307</v>
      </c>
      <c r="C77">
        <v>110203002</v>
      </c>
      <c r="D77" s="5" t="s">
        <v>44</v>
      </c>
      <c r="E77" s="8" t="s">
        <v>212</v>
      </c>
      <c r="F77">
        <v>110203002</v>
      </c>
      <c r="G77" s="8" t="s">
        <v>213</v>
      </c>
      <c r="H77" t="s">
        <v>47</v>
      </c>
      <c r="I77" s="11">
        <v>1368223930</v>
      </c>
      <c r="J77" s="11">
        <v>1368223930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1368223930</v>
      </c>
      <c r="Q77" s="11">
        <v>4987711958.0500002</v>
      </c>
      <c r="R77" s="11">
        <v>1716219.2</v>
      </c>
      <c r="S77" s="11">
        <v>4985995738.8500004</v>
      </c>
      <c r="T77" s="11">
        <v>0</v>
      </c>
      <c r="U77" s="11">
        <v>0</v>
      </c>
      <c r="V77" s="11">
        <v>0</v>
      </c>
      <c r="W77" s="11">
        <v>799278573.28999996</v>
      </c>
      <c r="X77" s="11">
        <v>38167964.759999998</v>
      </c>
      <c r="Y77" s="17">
        <v>761110608.52999997</v>
      </c>
      <c r="Z77" s="11">
        <v>4987711958.0500002</v>
      </c>
      <c r="AA77" s="11">
        <v>1716219.2</v>
      </c>
      <c r="AB77" s="11">
        <v>4985995738.8500004</v>
      </c>
      <c r="AC77" s="11">
        <v>0</v>
      </c>
      <c r="AD77" s="11">
        <v>0</v>
      </c>
      <c r="AE77" s="11">
        <v>0</v>
      </c>
      <c r="AF77" s="11">
        <v>799278573.28999996</v>
      </c>
      <c r="AG77" s="11">
        <v>38167964.759999998</v>
      </c>
      <c r="AH77" s="12">
        <v>761110608.52999997</v>
      </c>
      <c r="AI77" s="11">
        <v>761110608.52999997</v>
      </c>
      <c r="AJ77" s="11">
        <v>0</v>
      </c>
      <c r="AK77" s="11">
        <v>0</v>
      </c>
      <c r="AL77" s="11">
        <v>765523660.28999996</v>
      </c>
      <c r="AM77" s="11">
        <v>799278573.28999996</v>
      </c>
      <c r="AN77" s="11">
        <v>33754913</v>
      </c>
      <c r="AO77" s="11">
        <v>799278573.28999996</v>
      </c>
      <c r="AP77" s="11">
        <v>0</v>
      </c>
      <c r="AQ77" s="11">
        <v>33754913</v>
      </c>
      <c r="AR77" t="s">
        <v>48</v>
      </c>
      <c r="AS77"/>
      <c r="AW77"/>
      <c r="AX77"/>
      <c r="AY77"/>
    </row>
    <row r="78" spans="1:51" hidden="1" x14ac:dyDescent="0.3">
      <c r="A78">
        <v>2022</v>
      </c>
      <c r="B78">
        <v>307</v>
      </c>
      <c r="C78">
        <v>11020300201</v>
      </c>
      <c r="D78" s="5" t="s">
        <v>44</v>
      </c>
      <c r="E78" s="8" t="s">
        <v>214</v>
      </c>
      <c r="F78">
        <v>11020300201</v>
      </c>
      <c r="G78" s="8" t="s">
        <v>46</v>
      </c>
      <c r="H78" t="s">
        <v>47</v>
      </c>
      <c r="I78" s="11">
        <v>1368223930</v>
      </c>
      <c r="J78" s="11">
        <v>1368223930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1368223930</v>
      </c>
      <c r="Q78" s="11">
        <v>4987711958.0500002</v>
      </c>
      <c r="R78" s="11">
        <v>1716219.2</v>
      </c>
      <c r="S78" s="11">
        <v>4985995738.8500004</v>
      </c>
      <c r="T78" s="11">
        <v>0</v>
      </c>
      <c r="U78" s="11">
        <v>0</v>
      </c>
      <c r="V78" s="11">
        <v>0</v>
      </c>
      <c r="W78" s="11">
        <v>799278573.28999996</v>
      </c>
      <c r="X78" s="11">
        <v>38167964.759999998</v>
      </c>
      <c r="Y78" s="17">
        <v>761110608.52999997</v>
      </c>
      <c r="Z78" s="11">
        <v>4987711958.0500002</v>
      </c>
      <c r="AA78" s="11">
        <v>1716219.2</v>
      </c>
      <c r="AB78" s="11">
        <v>4985995738.8500004</v>
      </c>
      <c r="AC78" s="11">
        <v>0</v>
      </c>
      <c r="AD78" s="11">
        <v>0</v>
      </c>
      <c r="AE78" s="11">
        <v>0</v>
      </c>
      <c r="AF78" s="11">
        <v>799278573.28999996</v>
      </c>
      <c r="AG78" s="11">
        <v>38167964.759999998</v>
      </c>
      <c r="AH78" s="12">
        <v>761110608.52999997</v>
      </c>
      <c r="AI78" s="11">
        <v>761110608.52999997</v>
      </c>
      <c r="AJ78" s="11">
        <v>0</v>
      </c>
      <c r="AK78" s="11">
        <v>0</v>
      </c>
      <c r="AL78" s="11">
        <v>765523660.28999996</v>
      </c>
      <c r="AM78" s="11">
        <v>799278573.28999996</v>
      </c>
      <c r="AN78" s="11">
        <v>33754913</v>
      </c>
      <c r="AO78" s="11">
        <v>799278573.28999996</v>
      </c>
      <c r="AP78" s="11">
        <v>0</v>
      </c>
      <c r="AQ78" s="11">
        <v>33754913</v>
      </c>
      <c r="AR78" t="s">
        <v>48</v>
      </c>
      <c r="AS78"/>
      <c r="AW78"/>
      <c r="AX78"/>
      <c r="AY78"/>
    </row>
    <row r="79" spans="1:51" hidden="1" x14ac:dyDescent="0.3">
      <c r="A79">
        <v>2022</v>
      </c>
      <c r="B79">
        <v>307</v>
      </c>
      <c r="C79">
        <v>1102030020101</v>
      </c>
      <c r="D79" s="5" t="s">
        <v>44</v>
      </c>
      <c r="E79" s="8" t="s">
        <v>215</v>
      </c>
      <c r="F79">
        <v>1102030020101</v>
      </c>
      <c r="G79" s="8" t="s">
        <v>50</v>
      </c>
      <c r="H79" t="s">
        <v>47</v>
      </c>
      <c r="I79" s="11">
        <v>1368223930</v>
      </c>
      <c r="J79" s="11">
        <v>1368223930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1368223930</v>
      </c>
      <c r="Q79" s="11">
        <v>4987711958.0500002</v>
      </c>
      <c r="R79" s="11">
        <v>1716219.2</v>
      </c>
      <c r="S79" s="11">
        <v>4985995738.8500004</v>
      </c>
      <c r="T79" s="11">
        <v>0</v>
      </c>
      <c r="U79" s="11">
        <v>0</v>
      </c>
      <c r="V79" s="11">
        <v>0</v>
      </c>
      <c r="W79" s="11">
        <v>799278573.28999996</v>
      </c>
      <c r="X79" s="11">
        <v>38167964.759999998</v>
      </c>
      <c r="Y79" s="17">
        <v>761110608.52999997</v>
      </c>
      <c r="Z79" s="11">
        <v>4987711958.0500002</v>
      </c>
      <c r="AA79" s="11">
        <v>1716219.2</v>
      </c>
      <c r="AB79" s="11">
        <v>4985995738.8500004</v>
      </c>
      <c r="AC79" s="11">
        <v>0</v>
      </c>
      <c r="AD79" s="11">
        <v>0</v>
      </c>
      <c r="AE79" s="11">
        <v>0</v>
      </c>
      <c r="AF79" s="11">
        <v>799278573.28999996</v>
      </c>
      <c r="AG79" s="11">
        <v>38167964.759999998</v>
      </c>
      <c r="AH79" s="12">
        <v>761110608.52999997</v>
      </c>
      <c r="AI79" s="11">
        <v>761110608.52999997</v>
      </c>
      <c r="AJ79" s="11">
        <v>0</v>
      </c>
      <c r="AK79" s="11">
        <v>0</v>
      </c>
      <c r="AL79" s="11">
        <v>765523660.28999996</v>
      </c>
      <c r="AM79" s="11">
        <v>799278573.28999996</v>
      </c>
      <c r="AN79" s="11">
        <v>33754913</v>
      </c>
      <c r="AO79" s="11">
        <v>799278573.28999996</v>
      </c>
      <c r="AP79" s="11">
        <v>0</v>
      </c>
      <c r="AQ79" s="11">
        <v>33754913</v>
      </c>
      <c r="AR79" t="s">
        <v>48</v>
      </c>
      <c r="AS79"/>
      <c r="AW79"/>
      <c r="AX79"/>
      <c r="AY79"/>
    </row>
    <row r="80" spans="1:51" hidden="1" x14ac:dyDescent="0.3">
      <c r="A80">
        <v>2022</v>
      </c>
      <c r="B80">
        <v>307</v>
      </c>
      <c r="C80">
        <v>110203002010101</v>
      </c>
      <c r="D80" s="5" t="s">
        <v>44</v>
      </c>
      <c r="E80" s="8" t="s">
        <v>216</v>
      </c>
      <c r="F80">
        <v>110203002010101</v>
      </c>
      <c r="G80" s="8" t="s">
        <v>202</v>
      </c>
      <c r="H80" t="s">
        <v>47</v>
      </c>
      <c r="I80" s="11">
        <v>1368223930</v>
      </c>
      <c r="J80" s="11">
        <v>1368223930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1368223930</v>
      </c>
      <c r="Q80" s="11">
        <v>4987711958.0500002</v>
      </c>
      <c r="R80" s="11">
        <v>1716219.2</v>
      </c>
      <c r="S80" s="11">
        <v>4985995738.8500004</v>
      </c>
      <c r="T80" s="11">
        <v>0</v>
      </c>
      <c r="U80" s="11">
        <v>0</v>
      </c>
      <c r="V80" s="11">
        <v>0</v>
      </c>
      <c r="W80" s="11">
        <v>799278573.28999996</v>
      </c>
      <c r="X80" s="11">
        <v>38167964.759999998</v>
      </c>
      <c r="Y80" s="17">
        <v>761110608.52999997</v>
      </c>
      <c r="Z80" s="11">
        <v>4987711958.0500002</v>
      </c>
      <c r="AA80" s="11">
        <v>1716219.2</v>
      </c>
      <c r="AB80" s="11">
        <v>4985995738.8500004</v>
      </c>
      <c r="AC80" s="11">
        <v>0</v>
      </c>
      <c r="AD80" s="11">
        <v>0</v>
      </c>
      <c r="AE80" s="11">
        <v>0</v>
      </c>
      <c r="AF80" s="11">
        <v>799278573.28999996</v>
      </c>
      <c r="AG80" s="11">
        <v>38167964.759999998</v>
      </c>
      <c r="AH80" s="12">
        <v>761110608.52999997</v>
      </c>
      <c r="AI80" s="11">
        <v>761110608.52999997</v>
      </c>
      <c r="AJ80" s="11">
        <v>0</v>
      </c>
      <c r="AK80" s="11">
        <v>0</v>
      </c>
      <c r="AL80" s="11">
        <v>765523660.28999996</v>
      </c>
      <c r="AM80" s="11">
        <v>799278573.28999996</v>
      </c>
      <c r="AN80" s="11">
        <v>33754913</v>
      </c>
      <c r="AO80" s="11">
        <v>799278573.28999996</v>
      </c>
      <c r="AP80" s="11">
        <v>0</v>
      </c>
      <c r="AQ80" s="11">
        <v>33754913</v>
      </c>
      <c r="AR80" t="s">
        <v>48</v>
      </c>
      <c r="AS80"/>
      <c r="AW80"/>
      <c r="AX80"/>
      <c r="AY80"/>
    </row>
    <row r="81" spans="1:51" hidden="1" x14ac:dyDescent="0.3">
      <c r="A81">
        <v>2022</v>
      </c>
      <c r="B81">
        <v>307</v>
      </c>
      <c r="C81">
        <v>1.1020300201010099E+17</v>
      </c>
      <c r="D81" s="5" t="s">
        <v>44</v>
      </c>
      <c r="E81" s="8" t="s">
        <v>1074</v>
      </c>
      <c r="F81">
        <v>1.1020300201010099E+17</v>
      </c>
      <c r="G81" s="8" t="s">
        <v>218</v>
      </c>
      <c r="H81" t="s">
        <v>47</v>
      </c>
      <c r="I81" s="11">
        <v>1368223930</v>
      </c>
      <c r="J81" s="11">
        <v>1368223930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1368223930</v>
      </c>
      <c r="Q81" s="11">
        <v>4987711958.0500002</v>
      </c>
      <c r="R81" s="11">
        <v>1716219.2</v>
      </c>
      <c r="S81" s="11">
        <v>4985995738.8500004</v>
      </c>
      <c r="T81" s="11">
        <v>0</v>
      </c>
      <c r="U81" s="11">
        <v>0</v>
      </c>
      <c r="V81" s="11">
        <v>0</v>
      </c>
      <c r="W81" s="11">
        <v>799278573.28999996</v>
      </c>
      <c r="X81" s="11">
        <v>38167964.759999998</v>
      </c>
      <c r="Y81" s="17">
        <v>761110608.52999997</v>
      </c>
      <c r="Z81" s="11">
        <v>4987711958.0500002</v>
      </c>
      <c r="AA81" s="11">
        <v>1716219.2</v>
      </c>
      <c r="AB81" s="11">
        <v>4985995738.8500004</v>
      </c>
      <c r="AC81" s="11">
        <v>0</v>
      </c>
      <c r="AD81" s="11">
        <v>0</v>
      </c>
      <c r="AE81" s="11">
        <v>0</v>
      </c>
      <c r="AF81" s="11">
        <v>799278573.28999996</v>
      </c>
      <c r="AG81" s="11">
        <v>38167964.759999998</v>
      </c>
      <c r="AH81" s="12">
        <v>761110608.52999997</v>
      </c>
      <c r="AI81" s="11">
        <v>761110608.52999997</v>
      </c>
      <c r="AJ81" s="11">
        <v>0</v>
      </c>
      <c r="AK81" s="11">
        <v>0</v>
      </c>
      <c r="AL81" s="11">
        <v>765523660.28999996</v>
      </c>
      <c r="AM81" s="11">
        <v>799278573.28999996</v>
      </c>
      <c r="AN81" s="11">
        <v>33754913</v>
      </c>
      <c r="AO81" s="11">
        <v>799278573.28999996</v>
      </c>
      <c r="AP81" s="11">
        <v>0</v>
      </c>
      <c r="AQ81" s="11">
        <v>33754913</v>
      </c>
      <c r="AR81" t="s">
        <v>48</v>
      </c>
      <c r="AS81"/>
      <c r="AW81"/>
      <c r="AX81"/>
      <c r="AY81"/>
    </row>
    <row r="82" spans="1:51" x14ac:dyDescent="0.3">
      <c r="A82">
        <v>2022</v>
      </c>
      <c r="B82">
        <v>307</v>
      </c>
      <c r="C82">
        <v>1.1020300201010101E+20</v>
      </c>
      <c r="D82" s="5">
        <v>20</v>
      </c>
      <c r="E82" s="8" t="s">
        <v>219</v>
      </c>
      <c r="F82">
        <v>1.1020300201010101E+20</v>
      </c>
      <c r="G82" s="8" t="s">
        <v>220</v>
      </c>
      <c r="H82" t="s">
        <v>47</v>
      </c>
      <c r="I82" s="11">
        <v>1368223930</v>
      </c>
      <c r="J82" s="11">
        <v>1368223930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1368223930</v>
      </c>
      <c r="Q82" s="11">
        <v>4987711958.0500002</v>
      </c>
      <c r="R82" s="11">
        <v>1716219.2</v>
      </c>
      <c r="S82" s="11">
        <v>4985995738.8500004</v>
      </c>
      <c r="T82" s="11">
        <v>0</v>
      </c>
      <c r="U82" s="11">
        <v>0</v>
      </c>
      <c r="V82" s="11">
        <v>0</v>
      </c>
      <c r="W82" s="11">
        <v>799278573.28999996</v>
      </c>
      <c r="X82" s="11">
        <v>38167964.759999998</v>
      </c>
      <c r="Y82" s="17">
        <v>761110608.52999997</v>
      </c>
      <c r="Z82" s="11">
        <v>4987711958.0500002</v>
      </c>
      <c r="AA82" s="11">
        <v>1716219.2</v>
      </c>
      <c r="AB82" s="11">
        <v>4985995738.8500004</v>
      </c>
      <c r="AC82" s="11">
        <v>0</v>
      </c>
      <c r="AD82" s="11">
        <v>0</v>
      </c>
      <c r="AE82" s="11">
        <v>0</v>
      </c>
      <c r="AF82" s="11">
        <v>799278573.28999996</v>
      </c>
      <c r="AG82" s="11">
        <v>38167964.759999998</v>
      </c>
      <c r="AH82" s="12">
        <v>761110608.52999997</v>
      </c>
      <c r="AI82" s="11">
        <v>761110608.52999997</v>
      </c>
      <c r="AJ82" s="11">
        <v>0</v>
      </c>
      <c r="AK82" s="11">
        <v>0</v>
      </c>
      <c r="AL82" s="11">
        <v>765523660.28999996</v>
      </c>
      <c r="AM82" s="11">
        <v>799278573.28999996</v>
      </c>
      <c r="AN82" s="11">
        <v>33754913</v>
      </c>
      <c r="AO82" s="11">
        <v>799278573.28999996</v>
      </c>
      <c r="AP82" s="11">
        <v>0</v>
      </c>
      <c r="AQ82" s="11">
        <v>33754913</v>
      </c>
      <c r="AR82" t="s">
        <v>57</v>
      </c>
      <c r="AS82" s="4" t="str">
        <f>+G82</f>
        <v>Impuesto sobre vehículos automotores (Intereses de Mora)</v>
      </c>
      <c r="AT82" t="str">
        <f>+D82&amp;AS82&amp;Y82</f>
        <v>20Impuesto sobre vehículos automotores (Intereses de Mora)761110608,53</v>
      </c>
      <c r="AU82" t="str">
        <f>+_xlfn.XLOOKUP(AT82,CRUCE!J:J,CRUCE!M:M)</f>
        <v>READY</v>
      </c>
      <c r="AV82" t="s">
        <v>1907</v>
      </c>
      <c r="AW82" s="23">
        <f>+SUMIFS(CRUCE!D:D,CRUCE!A:A,'2022'!D82,CRUCE!B:B,'2022'!AS82)/COUNTIFS(D:D,D82,AS:AS,AS82)</f>
        <v>761110608.52999997</v>
      </c>
      <c r="AX82" s="23">
        <f>+SUMIFS(Y:Y,D:D,D82,AS:AS,AS82)/COUNTIFS(D:D,D82,AS:AS,AS82)</f>
        <v>761110608.52999997</v>
      </c>
      <c r="AY82" s="23">
        <f>+AW82-AX82</f>
        <v>0</v>
      </c>
    </row>
    <row r="83" spans="1:51" hidden="1" x14ac:dyDescent="0.3">
      <c r="A83">
        <v>2022</v>
      </c>
      <c r="B83">
        <v>307</v>
      </c>
      <c r="C83">
        <v>110205</v>
      </c>
      <c r="D83" s="5" t="s">
        <v>44</v>
      </c>
      <c r="E83" s="8" t="s">
        <v>221</v>
      </c>
      <c r="F83">
        <v>110205</v>
      </c>
      <c r="G83" s="8" t="s">
        <v>222</v>
      </c>
      <c r="H83" t="s">
        <v>47</v>
      </c>
      <c r="I83" s="11">
        <v>435287619</v>
      </c>
      <c r="J83" s="11">
        <v>435287619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435287619</v>
      </c>
      <c r="Q83" s="11">
        <v>315902140.49000001</v>
      </c>
      <c r="R83" s="11">
        <v>6884843.8099999996</v>
      </c>
      <c r="S83" s="11">
        <v>309017296.68000001</v>
      </c>
      <c r="T83" s="11">
        <v>0</v>
      </c>
      <c r="U83" s="11">
        <v>0</v>
      </c>
      <c r="V83" s="11">
        <v>0</v>
      </c>
      <c r="W83" s="11">
        <v>323092255.88</v>
      </c>
      <c r="X83" s="11">
        <v>4433586.75</v>
      </c>
      <c r="Y83" s="17">
        <v>318658669.13</v>
      </c>
      <c r="Z83" s="11">
        <v>315902140.49000001</v>
      </c>
      <c r="AA83" s="11">
        <v>6884843.8099999996</v>
      </c>
      <c r="AB83" s="11">
        <v>309017296.68000001</v>
      </c>
      <c r="AC83" s="11">
        <v>0</v>
      </c>
      <c r="AD83" s="11">
        <v>0</v>
      </c>
      <c r="AE83" s="11">
        <v>0</v>
      </c>
      <c r="AF83" s="11">
        <v>323092255.88</v>
      </c>
      <c r="AG83" s="11">
        <v>4433586.75</v>
      </c>
      <c r="AH83" s="12">
        <v>318658669.13</v>
      </c>
      <c r="AI83" s="11">
        <v>318658669.13</v>
      </c>
      <c r="AJ83" s="11">
        <v>0</v>
      </c>
      <c r="AK83" s="11">
        <v>0</v>
      </c>
      <c r="AL83" s="11">
        <v>318658669.13</v>
      </c>
      <c r="AM83" s="11">
        <v>322825555.88</v>
      </c>
      <c r="AN83" s="11">
        <v>4166886.75</v>
      </c>
      <c r="AO83" s="11">
        <v>322825555.88</v>
      </c>
      <c r="AP83" s="11">
        <v>0</v>
      </c>
      <c r="AQ83" s="11">
        <v>4166886.75</v>
      </c>
      <c r="AR83" t="s">
        <v>48</v>
      </c>
      <c r="AS83"/>
      <c r="AW83"/>
      <c r="AX83"/>
      <c r="AY83"/>
    </row>
    <row r="84" spans="1:51" hidden="1" x14ac:dyDescent="0.3">
      <c r="A84">
        <v>2022</v>
      </c>
      <c r="B84">
        <v>307</v>
      </c>
      <c r="C84">
        <v>110205001</v>
      </c>
      <c r="D84" s="5" t="s">
        <v>44</v>
      </c>
      <c r="E84" s="8" t="s">
        <v>223</v>
      </c>
      <c r="F84">
        <v>110205001</v>
      </c>
      <c r="G84" s="8" t="s">
        <v>224</v>
      </c>
      <c r="H84" t="s">
        <v>47</v>
      </c>
      <c r="I84" s="11">
        <v>72000000</v>
      </c>
      <c r="J84" s="11">
        <v>72000000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72000000</v>
      </c>
      <c r="Q84" s="11">
        <v>135574188.72</v>
      </c>
      <c r="R84" s="11">
        <v>3918567</v>
      </c>
      <c r="S84" s="11">
        <v>131655621.72</v>
      </c>
      <c r="T84" s="11">
        <v>0</v>
      </c>
      <c r="U84" s="11">
        <v>0</v>
      </c>
      <c r="V84" s="11">
        <v>0</v>
      </c>
      <c r="W84" s="11">
        <v>137748086.53</v>
      </c>
      <c r="X84" s="11">
        <v>1152993.75</v>
      </c>
      <c r="Y84" s="17">
        <v>136595092.78</v>
      </c>
      <c r="Z84" s="11">
        <v>135574188.72</v>
      </c>
      <c r="AA84" s="11">
        <v>3918567</v>
      </c>
      <c r="AB84" s="11">
        <v>131655621.72</v>
      </c>
      <c r="AC84" s="11">
        <v>0</v>
      </c>
      <c r="AD84" s="11">
        <v>0</v>
      </c>
      <c r="AE84" s="11">
        <v>0</v>
      </c>
      <c r="AF84" s="11">
        <v>137748086.53</v>
      </c>
      <c r="AG84" s="11">
        <v>1152993.75</v>
      </c>
      <c r="AH84" s="12">
        <v>136595092.78</v>
      </c>
      <c r="AI84" s="11">
        <v>136595092.78</v>
      </c>
      <c r="AJ84" s="11">
        <v>0</v>
      </c>
      <c r="AK84" s="11">
        <v>0</v>
      </c>
      <c r="AL84" s="11">
        <v>136595092.78</v>
      </c>
      <c r="AM84" s="11">
        <v>137481386.53</v>
      </c>
      <c r="AN84" s="11">
        <v>886293.75</v>
      </c>
      <c r="AO84" s="11">
        <v>137481386.53</v>
      </c>
      <c r="AP84" s="11">
        <v>0</v>
      </c>
      <c r="AQ84" s="11">
        <v>886293.75</v>
      </c>
      <c r="AR84" t="s">
        <v>48</v>
      </c>
      <c r="AS84"/>
      <c r="AW84"/>
      <c r="AX84"/>
      <c r="AY84"/>
    </row>
    <row r="85" spans="1:51" x14ac:dyDescent="0.3">
      <c r="A85">
        <v>2022</v>
      </c>
      <c r="B85">
        <v>307</v>
      </c>
      <c r="C85">
        <v>11020500109</v>
      </c>
      <c r="D85" s="5">
        <v>20</v>
      </c>
      <c r="E85" s="8" t="s">
        <v>225</v>
      </c>
      <c r="F85">
        <v>11020500109</v>
      </c>
      <c r="G85" s="8" t="s">
        <v>226</v>
      </c>
      <c r="H85" t="s">
        <v>47</v>
      </c>
      <c r="I85" s="11">
        <v>72000000</v>
      </c>
      <c r="J85" s="11">
        <v>72000000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72000000</v>
      </c>
      <c r="Q85" s="11">
        <v>135574188.72</v>
      </c>
      <c r="R85" s="11">
        <v>3918567</v>
      </c>
      <c r="S85" s="11">
        <v>131655621.72</v>
      </c>
      <c r="T85" s="11">
        <v>0</v>
      </c>
      <c r="U85" s="11">
        <v>0</v>
      </c>
      <c r="V85" s="11">
        <v>0</v>
      </c>
      <c r="W85" s="11">
        <v>137748086.53</v>
      </c>
      <c r="X85" s="11">
        <v>1152993.75</v>
      </c>
      <c r="Y85" s="17">
        <v>136595092.78</v>
      </c>
      <c r="Z85" s="11">
        <v>135574188.72</v>
      </c>
      <c r="AA85" s="11">
        <v>3918567</v>
      </c>
      <c r="AB85" s="11">
        <v>131655621.72</v>
      </c>
      <c r="AC85" s="11">
        <v>0</v>
      </c>
      <c r="AD85" s="11">
        <v>0</v>
      </c>
      <c r="AE85" s="11">
        <v>0</v>
      </c>
      <c r="AF85" s="11">
        <v>137748086.53</v>
      </c>
      <c r="AG85" s="11">
        <v>1152993.75</v>
      </c>
      <c r="AH85" s="12">
        <v>136595092.78</v>
      </c>
      <c r="AI85" s="11">
        <v>136595092.78</v>
      </c>
      <c r="AJ85" s="11">
        <v>0</v>
      </c>
      <c r="AK85" s="11">
        <v>0</v>
      </c>
      <c r="AL85" s="11">
        <v>136595092.78</v>
      </c>
      <c r="AM85" s="11">
        <v>137481386.53</v>
      </c>
      <c r="AN85" s="11">
        <v>886293.75</v>
      </c>
      <c r="AO85" s="11">
        <v>137481386.53</v>
      </c>
      <c r="AP85" s="11">
        <v>0</v>
      </c>
      <c r="AQ85" s="11">
        <v>886293.75</v>
      </c>
      <c r="AR85" t="s">
        <v>57</v>
      </c>
      <c r="AS85" s="4" t="str">
        <f>+G85</f>
        <v>Servicios para la comunidad, sociales y personales</v>
      </c>
      <c r="AT85" t="str">
        <f>+D85&amp;AS85&amp;Y85</f>
        <v>20Servicios para la comunidad, sociales y personales136595092,78</v>
      </c>
      <c r="AU85" t="str">
        <f>+_xlfn.XLOOKUP(AT85,CRUCE!J:J,CRUCE!M:M)</f>
        <v>READY</v>
      </c>
      <c r="AV85" t="s">
        <v>1907</v>
      </c>
      <c r="AW85" s="23">
        <f>+SUMIFS(CRUCE!D:D,CRUCE!A:A,'2022'!D85,CRUCE!B:B,'2022'!AS85)/COUNTIFS(D:D,D85,AS:AS,AS85)</f>
        <v>136595092.78</v>
      </c>
      <c r="AX85" s="23">
        <f>+SUMIFS(Y:Y,D:D,D85,AS:AS,AS85)/COUNTIFS(D:D,D85,AS:AS,AS85)</f>
        <v>136595092.78</v>
      </c>
      <c r="AY85" s="23">
        <f>+AW85-AX85</f>
        <v>0</v>
      </c>
    </row>
    <row r="86" spans="1:51" hidden="1" x14ac:dyDescent="0.3">
      <c r="A86">
        <v>2022</v>
      </c>
      <c r="B86">
        <v>307</v>
      </c>
      <c r="C86">
        <v>110205002</v>
      </c>
      <c r="D86" s="5" t="s">
        <v>44</v>
      </c>
      <c r="E86" s="8" t="s">
        <v>227</v>
      </c>
      <c r="F86">
        <v>110205002</v>
      </c>
      <c r="G86" s="8" t="s">
        <v>228</v>
      </c>
      <c r="H86" t="s">
        <v>47</v>
      </c>
      <c r="I86" s="11">
        <v>363287619</v>
      </c>
      <c r="J86" s="11">
        <v>363287619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363287619</v>
      </c>
      <c r="Q86" s="11">
        <v>180327951.77000001</v>
      </c>
      <c r="R86" s="11">
        <v>2966276.81</v>
      </c>
      <c r="S86" s="11">
        <v>177361674.96000001</v>
      </c>
      <c r="T86" s="11">
        <v>0</v>
      </c>
      <c r="U86" s="11">
        <v>0</v>
      </c>
      <c r="V86" s="11">
        <v>0</v>
      </c>
      <c r="W86" s="11">
        <v>185344169.34999999</v>
      </c>
      <c r="X86" s="11">
        <v>3280593</v>
      </c>
      <c r="Y86" s="17">
        <v>182063576.34999999</v>
      </c>
      <c r="Z86" s="11">
        <v>180327951.77000001</v>
      </c>
      <c r="AA86" s="11">
        <v>2966276.81</v>
      </c>
      <c r="AB86" s="11">
        <v>177361674.96000001</v>
      </c>
      <c r="AC86" s="11">
        <v>0</v>
      </c>
      <c r="AD86" s="11">
        <v>0</v>
      </c>
      <c r="AE86" s="11">
        <v>0</v>
      </c>
      <c r="AF86" s="11">
        <v>185344169.34999999</v>
      </c>
      <c r="AG86" s="11">
        <v>3280593</v>
      </c>
      <c r="AH86" s="12">
        <v>182063576.34999999</v>
      </c>
      <c r="AI86" s="11">
        <v>182063576.34999999</v>
      </c>
      <c r="AJ86" s="11">
        <v>0</v>
      </c>
      <c r="AK86" s="11">
        <v>0</v>
      </c>
      <c r="AL86" s="11">
        <v>182063576.34999999</v>
      </c>
      <c r="AM86" s="11">
        <v>185344169.34999999</v>
      </c>
      <c r="AN86" s="11">
        <v>3280593</v>
      </c>
      <c r="AO86" s="11">
        <v>185344169.34999999</v>
      </c>
      <c r="AP86" s="11">
        <v>0</v>
      </c>
      <c r="AQ86" s="11">
        <v>3280593</v>
      </c>
      <c r="AR86" t="s">
        <v>48</v>
      </c>
      <c r="AS86"/>
      <c r="AW86"/>
      <c r="AX86"/>
      <c r="AY86"/>
    </row>
    <row r="87" spans="1:51" hidden="1" x14ac:dyDescent="0.3">
      <c r="A87">
        <v>2022</v>
      </c>
      <c r="B87">
        <v>307</v>
      </c>
      <c r="C87">
        <v>11020500207</v>
      </c>
      <c r="D87" s="5" t="s">
        <v>44</v>
      </c>
      <c r="E87" s="8" t="s">
        <v>229</v>
      </c>
      <c r="F87">
        <v>11020500207</v>
      </c>
      <c r="G87" s="8" t="s">
        <v>230</v>
      </c>
      <c r="H87" t="s">
        <v>47</v>
      </c>
      <c r="I87" s="11">
        <v>363287619</v>
      </c>
      <c r="J87" s="11">
        <v>363287619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363287619</v>
      </c>
      <c r="Q87" s="11">
        <v>180327951.77000001</v>
      </c>
      <c r="R87" s="11">
        <v>2966276.81</v>
      </c>
      <c r="S87" s="11">
        <v>177361674.96000001</v>
      </c>
      <c r="T87" s="11">
        <v>0</v>
      </c>
      <c r="U87" s="11">
        <v>0</v>
      </c>
      <c r="V87" s="11">
        <v>0</v>
      </c>
      <c r="W87" s="11">
        <v>185344169.34999999</v>
      </c>
      <c r="X87" s="11">
        <v>3280593</v>
      </c>
      <c r="Y87" s="17">
        <v>182063576.34999999</v>
      </c>
      <c r="Z87" s="11">
        <v>180327951.77000001</v>
      </c>
      <c r="AA87" s="11">
        <v>2966276.81</v>
      </c>
      <c r="AB87" s="11">
        <v>177361674.96000001</v>
      </c>
      <c r="AC87" s="11">
        <v>0</v>
      </c>
      <c r="AD87" s="11">
        <v>0</v>
      </c>
      <c r="AE87" s="11">
        <v>0</v>
      </c>
      <c r="AF87" s="11">
        <v>185344169.34999999</v>
      </c>
      <c r="AG87" s="11">
        <v>3280593</v>
      </c>
      <c r="AH87" s="12">
        <v>182063576.34999999</v>
      </c>
      <c r="AI87" s="11">
        <v>182063576.34999999</v>
      </c>
      <c r="AJ87" s="11">
        <v>0</v>
      </c>
      <c r="AK87" s="11">
        <v>0</v>
      </c>
      <c r="AL87" s="11">
        <v>182063576.34999999</v>
      </c>
      <c r="AM87" s="11">
        <v>185344169.34999999</v>
      </c>
      <c r="AN87" s="11">
        <v>3280593</v>
      </c>
      <c r="AO87" s="11">
        <v>185344169.34999999</v>
      </c>
      <c r="AP87" s="11">
        <v>0</v>
      </c>
      <c r="AQ87" s="11">
        <v>3280593</v>
      </c>
      <c r="AR87" t="s">
        <v>48</v>
      </c>
      <c r="AS87"/>
      <c r="AW87"/>
      <c r="AX87"/>
      <c r="AY87"/>
    </row>
    <row r="88" spans="1:51" hidden="1" x14ac:dyDescent="0.3">
      <c r="A88">
        <v>2022</v>
      </c>
      <c r="B88">
        <v>307</v>
      </c>
      <c r="C88">
        <v>1102050020702</v>
      </c>
      <c r="D88" s="5" t="s">
        <v>44</v>
      </c>
      <c r="E88" s="8" t="s">
        <v>231</v>
      </c>
      <c r="F88">
        <v>1102050020702</v>
      </c>
      <c r="G88" s="8" t="s">
        <v>232</v>
      </c>
      <c r="H88" t="s">
        <v>47</v>
      </c>
      <c r="I88" s="11">
        <v>363287619</v>
      </c>
      <c r="J88" s="11">
        <v>363287619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363287619</v>
      </c>
      <c r="Q88" s="11">
        <v>180327951.77000001</v>
      </c>
      <c r="R88" s="11">
        <v>2966276.81</v>
      </c>
      <c r="S88" s="11">
        <v>177361674.96000001</v>
      </c>
      <c r="T88" s="11">
        <v>0</v>
      </c>
      <c r="U88" s="11">
        <v>0</v>
      </c>
      <c r="V88" s="11">
        <v>0</v>
      </c>
      <c r="W88" s="11">
        <v>185344169.34999999</v>
      </c>
      <c r="X88" s="11">
        <v>3280593</v>
      </c>
      <c r="Y88" s="17">
        <v>182063576.34999999</v>
      </c>
      <c r="Z88" s="11">
        <v>180327951.77000001</v>
      </c>
      <c r="AA88" s="11">
        <v>2966276.81</v>
      </c>
      <c r="AB88" s="11">
        <v>177361674.96000001</v>
      </c>
      <c r="AC88" s="11">
        <v>0</v>
      </c>
      <c r="AD88" s="11">
        <v>0</v>
      </c>
      <c r="AE88" s="11">
        <v>0</v>
      </c>
      <c r="AF88" s="11">
        <v>185344169.34999999</v>
      </c>
      <c r="AG88" s="11">
        <v>3280593</v>
      </c>
      <c r="AH88" s="12">
        <v>182063576.34999999</v>
      </c>
      <c r="AI88" s="11">
        <v>182063576.34999999</v>
      </c>
      <c r="AJ88" s="11">
        <v>0</v>
      </c>
      <c r="AK88" s="11">
        <v>0</v>
      </c>
      <c r="AL88" s="11">
        <v>182063576.34999999</v>
      </c>
      <c r="AM88" s="11">
        <v>185344169.34999999</v>
      </c>
      <c r="AN88" s="11">
        <v>3280593</v>
      </c>
      <c r="AO88" s="11">
        <v>185344169.34999999</v>
      </c>
      <c r="AP88" s="11">
        <v>0</v>
      </c>
      <c r="AQ88" s="11">
        <v>3280593</v>
      </c>
      <c r="AR88" t="s">
        <v>48</v>
      </c>
      <c r="AS88"/>
      <c r="AW88"/>
      <c r="AX88"/>
      <c r="AY88"/>
    </row>
    <row r="89" spans="1:51" x14ac:dyDescent="0.3">
      <c r="A89">
        <v>2022</v>
      </c>
      <c r="B89">
        <v>307</v>
      </c>
      <c r="C89">
        <v>110205002070201</v>
      </c>
      <c r="D89" s="5">
        <v>20</v>
      </c>
      <c r="E89" s="8" t="s">
        <v>233</v>
      </c>
      <c r="F89">
        <v>110205002070201</v>
      </c>
      <c r="G89" s="8" t="s">
        <v>234</v>
      </c>
      <c r="H89" t="s">
        <v>47</v>
      </c>
      <c r="I89" s="11">
        <v>363287619</v>
      </c>
      <c r="J89" s="11">
        <v>363287619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363287619</v>
      </c>
      <c r="Q89" s="11">
        <v>180327951.77000001</v>
      </c>
      <c r="R89" s="11">
        <v>2966276.81</v>
      </c>
      <c r="S89" s="11">
        <v>177361674.96000001</v>
      </c>
      <c r="T89" s="11">
        <v>0</v>
      </c>
      <c r="U89" s="11">
        <v>0</v>
      </c>
      <c r="V89" s="11">
        <v>0</v>
      </c>
      <c r="W89" s="11">
        <v>185344169.34999999</v>
      </c>
      <c r="X89" s="11">
        <v>3280593</v>
      </c>
      <c r="Y89" s="17">
        <v>182063576.34999999</v>
      </c>
      <c r="Z89" s="11">
        <v>180327951.77000001</v>
      </c>
      <c r="AA89" s="11">
        <v>2966276.81</v>
      </c>
      <c r="AB89" s="11">
        <v>177361674.96000001</v>
      </c>
      <c r="AC89" s="11">
        <v>0</v>
      </c>
      <c r="AD89" s="11">
        <v>0</v>
      </c>
      <c r="AE89" s="11">
        <v>0</v>
      </c>
      <c r="AF89" s="11">
        <v>185344169.34999999</v>
      </c>
      <c r="AG89" s="11">
        <v>3280593</v>
      </c>
      <c r="AH89" s="12">
        <v>182063576.34999999</v>
      </c>
      <c r="AI89" s="11">
        <v>182063576.34999999</v>
      </c>
      <c r="AJ89" s="11">
        <v>0</v>
      </c>
      <c r="AK89" s="11">
        <v>0</v>
      </c>
      <c r="AL89" s="11">
        <v>182063576.34999999</v>
      </c>
      <c r="AM89" s="11">
        <v>185344169.34999999</v>
      </c>
      <c r="AN89" s="11">
        <v>3280593</v>
      </c>
      <c r="AO89" s="11">
        <v>185344169.34999999</v>
      </c>
      <c r="AP89" s="11">
        <v>0</v>
      </c>
      <c r="AQ89" s="11">
        <v>3280593</v>
      </c>
      <c r="AR89" t="s">
        <v>57</v>
      </c>
      <c r="AS89" s="4" t="str">
        <f>+G89</f>
        <v>Servicion inmobiliarios relativos a bienes raíces propios o arrendados</v>
      </c>
      <c r="AT89" t="str">
        <f>+D89&amp;AS89&amp;Y89</f>
        <v>20Servicion inmobiliarios relativos a bienes raíces propios o arrendados182063576,35</v>
      </c>
      <c r="AU89" t="str">
        <f>+_xlfn.XLOOKUP(AT89,CRUCE!J:J,CRUCE!M:M)</f>
        <v>READY</v>
      </c>
      <c r="AV89" t="s">
        <v>1907</v>
      </c>
      <c r="AW89" s="23">
        <f>+SUMIFS(CRUCE!D:D,CRUCE!A:A,'2022'!D89,CRUCE!B:B,'2022'!AS89)/COUNTIFS(D:D,D89,AS:AS,AS89)</f>
        <v>182063576.34999999</v>
      </c>
      <c r="AX89" s="23">
        <f>+SUMIFS(Y:Y,D:D,D89,AS:AS,AS89)/COUNTIFS(D:D,D89,AS:AS,AS89)</f>
        <v>182063576.34999999</v>
      </c>
      <c r="AY89" s="23">
        <f>+AW89-AX89</f>
        <v>0</v>
      </c>
    </row>
    <row r="90" spans="1:51" hidden="1" x14ac:dyDescent="0.3">
      <c r="A90">
        <v>2022</v>
      </c>
      <c r="B90">
        <v>307</v>
      </c>
      <c r="C90">
        <v>11020500208</v>
      </c>
      <c r="D90" s="5" t="s">
        <v>44</v>
      </c>
      <c r="E90" s="8" t="s">
        <v>235</v>
      </c>
      <c r="F90">
        <v>11020500208</v>
      </c>
      <c r="G90" s="8" t="s">
        <v>236</v>
      </c>
      <c r="H90" t="s">
        <v>47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7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2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t="s">
        <v>48</v>
      </c>
      <c r="AS90"/>
      <c r="AW90"/>
      <c r="AX90"/>
      <c r="AY90"/>
    </row>
    <row r="91" spans="1:51" hidden="1" x14ac:dyDescent="0.3">
      <c r="A91">
        <v>2022</v>
      </c>
      <c r="B91">
        <v>307</v>
      </c>
      <c r="C91">
        <v>1102050020805</v>
      </c>
      <c r="D91" s="5" t="s">
        <v>44</v>
      </c>
      <c r="E91" s="8" t="s">
        <v>237</v>
      </c>
      <c r="F91">
        <v>1102050020805</v>
      </c>
      <c r="G91" s="8" t="s">
        <v>238</v>
      </c>
      <c r="H91" t="s">
        <v>47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7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2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t="s">
        <v>48</v>
      </c>
      <c r="AS91"/>
      <c r="AW91"/>
      <c r="AX91"/>
      <c r="AY91"/>
    </row>
    <row r="92" spans="1:51" x14ac:dyDescent="0.3">
      <c r="A92">
        <v>2022</v>
      </c>
      <c r="B92">
        <v>307</v>
      </c>
      <c r="C92">
        <v>110205002080505</v>
      </c>
      <c r="D92" s="5">
        <v>20</v>
      </c>
      <c r="E92" s="8" t="s">
        <v>239</v>
      </c>
      <c r="F92">
        <v>110205002080505</v>
      </c>
      <c r="G92" s="8" t="s">
        <v>240</v>
      </c>
      <c r="H92" t="s">
        <v>47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7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2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t="s">
        <v>57</v>
      </c>
      <c r="AS92" s="4" t="str">
        <f>+G92</f>
        <v>Servicios de organización de viajes, operadores turísticos y servicios conexos</v>
      </c>
      <c r="AT92" t="str">
        <f>+D92&amp;AS92&amp;Y92</f>
        <v>20Servicios de organización de viajes, operadores turísticos y servicios conexos0</v>
      </c>
      <c r="AU92" t="str">
        <f>+_xlfn.XLOOKUP(AT92,CRUCE!J:J,CRUCE!M:M)</f>
        <v>READY</v>
      </c>
      <c r="AV92" t="s">
        <v>1907</v>
      </c>
      <c r="AW92" s="23">
        <f>+SUMIFS(CRUCE!D:D,CRUCE!A:A,'2022'!D92,CRUCE!B:B,'2022'!AS92)/COUNTIFS(D:D,D92,AS:AS,AS92)</f>
        <v>0</v>
      </c>
      <c r="AX92" s="23">
        <f>+SUMIFS(Y:Y,D:D,D92,AS:AS,AS92)/COUNTIFS(D:D,D92,AS:AS,AS92)</f>
        <v>0</v>
      </c>
      <c r="AY92" s="23">
        <f>+AW92-AX92</f>
        <v>0</v>
      </c>
    </row>
    <row r="93" spans="1:51" hidden="1" x14ac:dyDescent="0.3">
      <c r="A93">
        <v>2022</v>
      </c>
      <c r="B93">
        <v>307</v>
      </c>
      <c r="C93">
        <v>110206</v>
      </c>
      <c r="D93" s="5" t="s">
        <v>44</v>
      </c>
      <c r="E93" s="8" t="s">
        <v>241</v>
      </c>
      <c r="F93">
        <v>110206</v>
      </c>
      <c r="G93" s="8" t="s">
        <v>242</v>
      </c>
      <c r="H93" t="s">
        <v>47</v>
      </c>
      <c r="I93" s="11">
        <v>7232590572</v>
      </c>
      <c r="J93" s="11">
        <v>7232590572</v>
      </c>
      <c r="K93" s="11">
        <v>49427626573</v>
      </c>
      <c r="L93" s="11">
        <v>187491584</v>
      </c>
      <c r="M93" s="11">
        <v>49240134989</v>
      </c>
      <c r="N93" s="11">
        <v>49427626573</v>
      </c>
      <c r="O93" s="11">
        <v>187491584</v>
      </c>
      <c r="P93" s="11">
        <v>56472725561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60761398792.25</v>
      </c>
      <c r="X93" s="11">
        <v>4290961447.8800001</v>
      </c>
      <c r="Y93" s="17">
        <v>56470437344.370003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60761398792.25</v>
      </c>
      <c r="AG93" s="11">
        <v>4290961447.8800001</v>
      </c>
      <c r="AH93" s="12">
        <v>56470437344.370003</v>
      </c>
      <c r="AI93" s="11">
        <v>56470437344.370003</v>
      </c>
      <c r="AJ93" s="11">
        <v>0</v>
      </c>
      <c r="AK93" s="11">
        <v>0</v>
      </c>
      <c r="AL93" s="11">
        <v>56472855344.370003</v>
      </c>
      <c r="AM93" s="11">
        <v>60761398792.25</v>
      </c>
      <c r="AN93" s="11">
        <v>4288543447.8800001</v>
      </c>
      <c r="AO93" s="11">
        <v>60761398792.25</v>
      </c>
      <c r="AP93" s="11">
        <v>0</v>
      </c>
      <c r="AQ93" s="11">
        <v>4288543447.8800001</v>
      </c>
      <c r="AR93" t="s">
        <v>48</v>
      </c>
      <c r="AS93"/>
      <c r="AW93"/>
      <c r="AX93"/>
      <c r="AY93"/>
    </row>
    <row r="94" spans="1:51" hidden="1" x14ac:dyDescent="0.3">
      <c r="A94">
        <v>2022</v>
      </c>
      <c r="B94">
        <v>307</v>
      </c>
      <c r="C94">
        <v>110206001</v>
      </c>
      <c r="D94" s="5" t="s">
        <v>44</v>
      </c>
      <c r="E94" s="8" t="s">
        <v>243</v>
      </c>
      <c r="F94">
        <v>110206001</v>
      </c>
      <c r="G94" s="8" t="s">
        <v>244</v>
      </c>
      <c r="H94" t="s">
        <v>47</v>
      </c>
      <c r="I94" s="11">
        <v>2991799289</v>
      </c>
      <c r="J94" s="11">
        <v>2991799289</v>
      </c>
      <c r="K94" s="11">
        <v>0</v>
      </c>
      <c r="L94" s="11">
        <v>125187203</v>
      </c>
      <c r="M94" s="11">
        <v>-125187203</v>
      </c>
      <c r="N94" s="11">
        <v>0</v>
      </c>
      <c r="O94" s="11">
        <v>125187203</v>
      </c>
      <c r="P94" s="11">
        <v>2866612086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2866923608</v>
      </c>
      <c r="X94" s="11">
        <v>0</v>
      </c>
      <c r="Y94" s="17">
        <v>2866923608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2866923608</v>
      </c>
      <c r="AG94" s="11">
        <v>0</v>
      </c>
      <c r="AH94" s="12">
        <v>2866923608</v>
      </c>
      <c r="AI94" s="11">
        <v>2866923608</v>
      </c>
      <c r="AJ94" s="11">
        <v>0</v>
      </c>
      <c r="AK94" s="11">
        <v>0</v>
      </c>
      <c r="AL94" s="11">
        <v>2866923608</v>
      </c>
      <c r="AM94" s="11">
        <v>2866923608</v>
      </c>
      <c r="AN94" s="11">
        <v>0</v>
      </c>
      <c r="AO94" s="11">
        <v>2866923608</v>
      </c>
      <c r="AP94" s="11">
        <v>0</v>
      </c>
      <c r="AQ94" s="11">
        <v>0</v>
      </c>
      <c r="AR94" t="s">
        <v>48</v>
      </c>
      <c r="AS94"/>
      <c r="AW94"/>
      <c r="AX94"/>
      <c r="AY94"/>
    </row>
    <row r="95" spans="1:51" x14ac:dyDescent="0.3">
      <c r="A95">
        <v>2022</v>
      </c>
      <c r="B95">
        <v>307</v>
      </c>
      <c r="C95">
        <v>11020600105</v>
      </c>
      <c r="D95" s="5">
        <v>27</v>
      </c>
      <c r="E95" s="8" t="s">
        <v>245</v>
      </c>
      <c r="F95">
        <v>11020600105</v>
      </c>
      <c r="G95" s="8" t="s">
        <v>246</v>
      </c>
      <c r="H95" t="s">
        <v>47</v>
      </c>
      <c r="I95" s="11">
        <v>2991799289</v>
      </c>
      <c r="J95" s="11">
        <v>2991799289</v>
      </c>
      <c r="K95" s="11">
        <v>0</v>
      </c>
      <c r="L95" s="11">
        <v>125187203</v>
      </c>
      <c r="M95" s="11">
        <v>-125187203</v>
      </c>
      <c r="N95" s="11">
        <v>0</v>
      </c>
      <c r="O95" s="11">
        <v>125187203</v>
      </c>
      <c r="P95" s="11">
        <v>2866612086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2866923608</v>
      </c>
      <c r="X95" s="11">
        <v>0</v>
      </c>
      <c r="Y95" s="17">
        <v>2866923608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2866923608</v>
      </c>
      <c r="AG95" s="11">
        <v>0</v>
      </c>
      <c r="AH95" s="12">
        <v>2866923608</v>
      </c>
      <c r="AI95" s="11">
        <v>2866923608</v>
      </c>
      <c r="AJ95" s="11">
        <v>0</v>
      </c>
      <c r="AK95" s="11">
        <v>0</v>
      </c>
      <c r="AL95" s="11">
        <v>2866923608</v>
      </c>
      <c r="AM95" s="11">
        <v>2866923608</v>
      </c>
      <c r="AN95" s="11">
        <v>0</v>
      </c>
      <c r="AO95" s="11">
        <v>2866923608</v>
      </c>
      <c r="AP95" s="11">
        <v>0</v>
      </c>
      <c r="AQ95" s="11">
        <v>0</v>
      </c>
      <c r="AR95" t="s">
        <v>247</v>
      </c>
      <c r="AS95" s="4" t="str">
        <f>+G95</f>
        <v>Agua potable y saneamiento básico</v>
      </c>
      <c r="AT95" t="str">
        <f>+D95&amp;AS95&amp;Y95</f>
        <v>27Agua potable y saneamiento básico2866923608</v>
      </c>
      <c r="AU95" t="str">
        <f>+_xlfn.XLOOKUP(AT95,CRUCE!J:J,CRUCE!M:M)</f>
        <v>READY</v>
      </c>
      <c r="AV95" t="s">
        <v>1907</v>
      </c>
      <c r="AW95" s="23">
        <f>+SUMIFS(CRUCE!D:D,CRUCE!A:A,'2022'!D95,CRUCE!B:B,'2022'!AS95)/COUNTIFS(D:D,D95,AS:AS,AS95)</f>
        <v>2866923608</v>
      </c>
      <c r="AX95" s="23">
        <f>+SUMIFS(Y:Y,D:D,D95,AS:AS,AS95)/COUNTIFS(D:D,D95,AS:AS,AS95)</f>
        <v>2866923608</v>
      </c>
      <c r="AY95" s="23">
        <f>+AW95-AX95</f>
        <v>0</v>
      </c>
    </row>
    <row r="96" spans="1:51" hidden="1" x14ac:dyDescent="0.3">
      <c r="A96">
        <v>2022</v>
      </c>
      <c r="B96">
        <v>307</v>
      </c>
      <c r="C96">
        <v>110206003</v>
      </c>
      <c r="D96" s="5" t="s">
        <v>44</v>
      </c>
      <c r="E96" s="8" t="s">
        <v>248</v>
      </c>
      <c r="F96">
        <v>110206003</v>
      </c>
      <c r="G96" s="8" t="s">
        <v>249</v>
      </c>
      <c r="H96" t="s">
        <v>47</v>
      </c>
      <c r="I96" s="11">
        <v>3136594076</v>
      </c>
      <c r="J96" s="11">
        <v>3136594076</v>
      </c>
      <c r="K96" s="11">
        <v>0</v>
      </c>
      <c r="L96" s="11">
        <v>37304381</v>
      </c>
      <c r="M96" s="11">
        <v>-37304381</v>
      </c>
      <c r="N96" s="11">
        <v>0</v>
      </c>
      <c r="O96" s="11">
        <v>37304381</v>
      </c>
      <c r="P96" s="11">
        <v>3099289695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3782876078</v>
      </c>
      <c r="X96" s="11">
        <v>477141889</v>
      </c>
      <c r="Y96" s="17">
        <v>3305734189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3782876078</v>
      </c>
      <c r="AG96" s="11">
        <v>477141889</v>
      </c>
      <c r="AH96" s="12">
        <v>3305734189</v>
      </c>
      <c r="AI96" s="11">
        <v>3305734189</v>
      </c>
      <c r="AJ96" s="11">
        <v>0</v>
      </c>
      <c r="AK96" s="11">
        <v>0</v>
      </c>
      <c r="AL96" s="11">
        <v>3305734189</v>
      </c>
      <c r="AM96" s="11">
        <v>3782876078</v>
      </c>
      <c r="AN96" s="11">
        <v>477141889</v>
      </c>
      <c r="AO96" s="11">
        <v>3782876078</v>
      </c>
      <c r="AP96" s="11">
        <v>0</v>
      </c>
      <c r="AQ96" s="11">
        <v>477141889</v>
      </c>
      <c r="AR96" t="s">
        <v>48</v>
      </c>
      <c r="AS96"/>
      <c r="AW96"/>
      <c r="AX96"/>
      <c r="AY96"/>
    </row>
    <row r="97" spans="1:51" hidden="1" x14ac:dyDescent="0.3">
      <c r="A97">
        <v>2022</v>
      </c>
      <c r="B97">
        <v>307</v>
      </c>
      <c r="C97">
        <v>11020600301</v>
      </c>
      <c r="D97" s="5" t="s">
        <v>44</v>
      </c>
      <c r="E97" s="8" t="s">
        <v>250</v>
      </c>
      <c r="F97">
        <v>11020600301</v>
      </c>
      <c r="G97" s="8" t="s">
        <v>251</v>
      </c>
      <c r="H97" t="s">
        <v>47</v>
      </c>
      <c r="I97" s="11">
        <v>3136594076</v>
      </c>
      <c r="J97" s="11">
        <v>3136594076</v>
      </c>
      <c r="K97" s="11">
        <v>0</v>
      </c>
      <c r="L97" s="11">
        <v>37304381</v>
      </c>
      <c r="M97" s="11">
        <v>-37304381</v>
      </c>
      <c r="N97" s="11">
        <v>0</v>
      </c>
      <c r="O97" s="11">
        <v>37304381</v>
      </c>
      <c r="P97" s="11">
        <v>3099289695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3782876078</v>
      </c>
      <c r="X97" s="11">
        <v>477141889</v>
      </c>
      <c r="Y97" s="17">
        <v>3305734189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3782876078</v>
      </c>
      <c r="AG97" s="11">
        <v>477141889</v>
      </c>
      <c r="AH97" s="12">
        <v>3305734189</v>
      </c>
      <c r="AI97" s="11">
        <v>3305734189</v>
      </c>
      <c r="AJ97" s="11">
        <v>0</v>
      </c>
      <c r="AK97" s="11">
        <v>0</v>
      </c>
      <c r="AL97" s="11">
        <v>3305734189</v>
      </c>
      <c r="AM97" s="11">
        <v>3782876078</v>
      </c>
      <c r="AN97" s="11">
        <v>477141889</v>
      </c>
      <c r="AO97" s="11">
        <v>3782876078</v>
      </c>
      <c r="AP97" s="11">
        <v>0</v>
      </c>
      <c r="AQ97" s="11">
        <v>477141889</v>
      </c>
      <c r="AR97" t="s">
        <v>48</v>
      </c>
      <c r="AS97"/>
      <c r="AW97"/>
      <c r="AX97"/>
      <c r="AY97"/>
    </row>
    <row r="98" spans="1:51" x14ac:dyDescent="0.3">
      <c r="A98">
        <v>2022</v>
      </c>
      <c r="B98">
        <v>307</v>
      </c>
      <c r="C98">
        <v>1102060030110</v>
      </c>
      <c r="D98" s="5">
        <v>23</v>
      </c>
      <c r="E98" s="8" t="s">
        <v>1075</v>
      </c>
      <c r="F98">
        <v>1102060030110</v>
      </c>
      <c r="G98" s="8" t="s">
        <v>253</v>
      </c>
      <c r="H98" t="s">
        <v>47</v>
      </c>
      <c r="I98" s="11">
        <v>2995430273</v>
      </c>
      <c r="J98" s="11">
        <v>2995430273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2995430273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3663807234</v>
      </c>
      <c r="X98" s="11">
        <v>477141889</v>
      </c>
      <c r="Y98" s="17">
        <v>3186665345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3663807234</v>
      </c>
      <c r="AG98" s="11">
        <v>477141889</v>
      </c>
      <c r="AH98" s="12">
        <v>3186665345</v>
      </c>
      <c r="AI98" s="11">
        <v>3186665345</v>
      </c>
      <c r="AJ98" s="11">
        <v>0</v>
      </c>
      <c r="AK98" s="11">
        <v>0</v>
      </c>
      <c r="AL98" s="11">
        <v>3186665345</v>
      </c>
      <c r="AM98" s="11">
        <v>3663807234</v>
      </c>
      <c r="AN98" s="11">
        <v>477141889</v>
      </c>
      <c r="AO98" s="11">
        <v>3663807234</v>
      </c>
      <c r="AP98" s="11">
        <v>0</v>
      </c>
      <c r="AQ98" s="11">
        <v>477141889</v>
      </c>
      <c r="AR98" t="s">
        <v>1076</v>
      </c>
      <c r="AS98" s="4" t="str">
        <f t="shared" ref="AS98:AS99" si="44">+G98</f>
        <v>Participación de la sobretasa al ACPM</v>
      </c>
      <c r="AT98" t="str">
        <f t="shared" ref="AT98:AT99" si="45">+D98&amp;AS98&amp;Y98</f>
        <v>23Participación de la sobretasa al ACPM3186665345</v>
      </c>
      <c r="AU98" t="str">
        <f>+_xlfn.XLOOKUP(AT98,CRUCE!J:J,CRUCE!M:M)</f>
        <v>READY</v>
      </c>
      <c r="AV98" t="s">
        <v>1907</v>
      </c>
      <c r="AW98" s="23">
        <f>+SUMIFS(CRUCE!D:D,CRUCE!A:A,'2022'!D98,CRUCE!B:B,'2022'!AS98)/COUNTIFS(D:D,D98,AS:AS,AS98)</f>
        <v>3186665345</v>
      </c>
      <c r="AX98" s="23">
        <f t="shared" ref="AX98:AX99" si="46">+SUMIFS(Y:Y,D:D,D98,AS:AS,AS98)/COUNTIFS(D:D,D98,AS:AS,AS98)</f>
        <v>3186665345</v>
      </c>
      <c r="AY98" s="23">
        <f t="shared" ref="AY98:AY99" si="47">+AW98-AX98</f>
        <v>0</v>
      </c>
    </row>
    <row r="99" spans="1:51" x14ac:dyDescent="0.3">
      <c r="A99">
        <v>2022</v>
      </c>
      <c r="B99">
        <v>307</v>
      </c>
      <c r="C99">
        <v>1102060030111</v>
      </c>
      <c r="D99" s="5">
        <v>47</v>
      </c>
      <c r="E99" s="8" t="s">
        <v>254</v>
      </c>
      <c r="F99">
        <v>1102060030111</v>
      </c>
      <c r="G99" s="8" t="s">
        <v>255</v>
      </c>
      <c r="H99" t="s">
        <v>47</v>
      </c>
      <c r="I99" s="11">
        <v>141163803</v>
      </c>
      <c r="J99" s="11">
        <v>141163803</v>
      </c>
      <c r="K99" s="11">
        <v>0</v>
      </c>
      <c r="L99" s="11">
        <v>37304381</v>
      </c>
      <c r="M99" s="11">
        <v>-37304381</v>
      </c>
      <c r="N99" s="11">
        <v>0</v>
      </c>
      <c r="O99" s="11">
        <v>37304381</v>
      </c>
      <c r="P99" s="11">
        <v>103859422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119068844</v>
      </c>
      <c r="X99" s="11">
        <v>0</v>
      </c>
      <c r="Y99" s="17">
        <v>119068844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119068844</v>
      </c>
      <c r="AG99" s="11">
        <v>0</v>
      </c>
      <c r="AH99" s="12">
        <v>119068844</v>
      </c>
      <c r="AI99" s="11">
        <v>119068844</v>
      </c>
      <c r="AJ99" s="11">
        <v>0</v>
      </c>
      <c r="AK99" s="11">
        <v>0</v>
      </c>
      <c r="AL99" s="11">
        <v>119068844</v>
      </c>
      <c r="AM99" s="11">
        <v>119068844</v>
      </c>
      <c r="AN99" s="11">
        <v>0</v>
      </c>
      <c r="AO99" s="11">
        <v>119068844</v>
      </c>
      <c r="AP99" s="11">
        <v>0</v>
      </c>
      <c r="AQ99" s="11">
        <v>0</v>
      </c>
      <c r="AR99" t="s">
        <v>256</v>
      </c>
      <c r="AS99" s="4" t="str">
        <f t="shared" si="44"/>
        <v>Participación del impuesto nacional al consumo del servicio de telefonía móvil</v>
      </c>
      <c r="AT99" t="str">
        <f t="shared" si="45"/>
        <v>47Participación del impuesto nacional al consumo del servicio de telefonía móvil119068844</v>
      </c>
      <c r="AU99" t="str">
        <f>+_xlfn.XLOOKUP(AT99,CRUCE!J:J,CRUCE!M:M)</f>
        <v>READY</v>
      </c>
      <c r="AV99" t="s">
        <v>1907</v>
      </c>
      <c r="AW99" s="23">
        <f>+SUMIFS(CRUCE!D:D,CRUCE!A:A,'2022'!D99,CRUCE!B:B,'2022'!AS99)/COUNTIFS(D:D,D99,AS:AS,AS99)</f>
        <v>119068844</v>
      </c>
      <c r="AX99" s="23">
        <f t="shared" si="46"/>
        <v>119068844</v>
      </c>
      <c r="AY99" s="23">
        <f t="shared" si="47"/>
        <v>0</v>
      </c>
    </row>
    <row r="100" spans="1:51" hidden="1" x14ac:dyDescent="0.3">
      <c r="A100">
        <v>2022</v>
      </c>
      <c r="B100">
        <v>307</v>
      </c>
      <c r="C100">
        <v>110206006</v>
      </c>
      <c r="D100" s="5" t="s">
        <v>44</v>
      </c>
      <c r="E100" s="8" t="s">
        <v>266</v>
      </c>
      <c r="F100">
        <v>110206006</v>
      </c>
      <c r="G100" s="8" t="s">
        <v>267</v>
      </c>
      <c r="H100" t="s">
        <v>47</v>
      </c>
      <c r="I100" s="11">
        <v>250000000</v>
      </c>
      <c r="J100" s="11">
        <v>250000000</v>
      </c>
      <c r="K100" s="11">
        <v>49427626573</v>
      </c>
      <c r="L100" s="11">
        <v>25000000</v>
      </c>
      <c r="M100" s="11">
        <v>49402626573</v>
      </c>
      <c r="N100" s="11">
        <v>49427626573</v>
      </c>
      <c r="O100" s="11">
        <v>25000000</v>
      </c>
      <c r="P100" s="11">
        <v>49652626573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53453368090</v>
      </c>
      <c r="X100" s="11">
        <v>3800741517</v>
      </c>
      <c r="Y100" s="17">
        <v>49652626573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53453368090</v>
      </c>
      <c r="AG100" s="11">
        <v>3800741517</v>
      </c>
      <c r="AH100" s="12">
        <v>49652626573</v>
      </c>
      <c r="AI100" s="11">
        <v>49652626573</v>
      </c>
      <c r="AJ100" s="11">
        <v>0</v>
      </c>
      <c r="AK100" s="11">
        <v>0</v>
      </c>
      <c r="AL100" s="11">
        <v>49655044573</v>
      </c>
      <c r="AM100" s="11">
        <v>53453368090</v>
      </c>
      <c r="AN100" s="11">
        <v>3798323517</v>
      </c>
      <c r="AO100" s="11">
        <v>53453368090</v>
      </c>
      <c r="AP100" s="11">
        <v>0</v>
      </c>
      <c r="AQ100" s="11">
        <v>3798323517</v>
      </c>
      <c r="AR100" t="s">
        <v>48</v>
      </c>
      <c r="AS100"/>
      <c r="AW100"/>
      <c r="AX100"/>
      <c r="AY100"/>
    </row>
    <row r="101" spans="1:51" hidden="1" x14ac:dyDescent="0.3">
      <c r="A101">
        <v>2022</v>
      </c>
      <c r="B101">
        <v>307</v>
      </c>
      <c r="C101">
        <v>11020600606</v>
      </c>
      <c r="D101" s="5" t="s">
        <v>44</v>
      </c>
      <c r="E101" s="8" t="s">
        <v>268</v>
      </c>
      <c r="F101">
        <v>11020600606</v>
      </c>
      <c r="G101" s="8" t="s">
        <v>269</v>
      </c>
      <c r="H101" t="s">
        <v>47</v>
      </c>
      <c r="I101" s="11">
        <v>250000000</v>
      </c>
      <c r="J101" s="11">
        <v>250000000</v>
      </c>
      <c r="K101" s="11">
        <v>49427626573</v>
      </c>
      <c r="L101" s="11">
        <v>25000000</v>
      </c>
      <c r="M101" s="11">
        <v>49402626573</v>
      </c>
      <c r="N101" s="11">
        <v>49427626573</v>
      </c>
      <c r="O101" s="11">
        <v>25000000</v>
      </c>
      <c r="P101" s="11">
        <v>49652626573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53453368090</v>
      </c>
      <c r="X101" s="11">
        <v>3800741517</v>
      </c>
      <c r="Y101" s="17">
        <v>49652626573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53453368090</v>
      </c>
      <c r="AG101" s="11">
        <v>3800741517</v>
      </c>
      <c r="AH101" s="12">
        <v>49652626573</v>
      </c>
      <c r="AI101" s="11">
        <v>49652626573</v>
      </c>
      <c r="AJ101" s="11">
        <v>0</v>
      </c>
      <c r="AK101" s="11">
        <v>0</v>
      </c>
      <c r="AL101" s="11">
        <v>49655044573</v>
      </c>
      <c r="AM101" s="11">
        <v>53453368090</v>
      </c>
      <c r="AN101" s="11">
        <v>3798323517</v>
      </c>
      <c r="AO101" s="11">
        <v>53453368090</v>
      </c>
      <c r="AP101" s="11">
        <v>0</v>
      </c>
      <c r="AQ101" s="11">
        <v>3798323517</v>
      </c>
      <c r="AR101" t="s">
        <v>48</v>
      </c>
      <c r="AS101"/>
      <c r="AW101"/>
      <c r="AX101"/>
      <c r="AY101"/>
    </row>
    <row r="102" spans="1:51" hidden="1" x14ac:dyDescent="0.3">
      <c r="A102">
        <v>2022</v>
      </c>
      <c r="B102">
        <v>307</v>
      </c>
      <c r="C102">
        <v>1102060060600</v>
      </c>
      <c r="D102" s="5" t="s">
        <v>44</v>
      </c>
      <c r="E102" s="8" t="s">
        <v>270</v>
      </c>
      <c r="F102">
        <v>1102060060600</v>
      </c>
      <c r="G102" s="8" t="s">
        <v>269</v>
      </c>
      <c r="H102" t="s">
        <v>47</v>
      </c>
      <c r="I102" s="11">
        <v>250000000</v>
      </c>
      <c r="J102" s="11">
        <v>250000000</v>
      </c>
      <c r="K102" s="11">
        <v>49427626573</v>
      </c>
      <c r="L102" s="11">
        <v>25000000</v>
      </c>
      <c r="M102" s="11">
        <v>49402626573</v>
      </c>
      <c r="N102" s="11">
        <v>49427626573</v>
      </c>
      <c r="O102" s="11">
        <v>25000000</v>
      </c>
      <c r="P102" s="11">
        <v>49652626573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53453368090</v>
      </c>
      <c r="X102" s="11">
        <v>3800741517</v>
      </c>
      <c r="Y102" s="17">
        <v>49652626573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53453368090</v>
      </c>
      <c r="AG102" s="11">
        <v>3800741517</v>
      </c>
      <c r="AH102" s="12">
        <v>49652626573</v>
      </c>
      <c r="AI102" s="11">
        <v>49652626573</v>
      </c>
      <c r="AJ102" s="11">
        <v>0</v>
      </c>
      <c r="AK102" s="11">
        <v>0</v>
      </c>
      <c r="AL102" s="11">
        <v>49655044573</v>
      </c>
      <c r="AM102" s="11">
        <v>53453368090</v>
      </c>
      <c r="AN102" s="11">
        <v>3798323517</v>
      </c>
      <c r="AO102" s="11">
        <v>53453368090</v>
      </c>
      <c r="AP102" s="11">
        <v>0</v>
      </c>
      <c r="AQ102" s="11">
        <v>3798323517</v>
      </c>
      <c r="AR102" t="s">
        <v>48</v>
      </c>
      <c r="AS102"/>
      <c r="AW102"/>
      <c r="AX102"/>
      <c r="AY102"/>
    </row>
    <row r="103" spans="1:51" hidden="1" x14ac:dyDescent="0.3">
      <c r="A103">
        <v>2022</v>
      </c>
      <c r="B103">
        <v>307</v>
      </c>
      <c r="C103">
        <v>110206006060000</v>
      </c>
      <c r="D103" s="5" t="s">
        <v>44</v>
      </c>
      <c r="E103" s="8" t="s">
        <v>271</v>
      </c>
      <c r="F103">
        <v>110206006060000</v>
      </c>
      <c r="G103" s="8" t="s">
        <v>269</v>
      </c>
      <c r="H103" t="s">
        <v>47</v>
      </c>
      <c r="I103" s="11">
        <v>250000000</v>
      </c>
      <c r="J103" s="11">
        <v>250000000</v>
      </c>
      <c r="K103" s="11">
        <v>49427626573</v>
      </c>
      <c r="L103" s="11">
        <v>25000000</v>
      </c>
      <c r="M103" s="11">
        <v>49402626573</v>
      </c>
      <c r="N103" s="11">
        <v>49427626573</v>
      </c>
      <c r="O103" s="11">
        <v>25000000</v>
      </c>
      <c r="P103" s="11">
        <v>49652626573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53453368090</v>
      </c>
      <c r="X103" s="11">
        <v>3800741517</v>
      </c>
      <c r="Y103" s="17">
        <v>49652626573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53453368090</v>
      </c>
      <c r="AG103" s="11">
        <v>3800741517</v>
      </c>
      <c r="AH103" s="12">
        <v>49652626573</v>
      </c>
      <c r="AI103" s="11">
        <v>49652626573</v>
      </c>
      <c r="AJ103" s="11">
        <v>0</v>
      </c>
      <c r="AK103" s="11">
        <v>0</v>
      </c>
      <c r="AL103" s="11">
        <v>49655044573</v>
      </c>
      <c r="AM103" s="11">
        <v>53453368090</v>
      </c>
      <c r="AN103" s="11">
        <v>3798323517</v>
      </c>
      <c r="AO103" s="11">
        <v>53453368090</v>
      </c>
      <c r="AP103" s="11">
        <v>0</v>
      </c>
      <c r="AQ103" s="11">
        <v>3798323517</v>
      </c>
      <c r="AR103" t="s">
        <v>48</v>
      </c>
      <c r="AS103"/>
      <c r="AW103"/>
      <c r="AX103"/>
      <c r="AY103"/>
    </row>
    <row r="104" spans="1:51" hidden="1" x14ac:dyDescent="0.3">
      <c r="A104">
        <v>2022</v>
      </c>
      <c r="B104">
        <v>307</v>
      </c>
      <c r="C104">
        <v>1.1020600606E+17</v>
      </c>
      <c r="D104" s="5" t="s">
        <v>44</v>
      </c>
      <c r="E104" s="8" t="s">
        <v>1077</v>
      </c>
      <c r="F104">
        <v>1.1020600606E+17</v>
      </c>
      <c r="G104" s="8" t="s">
        <v>269</v>
      </c>
      <c r="H104" t="s">
        <v>47</v>
      </c>
      <c r="I104" s="11">
        <v>250000000</v>
      </c>
      <c r="J104" s="11">
        <v>250000000</v>
      </c>
      <c r="K104" s="11">
        <v>49427626573</v>
      </c>
      <c r="L104" s="11">
        <v>25000000</v>
      </c>
      <c r="M104" s="11">
        <v>49402626573</v>
      </c>
      <c r="N104" s="11">
        <v>49427626573</v>
      </c>
      <c r="O104" s="11">
        <v>25000000</v>
      </c>
      <c r="P104" s="11">
        <v>49652626573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53453368090</v>
      </c>
      <c r="X104" s="11">
        <v>3800741517</v>
      </c>
      <c r="Y104" s="17">
        <v>49652626573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53453368090</v>
      </c>
      <c r="AG104" s="11">
        <v>3800741517</v>
      </c>
      <c r="AH104" s="12">
        <v>49652626573</v>
      </c>
      <c r="AI104" s="11">
        <v>49652626573</v>
      </c>
      <c r="AJ104" s="11">
        <v>0</v>
      </c>
      <c r="AK104" s="11">
        <v>0</v>
      </c>
      <c r="AL104" s="11">
        <v>49655044573</v>
      </c>
      <c r="AM104" s="11">
        <v>53453368090</v>
      </c>
      <c r="AN104" s="11">
        <v>3798323517</v>
      </c>
      <c r="AO104" s="11">
        <v>53453368090</v>
      </c>
      <c r="AP104" s="11">
        <v>0</v>
      </c>
      <c r="AQ104" s="11">
        <v>3798323517</v>
      </c>
      <c r="AR104" t="s">
        <v>48</v>
      </c>
      <c r="AS104"/>
      <c r="AW104"/>
      <c r="AX104"/>
      <c r="AY104"/>
    </row>
    <row r="105" spans="1:51" hidden="1" x14ac:dyDescent="0.3">
      <c r="A105">
        <v>2022</v>
      </c>
      <c r="B105">
        <v>307</v>
      </c>
      <c r="C105">
        <v>1.1020600606E+20</v>
      </c>
      <c r="D105" s="5" t="s">
        <v>44</v>
      </c>
      <c r="E105" s="8" t="s">
        <v>1078</v>
      </c>
      <c r="F105">
        <v>1.1020600606E+20</v>
      </c>
      <c r="G105" s="8" t="s">
        <v>269</v>
      </c>
      <c r="H105" t="s">
        <v>47</v>
      </c>
      <c r="I105" s="11">
        <v>250000000</v>
      </c>
      <c r="J105" s="11">
        <v>250000000</v>
      </c>
      <c r="K105" s="11">
        <v>49427626573</v>
      </c>
      <c r="L105" s="11">
        <v>25000000</v>
      </c>
      <c r="M105" s="11">
        <v>49402626573</v>
      </c>
      <c r="N105" s="11">
        <v>49427626573</v>
      </c>
      <c r="O105" s="11">
        <v>25000000</v>
      </c>
      <c r="P105" s="11">
        <v>49652626573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53453368090</v>
      </c>
      <c r="X105" s="11">
        <v>3800741517</v>
      </c>
      <c r="Y105" s="17">
        <v>49652626573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53453368090</v>
      </c>
      <c r="AG105" s="11">
        <v>3800741517</v>
      </c>
      <c r="AH105" s="12">
        <v>49652626573</v>
      </c>
      <c r="AI105" s="11">
        <v>49652626573</v>
      </c>
      <c r="AJ105" s="11">
        <v>0</v>
      </c>
      <c r="AK105" s="11">
        <v>0</v>
      </c>
      <c r="AL105" s="11">
        <v>49655044573</v>
      </c>
      <c r="AM105" s="11">
        <v>53453368090</v>
      </c>
      <c r="AN105" s="11">
        <v>3798323517</v>
      </c>
      <c r="AO105" s="11">
        <v>53453368090</v>
      </c>
      <c r="AP105" s="11">
        <v>0</v>
      </c>
      <c r="AQ105" s="11">
        <v>3798323517</v>
      </c>
      <c r="AR105" t="s">
        <v>48</v>
      </c>
      <c r="AS105"/>
      <c r="AW105"/>
      <c r="AX105"/>
      <c r="AY105"/>
    </row>
    <row r="106" spans="1:51" x14ac:dyDescent="0.3">
      <c r="A106">
        <v>2022</v>
      </c>
      <c r="B106">
        <v>307</v>
      </c>
      <c r="C106">
        <v>1.1020600605999999E+35</v>
      </c>
      <c r="D106" s="5">
        <v>225</v>
      </c>
      <c r="E106" s="8" t="s">
        <v>1079</v>
      </c>
      <c r="F106">
        <v>1.1020600605999999E+35</v>
      </c>
      <c r="G106" s="8" t="s">
        <v>1080</v>
      </c>
      <c r="H106" t="s">
        <v>47</v>
      </c>
      <c r="I106" s="11">
        <v>0</v>
      </c>
      <c r="J106" s="11">
        <v>0</v>
      </c>
      <c r="K106" s="11">
        <v>15612200000</v>
      </c>
      <c r="L106" s="11">
        <v>0</v>
      </c>
      <c r="M106" s="11">
        <v>15612200000</v>
      </c>
      <c r="N106" s="11">
        <v>15612200000</v>
      </c>
      <c r="O106" s="11">
        <v>0</v>
      </c>
      <c r="P106" s="11">
        <v>15612200000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15612200000</v>
      </c>
      <c r="X106" s="11">
        <v>0</v>
      </c>
      <c r="Y106" s="17">
        <v>15612200000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15612200000</v>
      </c>
      <c r="AG106" s="11">
        <v>0</v>
      </c>
      <c r="AH106" s="12">
        <v>15612200000</v>
      </c>
      <c r="AI106" s="11">
        <v>15612200000</v>
      </c>
      <c r="AJ106" s="11">
        <v>0</v>
      </c>
      <c r="AK106" s="11">
        <v>0</v>
      </c>
      <c r="AL106" s="11">
        <v>15612200000</v>
      </c>
      <c r="AM106" s="11">
        <v>15612200000</v>
      </c>
      <c r="AN106" s="11">
        <v>0</v>
      </c>
      <c r="AO106" s="11">
        <v>15612200000</v>
      </c>
      <c r="AP106" s="11">
        <v>0</v>
      </c>
      <c r="AQ106" s="11">
        <v>0</v>
      </c>
      <c r="AR106" t="s">
        <v>1081</v>
      </c>
      <c r="AS106" s="4" t="str">
        <f t="shared" ref="AS106:AS111" si="48">+G106</f>
        <v>Ministerio de Salud y Protección Social</v>
      </c>
      <c r="AT106" t="str">
        <f t="shared" ref="AT106:AT111" si="49">+D106&amp;AS106&amp;Y106</f>
        <v>225Ministerio de Salud y Protección Social15612200000</v>
      </c>
      <c r="AU106" t="str">
        <f>+_xlfn.XLOOKUP(AT106,CRUCE!J:J,CRUCE!M:M)</f>
        <v>READY</v>
      </c>
      <c r="AV106" t="s">
        <v>1907</v>
      </c>
      <c r="AW106" s="23">
        <f>+SUMIFS(CRUCE!D:D,CRUCE!A:A,'2022'!D106,CRUCE!B:B,'2022'!AS106)/COUNTIFS(D:D,D106,AS:AS,AS106)</f>
        <v>15612200000</v>
      </c>
      <c r="AX106" s="23">
        <f t="shared" ref="AX106:AX111" si="50">+SUMIFS(Y:Y,D:D,D106,AS:AS,AS106)/COUNTIFS(D:D,D106,AS:AS,AS106)</f>
        <v>15612200000</v>
      </c>
      <c r="AY106" s="23">
        <f t="shared" ref="AY106:AY111" si="51">+AW106-AX106</f>
        <v>0</v>
      </c>
    </row>
    <row r="107" spans="1:51" x14ac:dyDescent="0.3">
      <c r="A107">
        <v>2022</v>
      </c>
      <c r="B107">
        <v>307</v>
      </c>
      <c r="C107">
        <v>1.1020600605999999E+35</v>
      </c>
      <c r="D107" s="5">
        <v>218</v>
      </c>
      <c r="E107" s="8" t="s">
        <v>1082</v>
      </c>
      <c r="F107">
        <v>1.1020600605999999E+35</v>
      </c>
      <c r="G107" s="8" t="s">
        <v>281</v>
      </c>
      <c r="H107" t="s">
        <v>47</v>
      </c>
      <c r="I107" s="11">
        <v>0</v>
      </c>
      <c r="J107" s="11">
        <v>0</v>
      </c>
      <c r="K107" s="11">
        <v>10000000000</v>
      </c>
      <c r="L107" s="11">
        <v>0</v>
      </c>
      <c r="M107" s="11">
        <v>10000000000</v>
      </c>
      <c r="N107" s="11">
        <v>10000000000</v>
      </c>
      <c r="O107" s="11">
        <v>0</v>
      </c>
      <c r="P107" s="11">
        <v>10000000000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10000000000</v>
      </c>
      <c r="X107" s="11">
        <v>0</v>
      </c>
      <c r="Y107" s="17">
        <v>10000000000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10000000000</v>
      </c>
      <c r="AG107" s="11">
        <v>0</v>
      </c>
      <c r="AH107" s="12">
        <v>10000000000</v>
      </c>
      <c r="AI107" s="11">
        <v>10000000000</v>
      </c>
      <c r="AJ107" s="11">
        <v>0</v>
      </c>
      <c r="AK107" s="11">
        <v>0</v>
      </c>
      <c r="AL107" s="11">
        <v>10000000000</v>
      </c>
      <c r="AM107" s="11">
        <v>10000000000</v>
      </c>
      <c r="AN107" s="11">
        <v>0</v>
      </c>
      <c r="AO107" s="11">
        <v>10000000000</v>
      </c>
      <c r="AP107" s="11">
        <v>0</v>
      </c>
      <c r="AQ107" s="11">
        <v>0</v>
      </c>
      <c r="AR107" t="s">
        <v>1083</v>
      </c>
      <c r="AS107" s="4" t="str">
        <f t="shared" si="48"/>
        <v>Instituto Nacional de Vías</v>
      </c>
      <c r="AT107" t="str">
        <f t="shared" si="49"/>
        <v>218Instituto Nacional de Vías10000000000</v>
      </c>
      <c r="AU107" t="str">
        <f>+_xlfn.XLOOKUP(AT107,CRUCE!J:J,CRUCE!M:M)</f>
        <v>READY</v>
      </c>
      <c r="AV107" t="s">
        <v>1907</v>
      </c>
      <c r="AW107" s="23">
        <f>+SUMIFS(CRUCE!D:D,CRUCE!A:A,'2022'!D107,CRUCE!B:B,'2022'!AS107)/COUNTIFS(D:D,D107,AS:AS,AS107)</f>
        <v>10000000000</v>
      </c>
      <c r="AX107" s="23">
        <f t="shared" si="50"/>
        <v>10000000000</v>
      </c>
      <c r="AY107" s="23">
        <f t="shared" si="51"/>
        <v>0</v>
      </c>
    </row>
    <row r="108" spans="1:51" x14ac:dyDescent="0.3">
      <c r="A108">
        <v>2022</v>
      </c>
      <c r="B108">
        <v>307</v>
      </c>
      <c r="C108">
        <v>1.1020600605999999E+35</v>
      </c>
      <c r="D108" s="5">
        <v>219</v>
      </c>
      <c r="E108" s="8" t="s">
        <v>1084</v>
      </c>
      <c r="F108">
        <v>1.1020600605999999E+35</v>
      </c>
      <c r="G108" s="8" t="s">
        <v>281</v>
      </c>
      <c r="H108" t="s">
        <v>47</v>
      </c>
      <c r="I108" s="11">
        <v>0</v>
      </c>
      <c r="J108" s="11">
        <v>0</v>
      </c>
      <c r="K108" s="11">
        <v>3798323517</v>
      </c>
      <c r="L108" s="11">
        <v>0</v>
      </c>
      <c r="M108" s="11">
        <v>3798323517</v>
      </c>
      <c r="N108" s="11">
        <v>3798323517</v>
      </c>
      <c r="O108" s="11">
        <v>0</v>
      </c>
      <c r="P108" s="11">
        <v>3798323517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7596647034</v>
      </c>
      <c r="X108" s="11">
        <v>3798323517</v>
      </c>
      <c r="Y108" s="17">
        <v>3798323517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7596647034</v>
      </c>
      <c r="AG108" s="11">
        <v>3798323517</v>
      </c>
      <c r="AH108" s="12">
        <v>3798323517</v>
      </c>
      <c r="AI108" s="11">
        <v>3798323517</v>
      </c>
      <c r="AJ108" s="11">
        <v>0</v>
      </c>
      <c r="AK108" s="11">
        <v>0</v>
      </c>
      <c r="AL108" s="11">
        <v>3798323517</v>
      </c>
      <c r="AM108" s="11">
        <v>7596647034</v>
      </c>
      <c r="AN108" s="11">
        <v>3798323517</v>
      </c>
      <c r="AO108" s="11">
        <v>7596647034</v>
      </c>
      <c r="AP108" s="11">
        <v>0</v>
      </c>
      <c r="AQ108" s="11">
        <v>3798323517</v>
      </c>
      <c r="AR108" t="s">
        <v>1085</v>
      </c>
      <c r="AS108" s="4" t="str">
        <f t="shared" si="48"/>
        <v>Instituto Nacional de Vías</v>
      </c>
      <c r="AT108" t="str">
        <f t="shared" si="49"/>
        <v>219Instituto Nacional de Vías3798323517</v>
      </c>
      <c r="AU108" t="str">
        <f>+_xlfn.XLOOKUP(AT108,CRUCE!J:J,CRUCE!M:M)</f>
        <v>READY</v>
      </c>
      <c r="AV108" t="s">
        <v>1907</v>
      </c>
      <c r="AW108" s="23">
        <f>+SUMIFS(CRUCE!D:D,CRUCE!A:A,'2022'!D108,CRUCE!B:B,'2022'!AS108)/COUNTIFS(D:D,D108,AS:AS,AS108)</f>
        <v>3798323517</v>
      </c>
      <c r="AX108" s="23">
        <f t="shared" si="50"/>
        <v>3798323517</v>
      </c>
      <c r="AY108" s="23">
        <f t="shared" si="51"/>
        <v>0</v>
      </c>
    </row>
    <row r="109" spans="1:51" x14ac:dyDescent="0.3">
      <c r="A109">
        <v>2022</v>
      </c>
      <c r="B109">
        <v>307</v>
      </c>
      <c r="C109">
        <v>1.1020600605999999E+35</v>
      </c>
      <c r="D109" s="5">
        <v>226</v>
      </c>
      <c r="E109" s="8" t="s">
        <v>1086</v>
      </c>
      <c r="F109">
        <v>1.1020600605999999E+35</v>
      </c>
      <c r="G109" s="8" t="s">
        <v>281</v>
      </c>
      <c r="H109" t="s">
        <v>47</v>
      </c>
      <c r="I109" s="11">
        <v>0</v>
      </c>
      <c r="J109" s="11">
        <v>0</v>
      </c>
      <c r="K109" s="11">
        <v>19788720416</v>
      </c>
      <c r="L109" s="11">
        <v>0</v>
      </c>
      <c r="M109" s="11">
        <v>19788720416</v>
      </c>
      <c r="N109" s="11">
        <v>19788720416</v>
      </c>
      <c r="O109" s="11">
        <v>0</v>
      </c>
      <c r="P109" s="11">
        <v>19788720416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19788720416</v>
      </c>
      <c r="X109" s="11">
        <v>0</v>
      </c>
      <c r="Y109" s="17">
        <v>19788720416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19788720416</v>
      </c>
      <c r="AG109" s="11">
        <v>0</v>
      </c>
      <c r="AH109" s="12">
        <v>19788720416</v>
      </c>
      <c r="AI109" s="11">
        <v>19788720416</v>
      </c>
      <c r="AJ109" s="11">
        <v>0</v>
      </c>
      <c r="AK109" s="11">
        <v>0</v>
      </c>
      <c r="AL109" s="11">
        <v>19788720416</v>
      </c>
      <c r="AM109" s="11">
        <v>19788720416</v>
      </c>
      <c r="AN109" s="11">
        <v>0</v>
      </c>
      <c r="AO109" s="11">
        <v>19788720416</v>
      </c>
      <c r="AP109" s="11">
        <v>0</v>
      </c>
      <c r="AQ109" s="11">
        <v>0</v>
      </c>
      <c r="AR109" t="s">
        <v>1087</v>
      </c>
      <c r="AS109" s="4" t="str">
        <f t="shared" si="48"/>
        <v>Instituto Nacional de Vías</v>
      </c>
      <c r="AT109" t="str">
        <f t="shared" si="49"/>
        <v>226Instituto Nacional de Vías19788720416</v>
      </c>
      <c r="AU109" t="str">
        <f>+_xlfn.XLOOKUP(AT109,CRUCE!J:J,CRUCE!M:M)</f>
        <v>READY</v>
      </c>
      <c r="AV109" t="s">
        <v>1907</v>
      </c>
      <c r="AW109" s="23">
        <f>+SUMIFS(CRUCE!D:D,CRUCE!A:A,'2022'!D109,CRUCE!B:B,'2022'!AS109)/COUNTIFS(D:D,D109,AS:AS,AS109)</f>
        <v>19788720416</v>
      </c>
      <c r="AX109" s="23">
        <f t="shared" si="50"/>
        <v>19788720416</v>
      </c>
      <c r="AY109" s="23">
        <f t="shared" si="51"/>
        <v>0</v>
      </c>
    </row>
    <row r="110" spans="1:51" x14ac:dyDescent="0.3">
      <c r="A110">
        <v>2022</v>
      </c>
      <c r="B110">
        <v>307</v>
      </c>
      <c r="C110">
        <v>1.1020600605999999E+35</v>
      </c>
      <c r="D110" s="5">
        <v>201</v>
      </c>
      <c r="E110" s="8" t="s">
        <v>282</v>
      </c>
      <c r="F110">
        <v>1.1020600605999999E+35</v>
      </c>
      <c r="G110" s="8" t="s">
        <v>283</v>
      </c>
      <c r="H110" t="s">
        <v>47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2418000</v>
      </c>
      <c r="X110" s="11">
        <v>2418000</v>
      </c>
      <c r="Y110" s="17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2418000</v>
      </c>
      <c r="AG110" s="11">
        <v>2418000</v>
      </c>
      <c r="AH110" s="12">
        <v>0</v>
      </c>
      <c r="AI110" s="11">
        <v>0</v>
      </c>
      <c r="AJ110" s="11">
        <v>0</v>
      </c>
      <c r="AK110" s="11">
        <v>0</v>
      </c>
      <c r="AL110" s="11">
        <v>2418000</v>
      </c>
      <c r="AM110" s="11">
        <v>2418000</v>
      </c>
      <c r="AN110" s="11">
        <v>0</v>
      </c>
      <c r="AO110" s="11">
        <v>2418000</v>
      </c>
      <c r="AP110" s="11">
        <v>0</v>
      </c>
      <c r="AQ110" s="11">
        <v>0</v>
      </c>
      <c r="AR110" t="s">
        <v>284</v>
      </c>
      <c r="AS110" s="4" t="str">
        <f t="shared" si="48"/>
        <v>Ministerio de Cutura Convenio 0894-2021 Quindío un corazon para leer</v>
      </c>
      <c r="AT110" t="str">
        <f t="shared" si="49"/>
        <v>201Ministerio de Cutura Convenio 0894-2021 Quindío un corazon para leer0</v>
      </c>
      <c r="AU110" t="str">
        <f>+_xlfn.XLOOKUP(AT110,CRUCE!J:J,CRUCE!M:M)</f>
        <v>READY</v>
      </c>
      <c r="AV110" t="s">
        <v>1907</v>
      </c>
      <c r="AW110" s="23">
        <f>+SUMIFS(CRUCE!D:D,CRUCE!A:A,'2022'!D110,CRUCE!B:B,'2022'!AS110)/COUNTIFS(D:D,D110,AS:AS,AS110)</f>
        <v>0</v>
      </c>
      <c r="AX110" s="23">
        <f t="shared" si="50"/>
        <v>0</v>
      </c>
      <c r="AY110" s="23">
        <f t="shared" si="51"/>
        <v>0</v>
      </c>
    </row>
    <row r="111" spans="1:51" x14ac:dyDescent="0.3">
      <c r="A111">
        <v>2022</v>
      </c>
      <c r="B111">
        <v>307</v>
      </c>
      <c r="C111">
        <v>1.1020600605999999E+35</v>
      </c>
      <c r="D111" s="5">
        <v>56</v>
      </c>
      <c r="E111" s="8" t="s">
        <v>285</v>
      </c>
      <c r="F111">
        <v>1.1020600605999999E+35</v>
      </c>
      <c r="G111" s="8" t="s">
        <v>286</v>
      </c>
      <c r="H111" t="s">
        <v>47</v>
      </c>
      <c r="I111" s="11">
        <v>250000000</v>
      </c>
      <c r="J111" s="11">
        <v>250000000</v>
      </c>
      <c r="K111" s="11">
        <v>228382640</v>
      </c>
      <c r="L111" s="11">
        <v>25000000</v>
      </c>
      <c r="M111" s="11">
        <v>203382640</v>
      </c>
      <c r="N111" s="11">
        <v>228382640</v>
      </c>
      <c r="O111" s="11">
        <v>25000000</v>
      </c>
      <c r="P111" s="11">
        <v>453382640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453382640</v>
      </c>
      <c r="X111" s="11">
        <v>0</v>
      </c>
      <c r="Y111" s="17">
        <v>453382640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453382640</v>
      </c>
      <c r="AG111" s="11">
        <v>0</v>
      </c>
      <c r="AH111" s="12">
        <v>453382640</v>
      </c>
      <c r="AI111" s="11">
        <v>453382640</v>
      </c>
      <c r="AJ111" s="11">
        <v>0</v>
      </c>
      <c r="AK111" s="11">
        <v>0</v>
      </c>
      <c r="AL111" s="11">
        <v>453382640</v>
      </c>
      <c r="AM111" s="11">
        <v>453382640</v>
      </c>
      <c r="AN111" s="11">
        <v>0</v>
      </c>
      <c r="AO111" s="11">
        <v>453382640</v>
      </c>
      <c r="AP111" s="11">
        <v>0</v>
      </c>
      <c r="AQ111" s="11">
        <v>0</v>
      </c>
      <c r="AR111" t="s">
        <v>279</v>
      </c>
      <c r="AS111" s="4" t="str">
        <f t="shared" si="48"/>
        <v>Federación Nacional de Departamentos</v>
      </c>
      <c r="AT111" t="str">
        <f t="shared" si="49"/>
        <v>56Federación Nacional de Departamentos453382640</v>
      </c>
      <c r="AU111" t="str">
        <f>+_xlfn.XLOOKUP(AT111,CRUCE!J:J,CRUCE!M:M)</f>
        <v>READY</v>
      </c>
      <c r="AV111" t="s">
        <v>1907</v>
      </c>
      <c r="AW111" s="23">
        <f>+SUMIFS(CRUCE!D:D,CRUCE!A:A,'2022'!D111,CRUCE!B:B,'2022'!AS111)/COUNTIFS(D:D,D111,AS:AS,AS111)</f>
        <v>453382640</v>
      </c>
      <c r="AX111" s="23">
        <f t="shared" si="50"/>
        <v>453382640</v>
      </c>
      <c r="AY111" s="23">
        <f t="shared" si="51"/>
        <v>0</v>
      </c>
    </row>
    <row r="112" spans="1:51" hidden="1" x14ac:dyDescent="0.3">
      <c r="A112">
        <v>2022</v>
      </c>
      <c r="B112">
        <v>307</v>
      </c>
      <c r="C112">
        <v>11020600902</v>
      </c>
      <c r="D112" s="5" t="s">
        <v>44</v>
      </c>
      <c r="E112" s="8" t="s">
        <v>290</v>
      </c>
      <c r="F112">
        <v>11020600902</v>
      </c>
      <c r="G112" s="8" t="s">
        <v>291</v>
      </c>
      <c r="H112" t="s">
        <v>47</v>
      </c>
      <c r="I112" s="11">
        <v>854197207</v>
      </c>
      <c r="J112" s="11">
        <v>854197207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854197207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658231016.25</v>
      </c>
      <c r="X112" s="11">
        <v>13078041.880000001</v>
      </c>
      <c r="Y112" s="17">
        <v>645152974.37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658231016.25</v>
      </c>
      <c r="AG112" s="11">
        <v>13078041.880000001</v>
      </c>
      <c r="AH112" s="12">
        <v>645152974.37</v>
      </c>
      <c r="AI112" s="11">
        <v>645152974.37</v>
      </c>
      <c r="AJ112" s="11">
        <v>0</v>
      </c>
      <c r="AK112" s="11">
        <v>0</v>
      </c>
      <c r="AL112" s="11">
        <v>645152974.37</v>
      </c>
      <c r="AM112" s="11">
        <v>658231016.25</v>
      </c>
      <c r="AN112" s="11">
        <v>13078041.880000001</v>
      </c>
      <c r="AO112" s="11">
        <v>658231016.25</v>
      </c>
      <c r="AP112" s="11">
        <v>0</v>
      </c>
      <c r="AQ112" s="11">
        <v>13078041.880000001</v>
      </c>
      <c r="AR112" t="s">
        <v>48</v>
      </c>
      <c r="AS112"/>
      <c r="AW112"/>
      <c r="AX112"/>
      <c r="AY112"/>
    </row>
    <row r="113" spans="1:51" hidden="1" x14ac:dyDescent="0.3">
      <c r="A113">
        <v>2022</v>
      </c>
      <c r="B113">
        <v>307</v>
      </c>
      <c r="C113">
        <v>1102060090202</v>
      </c>
      <c r="D113" s="5" t="s">
        <v>44</v>
      </c>
      <c r="E113" s="8" t="s">
        <v>292</v>
      </c>
      <c r="F113">
        <v>1102060090202</v>
      </c>
      <c r="G113" s="8" t="s">
        <v>293</v>
      </c>
      <c r="H113" t="s">
        <v>47</v>
      </c>
      <c r="I113" s="11">
        <v>854197207</v>
      </c>
      <c r="J113" s="11">
        <v>854197207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854197207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658231016.25</v>
      </c>
      <c r="X113" s="11">
        <v>13078041.880000001</v>
      </c>
      <c r="Y113" s="17">
        <v>645152974.37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658231016.25</v>
      </c>
      <c r="AG113" s="11">
        <v>13078041.880000001</v>
      </c>
      <c r="AH113" s="12">
        <v>645152974.37</v>
      </c>
      <c r="AI113" s="11">
        <v>645152974.37</v>
      </c>
      <c r="AJ113" s="11">
        <v>0</v>
      </c>
      <c r="AK113" s="11">
        <v>0</v>
      </c>
      <c r="AL113" s="11">
        <v>645152974.37</v>
      </c>
      <c r="AM113" s="11">
        <v>658231016.25</v>
      </c>
      <c r="AN113" s="11">
        <v>13078041.880000001</v>
      </c>
      <c r="AO113" s="11">
        <v>658231016.25</v>
      </c>
      <c r="AP113" s="11">
        <v>0</v>
      </c>
      <c r="AQ113" s="11">
        <v>13078041.880000001</v>
      </c>
      <c r="AR113" t="s">
        <v>48</v>
      </c>
      <c r="AS113"/>
      <c r="AW113"/>
      <c r="AX113"/>
      <c r="AY113"/>
    </row>
    <row r="114" spans="1:51" hidden="1" x14ac:dyDescent="0.3">
      <c r="A114">
        <v>2022</v>
      </c>
      <c r="B114">
        <v>307</v>
      </c>
      <c r="C114">
        <v>110206009020200</v>
      </c>
      <c r="D114" s="5" t="s">
        <v>44</v>
      </c>
      <c r="E114" s="8" t="s">
        <v>294</v>
      </c>
      <c r="F114">
        <v>110206009020200</v>
      </c>
      <c r="G114" s="8" t="s">
        <v>293</v>
      </c>
      <c r="H114" t="s">
        <v>47</v>
      </c>
      <c r="I114" s="11">
        <v>854197207</v>
      </c>
      <c r="J114" s="11">
        <v>854197207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854197207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658231016.25</v>
      </c>
      <c r="X114" s="11">
        <v>13078041.880000001</v>
      </c>
      <c r="Y114" s="17">
        <v>645152974.37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658231016.25</v>
      </c>
      <c r="AG114" s="11">
        <v>13078041.880000001</v>
      </c>
      <c r="AH114" s="12">
        <v>645152974.37</v>
      </c>
      <c r="AI114" s="11">
        <v>645152974.37</v>
      </c>
      <c r="AJ114" s="11">
        <v>0</v>
      </c>
      <c r="AK114" s="11">
        <v>0</v>
      </c>
      <c r="AL114" s="11">
        <v>645152974.37</v>
      </c>
      <c r="AM114" s="11">
        <v>658231016.25</v>
      </c>
      <c r="AN114" s="11">
        <v>13078041.880000001</v>
      </c>
      <c r="AO114" s="11">
        <v>658231016.25</v>
      </c>
      <c r="AP114" s="11">
        <v>0</v>
      </c>
      <c r="AQ114" s="11">
        <v>13078041.880000001</v>
      </c>
      <c r="AR114" t="s">
        <v>48</v>
      </c>
      <c r="AS114"/>
      <c r="AW114"/>
      <c r="AX114"/>
      <c r="AY114"/>
    </row>
    <row r="115" spans="1:51" hidden="1" x14ac:dyDescent="0.3">
      <c r="A115">
        <v>2022</v>
      </c>
      <c r="B115">
        <v>307</v>
      </c>
      <c r="C115">
        <v>1.102060090202E+17</v>
      </c>
      <c r="D115" s="5" t="s">
        <v>44</v>
      </c>
      <c r="E115" s="8" t="s">
        <v>1088</v>
      </c>
      <c r="F115">
        <v>1.102060090202E+17</v>
      </c>
      <c r="G115" s="8" t="s">
        <v>293</v>
      </c>
      <c r="H115" t="s">
        <v>47</v>
      </c>
      <c r="I115" s="11">
        <v>854197207</v>
      </c>
      <c r="J115" s="11">
        <v>854197207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854197207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658231016.25</v>
      </c>
      <c r="X115" s="11">
        <v>13078041.880000001</v>
      </c>
      <c r="Y115" s="17">
        <v>645152974.37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658231016.25</v>
      </c>
      <c r="AG115" s="11">
        <v>13078041.880000001</v>
      </c>
      <c r="AH115" s="12">
        <v>645152974.37</v>
      </c>
      <c r="AI115" s="11">
        <v>645152974.37</v>
      </c>
      <c r="AJ115" s="11">
        <v>0</v>
      </c>
      <c r="AK115" s="11">
        <v>0</v>
      </c>
      <c r="AL115" s="11">
        <v>645152974.37</v>
      </c>
      <c r="AM115" s="11">
        <v>658231016.25</v>
      </c>
      <c r="AN115" s="11">
        <v>13078041.880000001</v>
      </c>
      <c r="AO115" s="11">
        <v>658231016.25</v>
      </c>
      <c r="AP115" s="11">
        <v>0</v>
      </c>
      <c r="AQ115" s="11">
        <v>13078041.880000001</v>
      </c>
      <c r="AR115" t="s">
        <v>48</v>
      </c>
      <c r="AS115"/>
      <c r="AW115"/>
      <c r="AX115"/>
      <c r="AY115"/>
    </row>
    <row r="116" spans="1:51" hidden="1" x14ac:dyDescent="0.3">
      <c r="A116">
        <v>2022</v>
      </c>
      <c r="B116">
        <v>307</v>
      </c>
      <c r="C116">
        <v>1.1020600902019999E+20</v>
      </c>
      <c r="D116" s="5" t="s">
        <v>44</v>
      </c>
      <c r="E116" s="8" t="s">
        <v>1089</v>
      </c>
      <c r="F116">
        <v>1.1020600902019999E+20</v>
      </c>
      <c r="G116" s="8" t="s">
        <v>293</v>
      </c>
      <c r="H116" t="s">
        <v>47</v>
      </c>
      <c r="I116" s="11">
        <v>854197207</v>
      </c>
      <c r="J116" s="11">
        <v>854197207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854197207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658231016.25</v>
      </c>
      <c r="X116" s="11">
        <v>13078041.880000001</v>
      </c>
      <c r="Y116" s="17">
        <v>645152974.37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658231016.25</v>
      </c>
      <c r="AG116" s="11">
        <v>13078041.880000001</v>
      </c>
      <c r="AH116" s="12">
        <v>645152974.37</v>
      </c>
      <c r="AI116" s="11">
        <v>645152974.37</v>
      </c>
      <c r="AJ116" s="11">
        <v>0</v>
      </c>
      <c r="AK116" s="11">
        <v>0</v>
      </c>
      <c r="AL116" s="11">
        <v>645152974.37</v>
      </c>
      <c r="AM116" s="11">
        <v>658231016.25</v>
      </c>
      <c r="AN116" s="11">
        <v>13078041.880000001</v>
      </c>
      <c r="AO116" s="11">
        <v>658231016.25</v>
      </c>
      <c r="AP116" s="11">
        <v>0</v>
      </c>
      <c r="AQ116" s="11">
        <v>13078041.880000001</v>
      </c>
      <c r="AR116" t="s">
        <v>48</v>
      </c>
      <c r="AS116"/>
      <c r="AW116"/>
      <c r="AX116"/>
      <c r="AY116"/>
    </row>
    <row r="117" spans="1:51" x14ac:dyDescent="0.3">
      <c r="A117">
        <v>2022</v>
      </c>
      <c r="B117">
        <v>307</v>
      </c>
      <c r="C117">
        <v>1.102060090202E+35</v>
      </c>
      <c r="D117" s="5">
        <v>20</v>
      </c>
      <c r="E117" s="8" t="s">
        <v>299</v>
      </c>
      <c r="F117">
        <v>1.102060090202E+35</v>
      </c>
      <c r="G117" s="8" t="s">
        <v>160</v>
      </c>
      <c r="H117" t="s">
        <v>47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7353545</v>
      </c>
      <c r="X117" s="11">
        <v>565565</v>
      </c>
      <c r="Y117" s="17">
        <v>6787980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7353545</v>
      </c>
      <c r="AG117" s="11">
        <v>565565</v>
      </c>
      <c r="AH117" s="12">
        <v>6787980</v>
      </c>
      <c r="AI117" s="11">
        <v>6787980</v>
      </c>
      <c r="AJ117" s="11">
        <v>0</v>
      </c>
      <c r="AK117" s="11">
        <v>0</v>
      </c>
      <c r="AL117" s="11">
        <v>6787980</v>
      </c>
      <c r="AM117" s="11">
        <v>7353545</v>
      </c>
      <c r="AN117" s="11">
        <v>565565</v>
      </c>
      <c r="AO117" s="11">
        <v>7353545</v>
      </c>
      <c r="AP117" s="11">
        <v>0</v>
      </c>
      <c r="AQ117" s="11">
        <v>565565</v>
      </c>
      <c r="AR117" t="s">
        <v>57</v>
      </c>
      <c r="AS117" s="4" t="str">
        <f t="shared" ref="AS117:AS133" si="52">+G117</f>
        <v>Lotería del Quindío E.I.C.E.</v>
      </c>
      <c r="AT117" t="str">
        <f t="shared" ref="AT117:AT133" si="53">+D117&amp;AS117&amp;Y117</f>
        <v>20Lotería del Quindío E.I.C.E.6787980</v>
      </c>
      <c r="AU117" t="str">
        <f>+_xlfn.XLOOKUP(AT117,CRUCE!J:J,CRUCE!M:M)</f>
        <v>READY</v>
      </c>
      <c r="AV117" t="s">
        <v>1907</v>
      </c>
      <c r="AW117" s="23">
        <f>+SUMIFS(CRUCE!D:D,CRUCE!A:A,'2022'!D117,CRUCE!B:B,'2022'!AS117)/COUNTIFS(D:D,D117,AS:AS,AS117)</f>
        <v>6787980</v>
      </c>
      <c r="AX117" s="23">
        <f t="shared" ref="AX117:AX133" si="54">+SUMIFS(Y:Y,D:D,D117,AS:AS,AS117)/COUNTIFS(D:D,D117,AS:AS,AS117)</f>
        <v>6787980</v>
      </c>
      <c r="AY117" s="23">
        <f t="shared" ref="AY117:AY133" si="55">+AW117-AX117</f>
        <v>0</v>
      </c>
    </row>
    <row r="118" spans="1:51" x14ac:dyDescent="0.3">
      <c r="A118">
        <v>2022</v>
      </c>
      <c r="B118">
        <v>307</v>
      </c>
      <c r="C118">
        <v>1.102060090202E+35</v>
      </c>
      <c r="D118" s="5">
        <v>20</v>
      </c>
      <c r="E118" s="8" t="s">
        <v>302</v>
      </c>
      <c r="F118">
        <v>1.102060090202E+35</v>
      </c>
      <c r="G118" s="8" t="s">
        <v>303</v>
      </c>
      <c r="H118" t="s">
        <v>47</v>
      </c>
      <c r="I118" s="11">
        <v>6464018.1500000004</v>
      </c>
      <c r="J118" s="11">
        <v>6464018.1500000004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6464018.1500000004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767101</v>
      </c>
      <c r="X118" s="11">
        <v>0</v>
      </c>
      <c r="Y118" s="17">
        <v>767101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767101</v>
      </c>
      <c r="AG118" s="11">
        <v>0</v>
      </c>
      <c r="AH118" s="12">
        <v>767101</v>
      </c>
      <c r="AI118" s="11">
        <v>767101</v>
      </c>
      <c r="AJ118" s="11">
        <v>0</v>
      </c>
      <c r="AK118" s="11">
        <v>0</v>
      </c>
      <c r="AL118" s="11">
        <v>767101</v>
      </c>
      <c r="AM118" s="11">
        <v>767101</v>
      </c>
      <c r="AN118" s="11">
        <v>0</v>
      </c>
      <c r="AO118" s="11">
        <v>767101</v>
      </c>
      <c r="AP118" s="11">
        <v>0</v>
      </c>
      <c r="AQ118" s="11">
        <v>0</v>
      </c>
      <c r="AR118" t="s">
        <v>57</v>
      </c>
      <c r="AS118" s="4" t="str">
        <f t="shared" si="52"/>
        <v>E.S.E. Hospital San Antonio - Roldanillo (Valle)</v>
      </c>
      <c r="AT118" t="str">
        <f t="shared" si="53"/>
        <v>20E.S.E. Hospital San Antonio - Roldanillo (Valle)767101</v>
      </c>
      <c r="AU118" t="str">
        <f>+_xlfn.XLOOKUP(AT118,CRUCE!J:J,CRUCE!M:M)</f>
        <v>READY</v>
      </c>
      <c r="AV118" t="s">
        <v>1907</v>
      </c>
      <c r="AW118" s="23">
        <f>+SUMIFS(CRUCE!D:D,CRUCE!A:A,'2022'!D118,CRUCE!B:B,'2022'!AS118)/COUNTIFS(D:D,D118,AS:AS,AS118)</f>
        <v>767101</v>
      </c>
      <c r="AX118" s="23">
        <f t="shared" si="54"/>
        <v>767101</v>
      </c>
      <c r="AY118" s="23">
        <f t="shared" si="55"/>
        <v>0</v>
      </c>
    </row>
    <row r="119" spans="1:51" x14ac:dyDescent="0.3">
      <c r="A119">
        <v>2022</v>
      </c>
      <c r="B119">
        <v>307</v>
      </c>
      <c r="C119">
        <v>1.102060090202E+35</v>
      </c>
      <c r="D119" s="5">
        <v>20</v>
      </c>
      <c r="E119" s="8" t="s">
        <v>304</v>
      </c>
      <c r="F119">
        <v>1.102060090202E+35</v>
      </c>
      <c r="G119" s="8" t="s">
        <v>305</v>
      </c>
      <c r="H119" t="s">
        <v>47</v>
      </c>
      <c r="I119" s="11">
        <v>29212466.32</v>
      </c>
      <c r="J119" s="11">
        <v>29212466.32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29212466.32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13937621</v>
      </c>
      <c r="X119" s="11">
        <v>0</v>
      </c>
      <c r="Y119" s="17">
        <v>13937621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13937621</v>
      </c>
      <c r="AG119" s="11">
        <v>0</v>
      </c>
      <c r="AH119" s="12">
        <v>13937621</v>
      </c>
      <c r="AI119" s="11">
        <v>13937621</v>
      </c>
      <c r="AJ119" s="11">
        <v>0</v>
      </c>
      <c r="AK119" s="11">
        <v>0</v>
      </c>
      <c r="AL119" s="11">
        <v>13937621</v>
      </c>
      <c r="AM119" s="11">
        <v>13937621</v>
      </c>
      <c r="AN119" s="11">
        <v>0</v>
      </c>
      <c r="AO119" s="11">
        <v>13937621</v>
      </c>
      <c r="AP119" s="11">
        <v>0</v>
      </c>
      <c r="AQ119" s="11">
        <v>0</v>
      </c>
      <c r="AR119" t="s">
        <v>57</v>
      </c>
      <c r="AS119" s="4" t="str">
        <f t="shared" si="52"/>
        <v>Empresas Públicas Municipales de Armenia</v>
      </c>
      <c r="AT119" t="str">
        <f t="shared" si="53"/>
        <v>20Empresas Públicas Municipales de Armenia13937621</v>
      </c>
      <c r="AU119" t="str">
        <f>+_xlfn.XLOOKUP(AT119,CRUCE!J:J,CRUCE!M:M)</f>
        <v>READY</v>
      </c>
      <c r="AV119" t="s">
        <v>1907</v>
      </c>
      <c r="AW119" s="23">
        <f>+SUMIFS(CRUCE!D:D,CRUCE!A:A,'2022'!D119,CRUCE!B:B,'2022'!AS119)/COUNTIFS(D:D,D119,AS:AS,AS119)</f>
        <v>13937621</v>
      </c>
      <c r="AX119" s="23">
        <f t="shared" si="54"/>
        <v>13937621</v>
      </c>
      <c r="AY119" s="23">
        <f t="shared" si="55"/>
        <v>0</v>
      </c>
    </row>
    <row r="120" spans="1:51" x14ac:dyDescent="0.3">
      <c r="A120">
        <v>2022</v>
      </c>
      <c r="B120">
        <v>307</v>
      </c>
      <c r="C120">
        <v>1.102060090202E+35</v>
      </c>
      <c r="D120" s="5">
        <v>20</v>
      </c>
      <c r="E120" s="8" t="s">
        <v>306</v>
      </c>
      <c r="F120">
        <v>1.102060090202E+35</v>
      </c>
      <c r="G120" s="8" t="s">
        <v>307</v>
      </c>
      <c r="H120" t="s">
        <v>47</v>
      </c>
      <c r="I120" s="11">
        <v>82495027.030000001</v>
      </c>
      <c r="J120" s="11">
        <v>82495027.030000001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82495027.030000001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99552135.25</v>
      </c>
      <c r="X120" s="11">
        <v>12074700.880000001</v>
      </c>
      <c r="Y120" s="17">
        <v>87477434.370000005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99552135.25</v>
      </c>
      <c r="AG120" s="11">
        <v>12074700.880000001</v>
      </c>
      <c r="AH120" s="12">
        <v>87477434.370000005</v>
      </c>
      <c r="AI120" s="11">
        <v>87477434.370000005</v>
      </c>
      <c r="AJ120" s="11">
        <v>0</v>
      </c>
      <c r="AK120" s="11">
        <v>0</v>
      </c>
      <c r="AL120" s="11">
        <v>87477434.370000005</v>
      </c>
      <c r="AM120" s="11">
        <v>99552135.25</v>
      </c>
      <c r="AN120" s="11">
        <v>12074700.880000001</v>
      </c>
      <c r="AO120" s="11">
        <v>99552135.25</v>
      </c>
      <c r="AP120" s="11">
        <v>0</v>
      </c>
      <c r="AQ120" s="11">
        <v>12074700.880000001</v>
      </c>
      <c r="AR120" t="s">
        <v>57</v>
      </c>
      <c r="AS120" s="4" t="str">
        <f t="shared" si="52"/>
        <v>Ministerio de Defensa Nacional</v>
      </c>
      <c r="AT120" t="str">
        <f t="shared" si="53"/>
        <v>20Ministerio de Defensa Nacional87477434,37</v>
      </c>
      <c r="AU120" t="str">
        <f>+_xlfn.XLOOKUP(AT120,CRUCE!J:J,CRUCE!M:M)</f>
        <v>READY</v>
      </c>
      <c r="AV120" t="s">
        <v>1907</v>
      </c>
      <c r="AW120" s="23">
        <f>+SUMIFS(CRUCE!D:D,CRUCE!A:A,'2022'!D120,CRUCE!B:B,'2022'!AS120)/COUNTIFS(D:D,D120,AS:AS,AS120)</f>
        <v>87477434.370000005</v>
      </c>
      <c r="AX120" s="23">
        <f t="shared" si="54"/>
        <v>87477434.370000005</v>
      </c>
      <c r="AY120" s="23">
        <f t="shared" si="55"/>
        <v>0</v>
      </c>
    </row>
    <row r="121" spans="1:51" x14ac:dyDescent="0.3">
      <c r="A121">
        <v>2022</v>
      </c>
      <c r="B121">
        <v>307</v>
      </c>
      <c r="C121">
        <v>1.102060090202E+35</v>
      </c>
      <c r="D121" s="5">
        <v>20</v>
      </c>
      <c r="E121" s="8" t="s">
        <v>310</v>
      </c>
      <c r="F121">
        <v>1.102060090202E+35</v>
      </c>
      <c r="G121" s="8" t="s">
        <v>311</v>
      </c>
      <c r="H121" t="s">
        <v>47</v>
      </c>
      <c r="I121" s="11">
        <v>3653621.85</v>
      </c>
      <c r="J121" s="11">
        <v>3653621.85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3653621.85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2358572</v>
      </c>
      <c r="X121" s="11">
        <v>437776</v>
      </c>
      <c r="Y121" s="17">
        <v>1920796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2358572</v>
      </c>
      <c r="AG121" s="11">
        <v>437776</v>
      </c>
      <c r="AH121" s="12">
        <v>1920796</v>
      </c>
      <c r="AI121" s="11">
        <v>1920796</v>
      </c>
      <c r="AJ121" s="11">
        <v>0</v>
      </c>
      <c r="AK121" s="11">
        <v>0</v>
      </c>
      <c r="AL121" s="11">
        <v>1920796</v>
      </c>
      <c r="AM121" s="11">
        <v>2358572</v>
      </c>
      <c r="AN121" s="11">
        <v>437776</v>
      </c>
      <c r="AO121" s="11">
        <v>2358572</v>
      </c>
      <c r="AP121" s="11">
        <v>0</v>
      </c>
      <c r="AQ121" s="11">
        <v>437776</v>
      </c>
      <c r="AR121" t="s">
        <v>57</v>
      </c>
      <c r="AS121" s="4" t="str">
        <f t="shared" si="52"/>
        <v>Superintendencia Financiera de Colombia</v>
      </c>
      <c r="AT121" t="str">
        <f t="shared" si="53"/>
        <v>20Superintendencia Financiera de Colombia1920796</v>
      </c>
      <c r="AU121" t="str">
        <f>+_xlfn.XLOOKUP(AT121,CRUCE!J:J,CRUCE!M:M)</f>
        <v>READY</v>
      </c>
      <c r="AV121" t="s">
        <v>1907</v>
      </c>
      <c r="AW121" s="23">
        <f>+SUMIFS(CRUCE!D:D,CRUCE!A:A,'2022'!D121,CRUCE!B:B,'2022'!AS121)/COUNTIFS(D:D,D121,AS:AS,AS121)</f>
        <v>1920796</v>
      </c>
      <c r="AX121" s="23">
        <f t="shared" si="54"/>
        <v>1920796</v>
      </c>
      <c r="AY121" s="23">
        <f t="shared" si="55"/>
        <v>0</v>
      </c>
    </row>
    <row r="122" spans="1:51" x14ac:dyDescent="0.3">
      <c r="A122">
        <v>2022</v>
      </c>
      <c r="B122">
        <v>307</v>
      </c>
      <c r="C122">
        <v>1.102060090202E+35</v>
      </c>
      <c r="D122" s="5">
        <v>20</v>
      </c>
      <c r="E122" s="8" t="s">
        <v>312</v>
      </c>
      <c r="F122">
        <v>1.102060090202E+35</v>
      </c>
      <c r="G122" s="8" t="s">
        <v>313</v>
      </c>
      <c r="H122" t="s">
        <v>47</v>
      </c>
      <c r="I122" s="11">
        <v>248622471.38</v>
      </c>
      <c r="J122" s="11">
        <v>248622471.38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248622471.38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461412680</v>
      </c>
      <c r="X122" s="11">
        <v>0</v>
      </c>
      <c r="Y122" s="17">
        <v>461412680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461412680</v>
      </c>
      <c r="AG122" s="11">
        <v>0</v>
      </c>
      <c r="AH122" s="12">
        <v>461412680</v>
      </c>
      <c r="AI122" s="11">
        <v>461412680</v>
      </c>
      <c r="AJ122" s="11">
        <v>0</v>
      </c>
      <c r="AK122" s="11">
        <v>0</v>
      </c>
      <c r="AL122" s="11">
        <v>461412680</v>
      </c>
      <c r="AM122" s="11">
        <v>461412680</v>
      </c>
      <c r="AN122" s="11">
        <v>0</v>
      </c>
      <c r="AO122" s="11">
        <v>461412680</v>
      </c>
      <c r="AP122" s="11">
        <v>0</v>
      </c>
      <c r="AQ122" s="11">
        <v>0</v>
      </c>
      <c r="AR122" t="s">
        <v>57</v>
      </c>
      <c r="AS122" s="4" t="str">
        <f t="shared" si="52"/>
        <v>Departamento de Caldas</v>
      </c>
      <c r="AT122" t="str">
        <f t="shared" si="53"/>
        <v>20Departamento de Caldas461412680</v>
      </c>
      <c r="AU122" t="str">
        <f>+_xlfn.XLOOKUP(AT122,CRUCE!J:J,CRUCE!M:M)</f>
        <v>READY</v>
      </c>
      <c r="AV122" t="s">
        <v>1907</v>
      </c>
      <c r="AW122" s="23">
        <f>+SUMIFS(CRUCE!D:D,CRUCE!A:A,'2022'!D122,CRUCE!B:B,'2022'!AS122)/COUNTIFS(D:D,D122,AS:AS,AS122)</f>
        <v>461412680</v>
      </c>
      <c r="AX122" s="23">
        <f t="shared" si="54"/>
        <v>461412680</v>
      </c>
      <c r="AY122" s="23">
        <f t="shared" si="55"/>
        <v>0</v>
      </c>
    </row>
    <row r="123" spans="1:51" x14ac:dyDescent="0.3">
      <c r="A123">
        <v>2022</v>
      </c>
      <c r="B123">
        <v>307</v>
      </c>
      <c r="C123">
        <v>1.102060090202E+35</v>
      </c>
      <c r="D123" s="5">
        <v>20</v>
      </c>
      <c r="E123" s="8" t="s">
        <v>314</v>
      </c>
      <c r="F123">
        <v>1.102060090202E+35</v>
      </c>
      <c r="G123" s="8" t="s">
        <v>315</v>
      </c>
      <c r="H123" t="s">
        <v>47</v>
      </c>
      <c r="I123" s="11">
        <v>7408382.3700000001</v>
      </c>
      <c r="J123" s="11">
        <v>7408382.3700000001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7408382.3700000001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2596258</v>
      </c>
      <c r="X123" s="11">
        <v>0</v>
      </c>
      <c r="Y123" s="17">
        <v>2596258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2596258</v>
      </c>
      <c r="AG123" s="11">
        <v>0</v>
      </c>
      <c r="AH123" s="12">
        <v>2596258</v>
      </c>
      <c r="AI123" s="11">
        <v>2596258</v>
      </c>
      <c r="AJ123" s="11">
        <v>0</v>
      </c>
      <c r="AK123" s="11">
        <v>0</v>
      </c>
      <c r="AL123" s="11">
        <v>2596258</v>
      </c>
      <c r="AM123" s="11">
        <v>2596258</v>
      </c>
      <c r="AN123" s="11">
        <v>0</v>
      </c>
      <c r="AO123" s="11">
        <v>2596258</v>
      </c>
      <c r="AP123" s="11">
        <v>0</v>
      </c>
      <c r="AQ123" s="11">
        <v>0</v>
      </c>
      <c r="AR123" t="s">
        <v>57</v>
      </c>
      <c r="AS123" s="4" t="str">
        <f t="shared" si="52"/>
        <v>Departamento de Risaralda</v>
      </c>
      <c r="AT123" t="str">
        <f t="shared" si="53"/>
        <v>20Departamento de Risaralda2596258</v>
      </c>
      <c r="AU123" t="str">
        <f>+_xlfn.XLOOKUP(AT123,CRUCE!J:J,CRUCE!M:M)</f>
        <v>READY</v>
      </c>
      <c r="AV123" t="s">
        <v>1907</v>
      </c>
      <c r="AW123" s="23">
        <f>+SUMIFS(CRUCE!D:D,CRUCE!A:A,'2022'!D123,CRUCE!B:B,'2022'!AS123)/COUNTIFS(D:D,D123,AS:AS,AS123)</f>
        <v>2596258</v>
      </c>
      <c r="AX123" s="23">
        <f t="shared" si="54"/>
        <v>2596258</v>
      </c>
      <c r="AY123" s="23">
        <f t="shared" si="55"/>
        <v>0</v>
      </c>
    </row>
    <row r="124" spans="1:51" x14ac:dyDescent="0.3">
      <c r="A124">
        <v>2022</v>
      </c>
      <c r="B124">
        <v>307</v>
      </c>
      <c r="C124">
        <v>1.102060090202E+35</v>
      </c>
      <c r="D124" s="5">
        <v>20</v>
      </c>
      <c r="E124" s="8" t="s">
        <v>317</v>
      </c>
      <c r="F124">
        <v>1.102060090202E+35</v>
      </c>
      <c r="G124" s="8" t="s">
        <v>174</v>
      </c>
      <c r="H124" t="s">
        <v>47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4536421</v>
      </c>
      <c r="X124" s="11">
        <v>0</v>
      </c>
      <c r="Y124" s="17">
        <v>4536421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4536421</v>
      </c>
      <c r="AG124" s="11">
        <v>0</v>
      </c>
      <c r="AH124" s="12">
        <v>4536421</v>
      </c>
      <c r="AI124" s="11">
        <v>4536421</v>
      </c>
      <c r="AJ124" s="11">
        <v>0</v>
      </c>
      <c r="AK124" s="11">
        <v>0</v>
      </c>
      <c r="AL124" s="11">
        <v>4536421</v>
      </c>
      <c r="AM124" s="11">
        <v>4536421</v>
      </c>
      <c r="AN124" s="11">
        <v>0</v>
      </c>
      <c r="AO124" s="11">
        <v>4536421</v>
      </c>
      <c r="AP124" s="11">
        <v>0</v>
      </c>
      <c r="AQ124" s="11">
        <v>0</v>
      </c>
      <c r="AR124" t="s">
        <v>57</v>
      </c>
      <c r="AS124" s="4" t="str">
        <f t="shared" si="52"/>
        <v>Universidad del Quindío</v>
      </c>
      <c r="AT124" t="str">
        <f t="shared" si="53"/>
        <v>20Universidad del Quindío4536421</v>
      </c>
      <c r="AU124" t="str">
        <f>+_xlfn.XLOOKUP(AT124,CRUCE!J:J,CRUCE!M:M)</f>
        <v>READY</v>
      </c>
      <c r="AV124" t="s">
        <v>1907</v>
      </c>
      <c r="AW124" s="23">
        <f>+SUMIFS(CRUCE!D:D,CRUCE!A:A,'2022'!D124,CRUCE!B:B,'2022'!AS124)/COUNTIFS(D:D,D124,AS:AS,AS124)</f>
        <v>4536421</v>
      </c>
      <c r="AX124" s="23">
        <f t="shared" si="54"/>
        <v>4536421</v>
      </c>
      <c r="AY124" s="23">
        <f t="shared" si="55"/>
        <v>0</v>
      </c>
    </row>
    <row r="125" spans="1:51" x14ac:dyDescent="0.3">
      <c r="A125">
        <v>2022</v>
      </c>
      <c r="B125">
        <v>307</v>
      </c>
      <c r="C125">
        <v>1.102060090202E+35</v>
      </c>
      <c r="D125" s="5">
        <v>20</v>
      </c>
      <c r="E125" s="8" t="s">
        <v>318</v>
      </c>
      <c r="F125">
        <v>1.102060090202E+35</v>
      </c>
      <c r="G125" s="8" t="s">
        <v>319</v>
      </c>
      <c r="H125" t="s">
        <v>47</v>
      </c>
      <c r="I125" s="11">
        <v>168621174.96000001</v>
      </c>
      <c r="J125" s="11">
        <v>168621174.96000001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168621174.96000001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40463580</v>
      </c>
      <c r="X125" s="11">
        <v>0</v>
      </c>
      <c r="Y125" s="17">
        <v>40463580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40463580</v>
      </c>
      <c r="AG125" s="11">
        <v>0</v>
      </c>
      <c r="AH125" s="12">
        <v>40463580</v>
      </c>
      <c r="AI125" s="11">
        <v>40463580</v>
      </c>
      <c r="AJ125" s="11">
        <v>0</v>
      </c>
      <c r="AK125" s="11">
        <v>0</v>
      </c>
      <c r="AL125" s="11">
        <v>40463580</v>
      </c>
      <c r="AM125" s="11">
        <v>40463580</v>
      </c>
      <c r="AN125" s="11">
        <v>0</v>
      </c>
      <c r="AO125" s="11">
        <v>40463580</v>
      </c>
      <c r="AP125" s="11">
        <v>0</v>
      </c>
      <c r="AQ125" s="11">
        <v>0</v>
      </c>
      <c r="AR125" t="s">
        <v>57</v>
      </c>
      <c r="AS125" s="4" t="str">
        <f t="shared" si="52"/>
        <v>Universidad del Valle</v>
      </c>
      <c r="AT125" t="str">
        <f t="shared" si="53"/>
        <v>20Universidad del Valle40463580</v>
      </c>
      <c r="AU125" t="str">
        <f>+_xlfn.XLOOKUP(AT125,CRUCE!J:J,CRUCE!M:M)</f>
        <v>READY</v>
      </c>
      <c r="AV125" t="s">
        <v>1907</v>
      </c>
      <c r="AW125" s="23">
        <f>+SUMIFS(CRUCE!D:D,CRUCE!A:A,'2022'!D125,CRUCE!B:B,'2022'!AS125)/COUNTIFS(D:D,D125,AS:AS,AS125)</f>
        <v>40463580</v>
      </c>
      <c r="AX125" s="23">
        <f t="shared" si="54"/>
        <v>40463580</v>
      </c>
      <c r="AY125" s="23">
        <f t="shared" si="55"/>
        <v>0</v>
      </c>
    </row>
    <row r="126" spans="1:51" x14ac:dyDescent="0.3">
      <c r="A126">
        <v>2022</v>
      </c>
      <c r="B126">
        <v>307</v>
      </c>
      <c r="C126">
        <v>1.102060090202E+35</v>
      </c>
      <c r="D126" s="5">
        <v>20</v>
      </c>
      <c r="E126" s="8" t="s">
        <v>320</v>
      </c>
      <c r="F126">
        <v>1.102060090202E+35</v>
      </c>
      <c r="G126" s="8" t="s">
        <v>321</v>
      </c>
      <c r="H126" t="s">
        <v>47</v>
      </c>
      <c r="I126" s="11">
        <v>3029058.17</v>
      </c>
      <c r="J126" s="11">
        <v>3029058.17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3029058.17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1272540</v>
      </c>
      <c r="X126" s="11">
        <v>0</v>
      </c>
      <c r="Y126" s="17">
        <v>1272540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1272540</v>
      </c>
      <c r="AG126" s="11">
        <v>0</v>
      </c>
      <c r="AH126" s="12">
        <v>1272540</v>
      </c>
      <c r="AI126" s="11">
        <v>1272540</v>
      </c>
      <c r="AJ126" s="11">
        <v>0</v>
      </c>
      <c r="AK126" s="11">
        <v>0</v>
      </c>
      <c r="AL126" s="11">
        <v>1272540</v>
      </c>
      <c r="AM126" s="11">
        <v>1272540</v>
      </c>
      <c r="AN126" s="11">
        <v>0</v>
      </c>
      <c r="AO126" s="11">
        <v>1272540</v>
      </c>
      <c r="AP126" s="11">
        <v>0</v>
      </c>
      <c r="AQ126" s="11">
        <v>0</v>
      </c>
      <c r="AR126" t="s">
        <v>57</v>
      </c>
      <c r="AS126" s="4" t="str">
        <f t="shared" si="52"/>
        <v>Supía</v>
      </c>
      <c r="AT126" t="str">
        <f t="shared" si="53"/>
        <v>20Supía1272540</v>
      </c>
      <c r="AU126" t="str">
        <f>+_xlfn.XLOOKUP(AT126,CRUCE!J:J,CRUCE!M:M)</f>
        <v>READY</v>
      </c>
      <c r="AV126" t="s">
        <v>1907</v>
      </c>
      <c r="AW126" s="23">
        <f>+SUMIFS(CRUCE!D:D,CRUCE!A:A,'2022'!D126,CRUCE!B:B,'2022'!AS126)/COUNTIFS(D:D,D126,AS:AS,AS126)</f>
        <v>1272540</v>
      </c>
      <c r="AX126" s="23">
        <f t="shared" si="54"/>
        <v>1272540</v>
      </c>
      <c r="AY126" s="23">
        <f t="shared" si="55"/>
        <v>0</v>
      </c>
    </row>
    <row r="127" spans="1:51" x14ac:dyDescent="0.3">
      <c r="A127">
        <v>2022</v>
      </c>
      <c r="B127">
        <v>307</v>
      </c>
      <c r="C127">
        <v>1.102060090202E+35</v>
      </c>
      <c r="D127" s="5">
        <v>20</v>
      </c>
      <c r="E127" s="8" t="s">
        <v>324</v>
      </c>
      <c r="F127">
        <v>1.102060090202E+35</v>
      </c>
      <c r="G127" s="8" t="s">
        <v>325</v>
      </c>
      <c r="H127" t="s">
        <v>47</v>
      </c>
      <c r="I127" s="11">
        <v>210123453.05000001</v>
      </c>
      <c r="J127" s="11">
        <v>210123453.05000001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210123453.05000001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7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2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t="s">
        <v>57</v>
      </c>
      <c r="AS127" s="4" t="str">
        <f t="shared" si="52"/>
        <v>Armenia</v>
      </c>
      <c r="AT127" t="str">
        <f t="shared" si="53"/>
        <v>20Armenia0</v>
      </c>
      <c r="AU127" t="str">
        <f>+_xlfn.XLOOKUP(AT127,CRUCE!J:J,CRUCE!M:M)</f>
        <v>READY</v>
      </c>
      <c r="AV127" t="s">
        <v>1907</v>
      </c>
      <c r="AW127" s="23">
        <f>+SUMIFS(CRUCE!D:D,CRUCE!A:A,'2022'!D127,CRUCE!B:B,'2022'!AS127)/COUNTIFS(D:D,D127,AS:AS,AS127)</f>
        <v>0</v>
      </c>
      <c r="AX127" s="23">
        <f t="shared" si="54"/>
        <v>0</v>
      </c>
      <c r="AY127" s="23">
        <f t="shared" si="55"/>
        <v>0</v>
      </c>
    </row>
    <row r="128" spans="1:51" x14ac:dyDescent="0.3">
      <c r="A128">
        <v>2022</v>
      </c>
      <c r="B128">
        <v>307</v>
      </c>
      <c r="C128">
        <v>1.102060090202E+35</v>
      </c>
      <c r="D128" s="5">
        <v>20</v>
      </c>
      <c r="E128" s="8" t="s">
        <v>326</v>
      </c>
      <c r="F128">
        <v>1.102060090202E+35</v>
      </c>
      <c r="G128" s="8" t="s">
        <v>327</v>
      </c>
      <c r="H128" t="s">
        <v>47</v>
      </c>
      <c r="I128" s="11">
        <v>16794370.32</v>
      </c>
      <c r="J128" s="11">
        <v>16794370.32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16794370.32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3779339</v>
      </c>
      <c r="X128" s="11">
        <v>0</v>
      </c>
      <c r="Y128" s="17">
        <v>3779339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3779339</v>
      </c>
      <c r="AG128" s="11">
        <v>0</v>
      </c>
      <c r="AH128" s="12">
        <v>3779339</v>
      </c>
      <c r="AI128" s="11">
        <v>3779339</v>
      </c>
      <c r="AJ128" s="11">
        <v>0</v>
      </c>
      <c r="AK128" s="11">
        <v>0</v>
      </c>
      <c r="AL128" s="11">
        <v>3779339</v>
      </c>
      <c r="AM128" s="11">
        <v>3779339</v>
      </c>
      <c r="AN128" s="11">
        <v>0</v>
      </c>
      <c r="AO128" s="11">
        <v>3779339</v>
      </c>
      <c r="AP128" s="11">
        <v>0</v>
      </c>
      <c r="AQ128" s="11">
        <v>0</v>
      </c>
      <c r="AR128" t="s">
        <v>57</v>
      </c>
      <c r="AS128" s="4" t="str">
        <f t="shared" si="52"/>
        <v>Buenavista - Quindío</v>
      </c>
      <c r="AT128" t="str">
        <f t="shared" si="53"/>
        <v>20Buenavista - Quindío3779339</v>
      </c>
      <c r="AU128" t="str">
        <f>+_xlfn.XLOOKUP(AT128,CRUCE!J:J,CRUCE!M:M)</f>
        <v>READY</v>
      </c>
      <c r="AV128" t="s">
        <v>1907</v>
      </c>
      <c r="AW128" s="23">
        <f>+SUMIFS(CRUCE!D:D,CRUCE!A:A,'2022'!D128,CRUCE!B:B,'2022'!AS128)/COUNTIFS(D:D,D128,AS:AS,AS128)</f>
        <v>3779339</v>
      </c>
      <c r="AX128" s="23">
        <f t="shared" si="54"/>
        <v>3779339</v>
      </c>
      <c r="AY128" s="23">
        <f t="shared" si="55"/>
        <v>0</v>
      </c>
    </row>
    <row r="129" spans="1:51" x14ac:dyDescent="0.3">
      <c r="A129">
        <v>2022</v>
      </c>
      <c r="B129">
        <v>307</v>
      </c>
      <c r="C129">
        <v>1.102060090202E+35</v>
      </c>
      <c r="D129" s="5">
        <v>20</v>
      </c>
      <c r="E129" s="8" t="s">
        <v>328</v>
      </c>
      <c r="F129">
        <v>1.102060090202E+35</v>
      </c>
      <c r="G129" s="8" t="s">
        <v>329</v>
      </c>
      <c r="H129" t="s">
        <v>47</v>
      </c>
      <c r="I129" s="11">
        <v>24346335.27</v>
      </c>
      <c r="J129" s="11">
        <v>24346335.27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24346335.27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1865610</v>
      </c>
      <c r="X129" s="11">
        <v>0</v>
      </c>
      <c r="Y129" s="17">
        <v>1865610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1865610</v>
      </c>
      <c r="AG129" s="11">
        <v>0</v>
      </c>
      <c r="AH129" s="12">
        <v>1865610</v>
      </c>
      <c r="AI129" s="11">
        <v>1865610</v>
      </c>
      <c r="AJ129" s="11">
        <v>0</v>
      </c>
      <c r="AK129" s="11">
        <v>0</v>
      </c>
      <c r="AL129" s="11">
        <v>1865610</v>
      </c>
      <c r="AM129" s="11">
        <v>1865610</v>
      </c>
      <c r="AN129" s="11">
        <v>0</v>
      </c>
      <c r="AO129" s="11">
        <v>1865610</v>
      </c>
      <c r="AP129" s="11">
        <v>0</v>
      </c>
      <c r="AQ129" s="11">
        <v>0</v>
      </c>
      <c r="AR129" t="s">
        <v>57</v>
      </c>
      <c r="AS129" s="4" t="str">
        <f t="shared" si="52"/>
        <v>Circasia</v>
      </c>
      <c r="AT129" t="str">
        <f t="shared" si="53"/>
        <v>20Circasia1865610</v>
      </c>
      <c r="AU129" t="str">
        <f>+_xlfn.XLOOKUP(AT129,CRUCE!J:J,CRUCE!M:M)</f>
        <v>READY</v>
      </c>
      <c r="AV129" t="s">
        <v>1907</v>
      </c>
      <c r="AW129" s="23">
        <f>+SUMIFS(CRUCE!D:D,CRUCE!A:A,'2022'!D129,CRUCE!B:B,'2022'!AS129)/COUNTIFS(D:D,D129,AS:AS,AS129)</f>
        <v>1865610</v>
      </c>
      <c r="AX129" s="23">
        <f t="shared" si="54"/>
        <v>1865610</v>
      </c>
      <c r="AY129" s="23">
        <f t="shared" si="55"/>
        <v>0</v>
      </c>
    </row>
    <row r="130" spans="1:51" x14ac:dyDescent="0.3">
      <c r="A130">
        <v>2022</v>
      </c>
      <c r="B130">
        <v>307</v>
      </c>
      <c r="C130">
        <v>1.102060090202E+35</v>
      </c>
      <c r="D130" s="5">
        <v>20</v>
      </c>
      <c r="E130" s="8" t="s">
        <v>332</v>
      </c>
      <c r="F130">
        <v>1.102060090202E+35</v>
      </c>
      <c r="G130" s="8" t="s">
        <v>333</v>
      </c>
      <c r="H130" t="s">
        <v>47</v>
      </c>
      <c r="I130" s="11">
        <v>10989808.449999999</v>
      </c>
      <c r="J130" s="11">
        <v>10989808.449999999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10989808.449999999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7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2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t="s">
        <v>57</v>
      </c>
      <c r="AS130" s="4" t="str">
        <f t="shared" si="52"/>
        <v>Génova</v>
      </c>
      <c r="AT130" t="str">
        <f t="shared" si="53"/>
        <v>20Génova0</v>
      </c>
      <c r="AU130" t="str">
        <f>+_xlfn.XLOOKUP(AT130,CRUCE!J:J,CRUCE!M:M)</f>
        <v>READY</v>
      </c>
      <c r="AV130" t="s">
        <v>1907</v>
      </c>
      <c r="AW130" s="23">
        <f>+SUMIFS(CRUCE!D:D,CRUCE!A:A,'2022'!D130,CRUCE!B:B,'2022'!AS130)/COUNTIFS(D:D,D130,AS:AS,AS130)</f>
        <v>0</v>
      </c>
      <c r="AX130" s="23">
        <f t="shared" si="54"/>
        <v>0</v>
      </c>
      <c r="AY130" s="23">
        <f t="shared" si="55"/>
        <v>0</v>
      </c>
    </row>
    <row r="131" spans="1:51" x14ac:dyDescent="0.3">
      <c r="A131">
        <v>2022</v>
      </c>
      <c r="B131">
        <v>307</v>
      </c>
      <c r="C131">
        <v>1.102060090202E+35</v>
      </c>
      <c r="D131" s="5">
        <v>20</v>
      </c>
      <c r="E131" s="8" t="s">
        <v>334</v>
      </c>
      <c r="F131">
        <v>1.102060090202E+35</v>
      </c>
      <c r="G131" s="8" t="s">
        <v>335</v>
      </c>
      <c r="H131" t="s">
        <v>47</v>
      </c>
      <c r="I131" s="11">
        <v>12485796.869999999</v>
      </c>
      <c r="J131" s="11">
        <v>12485796.869999999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12485796.869999999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5110433</v>
      </c>
      <c r="X131" s="11">
        <v>0</v>
      </c>
      <c r="Y131" s="17">
        <v>5110433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5110433</v>
      </c>
      <c r="AG131" s="11">
        <v>0</v>
      </c>
      <c r="AH131" s="12">
        <v>5110433</v>
      </c>
      <c r="AI131" s="11">
        <v>5110433</v>
      </c>
      <c r="AJ131" s="11">
        <v>0</v>
      </c>
      <c r="AK131" s="11">
        <v>0</v>
      </c>
      <c r="AL131" s="11">
        <v>5110433</v>
      </c>
      <c r="AM131" s="11">
        <v>5110433</v>
      </c>
      <c r="AN131" s="11">
        <v>0</v>
      </c>
      <c r="AO131" s="11">
        <v>5110433</v>
      </c>
      <c r="AP131" s="11">
        <v>0</v>
      </c>
      <c r="AQ131" s="11">
        <v>0</v>
      </c>
      <c r="AR131" t="s">
        <v>57</v>
      </c>
      <c r="AS131" s="4" t="str">
        <f t="shared" si="52"/>
        <v>Montenegro</v>
      </c>
      <c r="AT131" t="str">
        <f t="shared" si="53"/>
        <v>20Montenegro5110433</v>
      </c>
      <c r="AU131" t="str">
        <f>+_xlfn.XLOOKUP(AT131,CRUCE!J:J,CRUCE!M:M)</f>
        <v>READY</v>
      </c>
      <c r="AV131" t="s">
        <v>1907</v>
      </c>
      <c r="AW131" s="23">
        <f>+SUMIFS(CRUCE!D:D,CRUCE!A:A,'2022'!D131,CRUCE!B:B,'2022'!AS131)/COUNTIFS(D:D,D131,AS:AS,AS131)</f>
        <v>5110433</v>
      </c>
      <c r="AX131" s="23">
        <f t="shared" si="54"/>
        <v>5110433</v>
      </c>
      <c r="AY131" s="23">
        <f t="shared" si="55"/>
        <v>0</v>
      </c>
    </row>
    <row r="132" spans="1:51" x14ac:dyDescent="0.3">
      <c r="A132">
        <v>2022</v>
      </c>
      <c r="B132">
        <v>307</v>
      </c>
      <c r="C132">
        <v>1.102060090202E+35</v>
      </c>
      <c r="D132" s="5">
        <v>20</v>
      </c>
      <c r="E132" s="8" t="s">
        <v>340</v>
      </c>
      <c r="F132">
        <v>1.102060090202E+35</v>
      </c>
      <c r="G132" s="8" t="s">
        <v>341</v>
      </c>
      <c r="H132" t="s">
        <v>47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1956741</v>
      </c>
      <c r="X132" s="11">
        <v>0</v>
      </c>
      <c r="Y132" s="17">
        <v>1956741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1956741</v>
      </c>
      <c r="AG132" s="11">
        <v>0</v>
      </c>
      <c r="AH132" s="12">
        <v>1956741</v>
      </c>
      <c r="AI132" s="11">
        <v>1956741</v>
      </c>
      <c r="AJ132" s="11">
        <v>0</v>
      </c>
      <c r="AK132" s="11">
        <v>0</v>
      </c>
      <c r="AL132" s="11">
        <v>1956741</v>
      </c>
      <c r="AM132" s="11">
        <v>1956741</v>
      </c>
      <c r="AN132" s="11">
        <v>0</v>
      </c>
      <c r="AO132" s="11">
        <v>1956741</v>
      </c>
      <c r="AP132" s="11">
        <v>0</v>
      </c>
      <c r="AQ132" s="11">
        <v>0</v>
      </c>
      <c r="AR132" t="s">
        <v>57</v>
      </c>
      <c r="AS132" s="4" t="str">
        <f t="shared" si="52"/>
        <v>Alcalá</v>
      </c>
      <c r="AT132" t="str">
        <f t="shared" si="53"/>
        <v>20Alcalá1956741</v>
      </c>
      <c r="AU132" t="str">
        <f>+_xlfn.XLOOKUP(AT132,CRUCE!J:J,CRUCE!M:M)</f>
        <v>READY</v>
      </c>
      <c r="AV132" t="s">
        <v>1907</v>
      </c>
      <c r="AW132" s="23">
        <f>+SUMIFS(CRUCE!D:D,CRUCE!A:A,'2022'!D132,CRUCE!B:B,'2022'!AS132)/COUNTIFS(D:D,D132,AS:AS,AS132)</f>
        <v>1956741</v>
      </c>
      <c r="AX132" s="23">
        <f t="shared" si="54"/>
        <v>1956741</v>
      </c>
      <c r="AY132" s="23">
        <f t="shared" si="55"/>
        <v>0</v>
      </c>
    </row>
    <row r="133" spans="1:51" x14ac:dyDescent="0.3">
      <c r="A133">
        <v>2022</v>
      </c>
      <c r="B133">
        <v>307</v>
      </c>
      <c r="C133">
        <v>1.102060090202E+35</v>
      </c>
      <c r="D133" s="5">
        <v>20</v>
      </c>
      <c r="E133" s="8" t="s">
        <v>342</v>
      </c>
      <c r="F133">
        <v>1.102060090202E+35</v>
      </c>
      <c r="G133" s="8" t="s">
        <v>343</v>
      </c>
      <c r="H133" t="s">
        <v>47</v>
      </c>
      <c r="I133" s="11">
        <v>29951222.809999999</v>
      </c>
      <c r="J133" s="11">
        <v>29951222.809999999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29951222.809999999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11268440</v>
      </c>
      <c r="X133" s="11">
        <v>0</v>
      </c>
      <c r="Y133" s="17">
        <v>11268440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11268440</v>
      </c>
      <c r="AG133" s="11">
        <v>0</v>
      </c>
      <c r="AH133" s="12">
        <v>11268440</v>
      </c>
      <c r="AI133" s="11">
        <v>11268440</v>
      </c>
      <c r="AJ133" s="11">
        <v>0</v>
      </c>
      <c r="AK133" s="11">
        <v>0</v>
      </c>
      <c r="AL133" s="11">
        <v>11268440</v>
      </c>
      <c r="AM133" s="11">
        <v>11268440</v>
      </c>
      <c r="AN133" s="11">
        <v>0</v>
      </c>
      <c r="AO133" s="11">
        <v>11268440</v>
      </c>
      <c r="AP133" s="11">
        <v>0</v>
      </c>
      <c r="AQ133" s="11">
        <v>0</v>
      </c>
      <c r="AR133" t="s">
        <v>57</v>
      </c>
      <c r="AS133" s="4" t="str">
        <f t="shared" si="52"/>
        <v>Sevilla</v>
      </c>
      <c r="AT133" t="str">
        <f t="shared" si="53"/>
        <v>20Sevilla11268440</v>
      </c>
      <c r="AU133" t="str">
        <f>+_xlfn.XLOOKUP(AT133,CRUCE!J:J,CRUCE!M:M)</f>
        <v>READY</v>
      </c>
      <c r="AV133" t="s">
        <v>1907</v>
      </c>
      <c r="AW133" s="23">
        <f>+SUMIFS(CRUCE!D:D,CRUCE!A:A,'2022'!D133,CRUCE!B:B,'2022'!AS133)/COUNTIFS(D:D,D133,AS:AS,AS133)</f>
        <v>11268440</v>
      </c>
      <c r="AX133" s="23">
        <f t="shared" si="54"/>
        <v>11268440</v>
      </c>
      <c r="AY133" s="23">
        <f t="shared" si="55"/>
        <v>0</v>
      </c>
    </row>
    <row r="134" spans="1:51" hidden="1" x14ac:dyDescent="0.3">
      <c r="A134">
        <v>2022</v>
      </c>
      <c r="B134">
        <v>307</v>
      </c>
      <c r="C134">
        <v>110207</v>
      </c>
      <c r="D134" s="5" t="s">
        <v>44</v>
      </c>
      <c r="E134" s="8" t="s">
        <v>346</v>
      </c>
      <c r="F134">
        <v>110207</v>
      </c>
      <c r="G134" s="8" t="s">
        <v>347</v>
      </c>
      <c r="H134" t="s">
        <v>47</v>
      </c>
      <c r="I134" s="11">
        <v>13380394225</v>
      </c>
      <c r="J134" s="11">
        <v>13380394225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13380394225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20649172122.400002</v>
      </c>
      <c r="X134" s="11">
        <v>128985723.90000001</v>
      </c>
      <c r="Y134" s="17">
        <v>20520186398.5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20649172122.400002</v>
      </c>
      <c r="AG134" s="11">
        <v>128985723.90000001</v>
      </c>
      <c r="AH134" s="12">
        <v>20520186398.5</v>
      </c>
      <c r="AI134" s="11">
        <v>20520186398.5</v>
      </c>
      <c r="AJ134" s="11">
        <v>43146663.340000004</v>
      </c>
      <c r="AK134" s="11">
        <v>43146663.340000004</v>
      </c>
      <c r="AL134" s="11">
        <v>20477039735.16</v>
      </c>
      <c r="AM134" s="11">
        <v>20521295267.360001</v>
      </c>
      <c r="AN134" s="11">
        <v>44255532.200000003</v>
      </c>
      <c r="AO134" s="11">
        <v>20521295267.360001</v>
      </c>
      <c r="AP134" s="11">
        <v>0</v>
      </c>
      <c r="AQ134" s="11">
        <v>44255532.200000003</v>
      </c>
      <c r="AR134" t="s">
        <v>48</v>
      </c>
      <c r="AS134"/>
      <c r="AW134"/>
      <c r="AX134"/>
      <c r="AY134"/>
    </row>
    <row r="135" spans="1:51" hidden="1" x14ac:dyDescent="0.3">
      <c r="A135">
        <v>2022</v>
      </c>
      <c r="B135">
        <v>307</v>
      </c>
      <c r="C135">
        <v>110207002</v>
      </c>
      <c r="D135" s="5" t="s">
        <v>44</v>
      </c>
      <c r="E135" s="8" t="s">
        <v>348</v>
      </c>
      <c r="F135">
        <v>110207002</v>
      </c>
      <c r="G135" s="8" t="s">
        <v>349</v>
      </c>
      <c r="H135" t="s">
        <v>47</v>
      </c>
      <c r="I135" s="11">
        <v>13380394225</v>
      </c>
      <c r="J135" s="11">
        <v>13380394225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13380394225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20649172122.400002</v>
      </c>
      <c r="X135" s="11">
        <v>128985723.90000001</v>
      </c>
      <c r="Y135" s="17">
        <v>20520186398.5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20649172122.400002</v>
      </c>
      <c r="AG135" s="11">
        <v>128985723.90000001</v>
      </c>
      <c r="AH135" s="12">
        <v>20520186398.5</v>
      </c>
      <c r="AI135" s="11">
        <v>20520186398.5</v>
      </c>
      <c r="AJ135" s="11">
        <v>43146663.340000004</v>
      </c>
      <c r="AK135" s="11">
        <v>43146663.340000004</v>
      </c>
      <c r="AL135" s="11">
        <v>20477039735.16</v>
      </c>
      <c r="AM135" s="11">
        <v>20521295267.360001</v>
      </c>
      <c r="AN135" s="11">
        <v>44255532.200000003</v>
      </c>
      <c r="AO135" s="11">
        <v>20521295267.360001</v>
      </c>
      <c r="AP135" s="11">
        <v>0</v>
      </c>
      <c r="AQ135" s="11">
        <v>44255532.200000003</v>
      </c>
      <c r="AR135" t="s">
        <v>48</v>
      </c>
      <c r="AS135"/>
      <c r="AW135"/>
      <c r="AX135"/>
      <c r="AY135"/>
    </row>
    <row r="136" spans="1:51" hidden="1" x14ac:dyDescent="0.3">
      <c r="A136">
        <v>2022</v>
      </c>
      <c r="B136">
        <v>307</v>
      </c>
      <c r="C136">
        <v>11020700201</v>
      </c>
      <c r="D136" s="5" t="s">
        <v>44</v>
      </c>
      <c r="E136" s="8" t="s">
        <v>350</v>
      </c>
      <c r="F136">
        <v>11020700201</v>
      </c>
      <c r="G136" s="8" t="s">
        <v>351</v>
      </c>
      <c r="H136" t="s">
        <v>47</v>
      </c>
      <c r="I136" s="11">
        <v>13375509320</v>
      </c>
      <c r="J136" s="11">
        <v>13375509320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13375509320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20636849672.400002</v>
      </c>
      <c r="X136" s="11">
        <v>128951423.90000001</v>
      </c>
      <c r="Y136" s="17">
        <v>20507898248.5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20636849672.400002</v>
      </c>
      <c r="AG136" s="11">
        <v>128951423.90000001</v>
      </c>
      <c r="AH136" s="12">
        <v>20507898248.5</v>
      </c>
      <c r="AI136" s="11">
        <v>20507898248.5</v>
      </c>
      <c r="AJ136" s="11">
        <v>43146663.340000004</v>
      </c>
      <c r="AK136" s="11">
        <v>43146663.340000004</v>
      </c>
      <c r="AL136" s="11">
        <v>20464751585.16</v>
      </c>
      <c r="AM136" s="11">
        <v>20508972817.360001</v>
      </c>
      <c r="AN136" s="11">
        <v>44221232.200000003</v>
      </c>
      <c r="AO136" s="11">
        <v>20508972817.360001</v>
      </c>
      <c r="AP136" s="11">
        <v>0</v>
      </c>
      <c r="AQ136" s="11">
        <v>44221232.200000003</v>
      </c>
      <c r="AR136" t="s">
        <v>48</v>
      </c>
      <c r="AS136"/>
      <c r="AW136"/>
      <c r="AX136"/>
      <c r="AY136"/>
    </row>
    <row r="137" spans="1:51" hidden="1" x14ac:dyDescent="0.3">
      <c r="A137">
        <v>2022</v>
      </c>
      <c r="B137">
        <v>307</v>
      </c>
      <c r="C137">
        <v>1102070020102</v>
      </c>
      <c r="D137" s="5" t="s">
        <v>44</v>
      </c>
      <c r="E137" s="8" t="s">
        <v>352</v>
      </c>
      <c r="F137">
        <v>1102070020102</v>
      </c>
      <c r="G137" s="8" t="s">
        <v>353</v>
      </c>
      <c r="H137" t="s">
        <v>47</v>
      </c>
      <c r="I137" s="11">
        <v>534948156</v>
      </c>
      <c r="J137" s="11">
        <v>534948156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534948156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600654731.44000006</v>
      </c>
      <c r="X137" s="11">
        <v>44328901.560000002</v>
      </c>
      <c r="Y137" s="17">
        <v>556325829.88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600654731.44000006</v>
      </c>
      <c r="AG137" s="11">
        <v>44328901.560000002</v>
      </c>
      <c r="AH137" s="12">
        <v>556325829.88</v>
      </c>
      <c r="AI137" s="11">
        <v>556325829.88</v>
      </c>
      <c r="AJ137" s="11">
        <v>8020508.8799999999</v>
      </c>
      <c r="AK137" s="11">
        <v>8020508.8799999999</v>
      </c>
      <c r="AL137" s="11">
        <v>548305321</v>
      </c>
      <c r="AM137" s="11">
        <v>548324161</v>
      </c>
      <c r="AN137" s="11">
        <v>18840</v>
      </c>
      <c r="AO137" s="11">
        <v>548324161</v>
      </c>
      <c r="AP137" s="11">
        <v>0</v>
      </c>
      <c r="AQ137" s="11">
        <v>18840</v>
      </c>
      <c r="AR137" t="s">
        <v>48</v>
      </c>
      <c r="AS137"/>
      <c r="AW137"/>
      <c r="AX137"/>
      <c r="AY137"/>
    </row>
    <row r="138" spans="1:51" hidden="1" x14ac:dyDescent="0.3">
      <c r="A138">
        <v>2022</v>
      </c>
      <c r="B138">
        <v>307</v>
      </c>
      <c r="C138">
        <v>110207002010201</v>
      </c>
      <c r="D138" s="5" t="s">
        <v>44</v>
      </c>
      <c r="E138" s="8" t="s">
        <v>354</v>
      </c>
      <c r="F138">
        <v>110207002010201</v>
      </c>
      <c r="G138" s="8" t="s">
        <v>355</v>
      </c>
      <c r="H138" t="s">
        <v>47</v>
      </c>
      <c r="I138" s="11">
        <v>256775116</v>
      </c>
      <c r="J138" s="11">
        <v>256775116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256775116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401232305.02999997</v>
      </c>
      <c r="X138" s="11">
        <v>43212406.57</v>
      </c>
      <c r="Y138" s="17">
        <v>358019898.45999998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401232305.02999997</v>
      </c>
      <c r="AG138" s="11">
        <v>43212406.57</v>
      </c>
      <c r="AH138" s="12">
        <v>358019898.45999998</v>
      </c>
      <c r="AI138" s="11">
        <v>358019898.45999998</v>
      </c>
      <c r="AJ138" s="11">
        <v>7390877.46</v>
      </c>
      <c r="AK138" s="11">
        <v>7390877.46</v>
      </c>
      <c r="AL138" s="11">
        <v>350629021</v>
      </c>
      <c r="AM138" s="11">
        <v>350633221</v>
      </c>
      <c r="AN138" s="11">
        <v>4200</v>
      </c>
      <c r="AO138" s="11">
        <v>350633221</v>
      </c>
      <c r="AP138" s="11">
        <v>0</v>
      </c>
      <c r="AQ138" s="11">
        <v>4200</v>
      </c>
      <c r="AR138" t="s">
        <v>48</v>
      </c>
      <c r="AS138"/>
      <c r="AW138"/>
      <c r="AX138"/>
      <c r="AY138"/>
    </row>
    <row r="139" spans="1:51" x14ac:dyDescent="0.3">
      <c r="A139">
        <v>2022</v>
      </c>
      <c r="B139">
        <v>307</v>
      </c>
      <c r="C139">
        <v>1.1020700201020099E+17</v>
      </c>
      <c r="D139" s="5">
        <v>35</v>
      </c>
      <c r="E139" s="8" t="s">
        <v>1090</v>
      </c>
      <c r="F139">
        <v>1.1020700201020099E+17</v>
      </c>
      <c r="G139" s="8" t="s">
        <v>1091</v>
      </c>
      <c r="H139" t="s">
        <v>47</v>
      </c>
      <c r="I139" s="11">
        <v>57061137</v>
      </c>
      <c r="J139" s="11">
        <v>57061137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57061137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79605499.859999999</v>
      </c>
      <c r="X139" s="11">
        <v>980</v>
      </c>
      <c r="Y139" s="17">
        <v>79604519.859999999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79605499.859999999</v>
      </c>
      <c r="AG139" s="11">
        <v>980</v>
      </c>
      <c r="AH139" s="12">
        <v>79604519.859999999</v>
      </c>
      <c r="AI139" s="11">
        <v>79604519.859999999</v>
      </c>
      <c r="AJ139" s="11">
        <v>11804766.300000001</v>
      </c>
      <c r="AK139" s="11">
        <v>11804766.300000001</v>
      </c>
      <c r="AL139" s="11">
        <v>67799753.560000002</v>
      </c>
      <c r="AM139" s="11">
        <v>67800733.560000002</v>
      </c>
      <c r="AN139" s="11">
        <v>980</v>
      </c>
      <c r="AO139" s="11">
        <v>67800733.560000002</v>
      </c>
      <c r="AP139" s="11">
        <v>0</v>
      </c>
      <c r="AQ139" s="11">
        <v>980</v>
      </c>
      <c r="AR139" t="s">
        <v>365</v>
      </c>
      <c r="AS139" s="4" t="s">
        <v>363</v>
      </c>
      <c r="AT139" t="str">
        <f t="shared" ref="AT139:AT141" si="56">+D139&amp;AS139&amp;Y139</f>
        <v>35Participación por el consumo de licores destilados introducidos de producción nacional79604519,86</v>
      </c>
      <c r="AU139" t="str">
        <f>+_xlfn.XLOOKUP(AT139,CRUCE!J:J,CRUCE!M:M)</f>
        <v>READY</v>
      </c>
      <c r="AV139" t="s">
        <v>1907</v>
      </c>
      <c r="AW139" s="23">
        <f>+SUMIFS(CRUCE!D:D,CRUCE!A:A,'2022'!D139,CRUCE!B:B,'2022'!AS139)/COUNTIFS(D:D,D139,AS:AS,AS139)</f>
        <v>79604519.859999999</v>
      </c>
      <c r="AX139" s="23">
        <f t="shared" ref="AX139:AX141" si="57">+SUMIFS(Y:Y,D:D,D139,AS:AS,AS139)/COUNTIFS(D:D,D139,AS:AS,AS139)</f>
        <v>79604519.859999999</v>
      </c>
      <c r="AY139" s="23">
        <f t="shared" ref="AY139:AY141" si="58">+AW139-AX139</f>
        <v>0</v>
      </c>
    </row>
    <row r="140" spans="1:51" x14ac:dyDescent="0.3">
      <c r="A140">
        <v>2022</v>
      </c>
      <c r="B140">
        <v>307</v>
      </c>
      <c r="C140">
        <v>1.1020700201020099E+17</v>
      </c>
      <c r="D140" s="5">
        <v>179</v>
      </c>
      <c r="E140" s="8" t="s">
        <v>1092</v>
      </c>
      <c r="F140">
        <v>1.1020700201020099E+17</v>
      </c>
      <c r="G140" s="8" t="s">
        <v>1093</v>
      </c>
      <c r="H140" t="s">
        <v>47</v>
      </c>
      <c r="I140" s="11">
        <v>12227386</v>
      </c>
      <c r="J140" s="11">
        <v>12227386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12227386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60058649</v>
      </c>
      <c r="X140" s="11">
        <v>43208206.57</v>
      </c>
      <c r="Y140" s="17">
        <v>16850442.43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60058649</v>
      </c>
      <c r="AG140" s="11">
        <v>43208206.57</v>
      </c>
      <c r="AH140" s="12">
        <v>16850442.43</v>
      </c>
      <c r="AI140" s="11">
        <v>16850442.43</v>
      </c>
      <c r="AJ140" s="11">
        <v>-43208206.57</v>
      </c>
      <c r="AK140" s="11">
        <v>-43208206.57</v>
      </c>
      <c r="AL140" s="11">
        <v>60058649</v>
      </c>
      <c r="AM140" s="11">
        <v>60058649</v>
      </c>
      <c r="AN140" s="11">
        <v>0</v>
      </c>
      <c r="AO140" s="11">
        <v>60058649</v>
      </c>
      <c r="AP140" s="11">
        <v>0</v>
      </c>
      <c r="AQ140" s="11">
        <v>0</v>
      </c>
      <c r="AR140" t="s">
        <v>357</v>
      </c>
      <c r="AS140" s="4" t="str">
        <f t="shared" ref="AS140" si="59">+G140</f>
        <v>Derechos de monopolio por la introducción de licores destilados de producción Nacional</v>
      </c>
      <c r="AT140" t="str">
        <f t="shared" si="56"/>
        <v>179Derechos de monopolio por la introducción de licores destilados de producción Nacional16850442,43</v>
      </c>
      <c r="AU140" t="str">
        <f>+_xlfn.XLOOKUP(AT140,CRUCE!J:J,CRUCE!M:M)</f>
        <v>READY</v>
      </c>
      <c r="AV140" t="s">
        <v>1907</v>
      </c>
      <c r="AW140" s="23">
        <f>+SUMIFS(CRUCE!D:D,CRUCE!A:A,'2022'!D140,CRUCE!B:B,'2022'!AS140)/COUNTIFS(D:D,D140,AS:AS,AS140)</f>
        <v>16850442.43</v>
      </c>
      <c r="AX140" s="23">
        <f t="shared" si="57"/>
        <v>16850442.43</v>
      </c>
      <c r="AY140" s="23">
        <f t="shared" si="58"/>
        <v>0</v>
      </c>
    </row>
    <row r="141" spans="1:51" x14ac:dyDescent="0.3">
      <c r="A141">
        <v>2022</v>
      </c>
      <c r="B141">
        <v>307</v>
      </c>
      <c r="C141">
        <v>1.1020700201020099E+17</v>
      </c>
      <c r="D141" s="5">
        <v>20</v>
      </c>
      <c r="E141" s="8" t="s">
        <v>1094</v>
      </c>
      <c r="F141">
        <v>1.1020700201020099E+17</v>
      </c>
      <c r="G141" s="8" t="s">
        <v>355</v>
      </c>
      <c r="H141" t="s">
        <v>47</v>
      </c>
      <c r="I141" s="11">
        <v>187486593</v>
      </c>
      <c r="J141" s="11">
        <v>187486593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187486593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261568156.16999999</v>
      </c>
      <c r="X141" s="11">
        <v>3220</v>
      </c>
      <c r="Y141" s="17">
        <v>261564936.16999999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261568156.16999999</v>
      </c>
      <c r="AG141" s="11">
        <v>3220</v>
      </c>
      <c r="AH141" s="12">
        <v>261564936.16999999</v>
      </c>
      <c r="AI141" s="11">
        <v>261564936.16999999</v>
      </c>
      <c r="AJ141" s="11">
        <v>38794317.729999997</v>
      </c>
      <c r="AK141" s="11">
        <v>38794317.729999997</v>
      </c>
      <c r="AL141" s="11">
        <v>222770618.44</v>
      </c>
      <c r="AM141" s="11">
        <v>222773838.44</v>
      </c>
      <c r="AN141" s="11">
        <v>3220</v>
      </c>
      <c r="AO141" s="11">
        <v>222773838.44</v>
      </c>
      <c r="AP141" s="11">
        <v>0</v>
      </c>
      <c r="AQ141" s="11">
        <v>3220</v>
      </c>
      <c r="AR141" t="s">
        <v>57</v>
      </c>
      <c r="AS141" s="4" t="s">
        <v>363</v>
      </c>
      <c r="AT141" t="str">
        <f t="shared" si="56"/>
        <v>20Participación por el consumo de licores destilados introducidos de producción nacional261564936,17</v>
      </c>
      <c r="AU141" t="e">
        <f>+_xlfn.XLOOKUP(AT141,CRUCE!J:J,CRUCE!M:M)</f>
        <v>#N/A</v>
      </c>
      <c r="AV141" t="s">
        <v>1907</v>
      </c>
      <c r="AW141" s="23">
        <f>+SUMIFS(CRUCE!D:D,CRUCE!A:A,'2022'!D141,CRUCE!B:B,'2022'!AS141)/COUNTIFS(D:D,D141,AS:AS,AS141)</f>
        <v>5660060362.5249996</v>
      </c>
      <c r="AX141" s="23">
        <f t="shared" si="57"/>
        <v>5660060362.5249996</v>
      </c>
      <c r="AY141" s="23">
        <f t="shared" si="58"/>
        <v>0</v>
      </c>
    </row>
    <row r="142" spans="1:51" hidden="1" x14ac:dyDescent="0.3">
      <c r="A142">
        <v>2022</v>
      </c>
      <c r="B142">
        <v>307</v>
      </c>
      <c r="C142">
        <v>110207002010202</v>
      </c>
      <c r="D142" s="5" t="s">
        <v>44</v>
      </c>
      <c r="E142" s="8" t="s">
        <v>1095</v>
      </c>
      <c r="F142">
        <v>110207002010202</v>
      </c>
      <c r="G142" s="8" t="s">
        <v>1096</v>
      </c>
      <c r="H142" t="s">
        <v>47</v>
      </c>
      <c r="I142" s="11">
        <v>278173040</v>
      </c>
      <c r="J142" s="11">
        <v>278173040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278173040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199422426.41</v>
      </c>
      <c r="X142" s="11">
        <v>1116494.99</v>
      </c>
      <c r="Y142" s="17">
        <v>198305931.41999999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199422426.41</v>
      </c>
      <c r="AG142" s="11">
        <v>1116494.99</v>
      </c>
      <c r="AH142" s="12">
        <v>198305931.41999999</v>
      </c>
      <c r="AI142" s="11">
        <v>198305931.41999999</v>
      </c>
      <c r="AJ142" s="11">
        <v>629631.42000000004</v>
      </c>
      <c r="AK142" s="11">
        <v>629631.42000000004</v>
      </c>
      <c r="AL142" s="11">
        <v>197676300</v>
      </c>
      <c r="AM142" s="11">
        <v>197690940</v>
      </c>
      <c r="AN142" s="11">
        <v>14640</v>
      </c>
      <c r="AO142" s="11">
        <v>197690940</v>
      </c>
      <c r="AP142" s="11">
        <v>0</v>
      </c>
      <c r="AQ142" s="11">
        <v>14640</v>
      </c>
      <c r="AR142" t="s">
        <v>48</v>
      </c>
      <c r="AS142"/>
      <c r="AW142"/>
      <c r="AX142"/>
      <c r="AY142"/>
    </row>
    <row r="143" spans="1:51" x14ac:dyDescent="0.3">
      <c r="A143">
        <v>2022</v>
      </c>
      <c r="B143">
        <v>307</v>
      </c>
      <c r="C143">
        <v>1.10207002010202E+17</v>
      </c>
      <c r="D143" s="5">
        <v>35</v>
      </c>
      <c r="E143" s="8" t="s">
        <v>1097</v>
      </c>
      <c r="F143">
        <v>1.10207002010202E+17</v>
      </c>
      <c r="G143" s="8" t="s">
        <v>1098</v>
      </c>
      <c r="H143" t="s">
        <v>47</v>
      </c>
      <c r="I143" s="11">
        <v>61816234</v>
      </c>
      <c r="J143" s="11">
        <v>61816234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61816234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44323020</v>
      </c>
      <c r="X143" s="11">
        <v>257062.77</v>
      </c>
      <c r="Y143" s="17">
        <v>44065957.229999997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44323020</v>
      </c>
      <c r="AG143" s="11">
        <v>257062.77</v>
      </c>
      <c r="AH143" s="12">
        <v>44065957.229999997</v>
      </c>
      <c r="AI143" s="11">
        <v>44065957.229999997</v>
      </c>
      <c r="AJ143" s="11">
        <v>-257062.77</v>
      </c>
      <c r="AK143" s="11">
        <v>-257062.77</v>
      </c>
      <c r="AL143" s="11">
        <v>44323020</v>
      </c>
      <c r="AM143" s="11">
        <v>44323020</v>
      </c>
      <c r="AN143" s="11">
        <v>0</v>
      </c>
      <c r="AO143" s="11">
        <v>44323020</v>
      </c>
      <c r="AP143" s="11">
        <v>0</v>
      </c>
      <c r="AQ143" s="11">
        <v>0</v>
      </c>
      <c r="AR143" t="s">
        <v>365</v>
      </c>
      <c r="AS143" s="4" t="str">
        <f t="shared" ref="AS143:AS145" si="60">+G143</f>
        <v xml:space="preserve">Derechos de monopolio por la introducción de licores destilados de producción extranjera (Monopolio </v>
      </c>
      <c r="AT143" t="str">
        <f t="shared" ref="AT143:AT145" si="61">+D143&amp;AS143&amp;Y143</f>
        <v>35Derechos de monopolio por la introducción de licores destilados de producción extranjera (Monopolio 44065957,23</v>
      </c>
      <c r="AU143" t="str">
        <f>+_xlfn.XLOOKUP(AT143,CRUCE!J:J,CRUCE!M:M)</f>
        <v>READY</v>
      </c>
      <c r="AV143" t="s">
        <v>1907</v>
      </c>
      <c r="AW143" s="23">
        <f>+SUMIFS(CRUCE!D:D,CRUCE!A:A,'2022'!D143,CRUCE!B:B,'2022'!AS143)/COUNTIFS(D:D,D143,AS:AS,AS143)</f>
        <v>44065957.229999997</v>
      </c>
      <c r="AX143" s="23">
        <f t="shared" ref="AX143:AX145" si="62">+SUMIFS(Y:Y,D:D,D143,AS:AS,AS143)/COUNTIFS(D:D,D143,AS:AS,AS143)</f>
        <v>44065957.229999997</v>
      </c>
      <c r="AY143" s="23">
        <f t="shared" ref="AY143:AY145" si="63">+AW143-AX143</f>
        <v>0</v>
      </c>
    </row>
    <row r="144" spans="1:51" x14ac:dyDescent="0.3">
      <c r="A144">
        <v>2022</v>
      </c>
      <c r="B144">
        <v>307</v>
      </c>
      <c r="C144">
        <v>1.10207002010202E+17</v>
      </c>
      <c r="D144" s="5">
        <v>179</v>
      </c>
      <c r="E144" s="8" t="s">
        <v>1099</v>
      </c>
      <c r="F144">
        <v>1.10207002010202E+17</v>
      </c>
      <c r="G144" s="8" t="s">
        <v>1096</v>
      </c>
      <c r="H144" t="s">
        <v>47</v>
      </c>
      <c r="I144" s="11">
        <v>13246330</v>
      </c>
      <c r="J144" s="11">
        <v>13246330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13246330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9466626.4100000001</v>
      </c>
      <c r="X144" s="11">
        <v>14640</v>
      </c>
      <c r="Y144" s="17">
        <v>9451986.4100000001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9466626.4100000001</v>
      </c>
      <c r="AG144" s="11">
        <v>14640</v>
      </c>
      <c r="AH144" s="12">
        <v>9451986.4100000001</v>
      </c>
      <c r="AI144" s="11">
        <v>9451986.4100000001</v>
      </c>
      <c r="AJ144" s="11">
        <v>1731486.41</v>
      </c>
      <c r="AK144" s="11">
        <v>1731486.41</v>
      </c>
      <c r="AL144" s="11">
        <v>7720500</v>
      </c>
      <c r="AM144" s="11">
        <v>7735140</v>
      </c>
      <c r="AN144" s="11">
        <v>14640</v>
      </c>
      <c r="AO144" s="11">
        <v>7735140</v>
      </c>
      <c r="AP144" s="11">
        <v>0</v>
      </c>
      <c r="AQ144" s="11">
        <v>14640</v>
      </c>
      <c r="AR144" t="s">
        <v>357</v>
      </c>
      <c r="AS144" s="4" t="str">
        <f t="shared" si="60"/>
        <v>Derechos de monopolio por la introducción de licores destilados de producción extranjera</v>
      </c>
      <c r="AT144" t="str">
        <f t="shared" si="61"/>
        <v>179Derechos de monopolio por la introducción de licores destilados de producción extranjera9451986,41</v>
      </c>
      <c r="AU144" t="str">
        <f>+_xlfn.XLOOKUP(AT144,CRUCE!J:J,CRUCE!M:M)</f>
        <v>READY</v>
      </c>
      <c r="AV144" t="s">
        <v>1907</v>
      </c>
      <c r="AW144" s="23">
        <f>+SUMIFS(CRUCE!D:D,CRUCE!A:A,'2022'!D144,CRUCE!B:B,'2022'!AS144)/COUNTIFS(D:D,D144,AS:AS,AS144)</f>
        <v>9451986.4100000001</v>
      </c>
      <c r="AX144" s="23">
        <f t="shared" si="62"/>
        <v>9451986.4100000001</v>
      </c>
      <c r="AY144" s="23">
        <f t="shared" si="63"/>
        <v>0</v>
      </c>
    </row>
    <row r="145" spans="1:51" x14ac:dyDescent="0.3">
      <c r="A145">
        <v>2022</v>
      </c>
      <c r="B145">
        <v>307</v>
      </c>
      <c r="C145">
        <v>1.10207002010202E+17</v>
      </c>
      <c r="D145" s="5">
        <v>20</v>
      </c>
      <c r="E145" s="8" t="s">
        <v>1100</v>
      </c>
      <c r="F145">
        <v>1.10207002010202E+17</v>
      </c>
      <c r="G145" s="8" t="s">
        <v>1096</v>
      </c>
      <c r="H145" t="s">
        <v>47</v>
      </c>
      <c r="I145" s="11">
        <v>203110476</v>
      </c>
      <c r="J145" s="11">
        <v>203110476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203110476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145632780</v>
      </c>
      <c r="X145" s="11">
        <v>844792.22</v>
      </c>
      <c r="Y145" s="17">
        <v>144787987.78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145632780</v>
      </c>
      <c r="AG145" s="11">
        <v>844792.22</v>
      </c>
      <c r="AH145" s="12">
        <v>144787987.78</v>
      </c>
      <c r="AI145" s="11">
        <v>144787987.78</v>
      </c>
      <c r="AJ145" s="11">
        <v>-844792.22</v>
      </c>
      <c r="AK145" s="11">
        <v>-844792.22</v>
      </c>
      <c r="AL145" s="11">
        <v>145632780</v>
      </c>
      <c r="AM145" s="11">
        <v>145632780</v>
      </c>
      <c r="AN145" s="11">
        <v>0</v>
      </c>
      <c r="AO145" s="11">
        <v>145632780</v>
      </c>
      <c r="AP145" s="11">
        <v>0</v>
      </c>
      <c r="AQ145" s="11">
        <v>0</v>
      </c>
      <c r="AR145" t="s">
        <v>57</v>
      </c>
      <c r="AS145" s="4" t="str">
        <f t="shared" si="60"/>
        <v>Derechos de monopolio por la introducción de licores destilados de producción extranjera</v>
      </c>
      <c r="AT145" t="str">
        <f t="shared" si="61"/>
        <v>20Derechos de monopolio por la introducción de licores destilados de producción extranjera144787987,78</v>
      </c>
      <c r="AU145" t="str">
        <f>+_xlfn.XLOOKUP(AT145,CRUCE!J:J,CRUCE!M:M)</f>
        <v>READY</v>
      </c>
      <c r="AV145" t="s">
        <v>1907</v>
      </c>
      <c r="AW145" s="23">
        <f>+SUMIFS(CRUCE!D:D,CRUCE!A:A,'2022'!D145,CRUCE!B:B,'2022'!AS145)/COUNTIFS(D:D,D145,AS:AS,AS145)</f>
        <v>144787987.78</v>
      </c>
      <c r="AX145" s="23">
        <f t="shared" si="62"/>
        <v>144787987.78</v>
      </c>
      <c r="AY145" s="23">
        <f t="shared" si="63"/>
        <v>0</v>
      </c>
    </row>
    <row r="146" spans="1:51" hidden="1" x14ac:dyDescent="0.3">
      <c r="A146">
        <v>2022</v>
      </c>
      <c r="B146">
        <v>307</v>
      </c>
      <c r="C146">
        <v>1102070020103</v>
      </c>
      <c r="D146" s="5" t="s">
        <v>44</v>
      </c>
      <c r="E146" s="8" t="s">
        <v>358</v>
      </c>
      <c r="F146">
        <v>1102070020103</v>
      </c>
      <c r="G146" s="8" t="s">
        <v>359</v>
      </c>
      <c r="H146" t="s">
        <v>47</v>
      </c>
      <c r="I146" s="11">
        <v>12840561164</v>
      </c>
      <c r="J146" s="11">
        <v>12840561164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12840561164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20036194940.959999</v>
      </c>
      <c r="X146" s="11">
        <v>84622522.340000004</v>
      </c>
      <c r="Y146" s="17">
        <v>19951572418.619999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20036194940.959999</v>
      </c>
      <c r="AG146" s="11">
        <v>84622522.340000004</v>
      </c>
      <c r="AH146" s="12">
        <v>19951572418.619999</v>
      </c>
      <c r="AI146" s="11">
        <v>19951572418.619999</v>
      </c>
      <c r="AJ146" s="11">
        <v>35126154.460000001</v>
      </c>
      <c r="AK146" s="11">
        <v>35126154.460000001</v>
      </c>
      <c r="AL146" s="11">
        <v>19916446264.16</v>
      </c>
      <c r="AM146" s="11">
        <v>19960648656.360001</v>
      </c>
      <c r="AN146" s="11">
        <v>44202392.200000003</v>
      </c>
      <c r="AO146" s="11">
        <v>19960648656.360001</v>
      </c>
      <c r="AP146" s="11">
        <v>0</v>
      </c>
      <c r="AQ146" s="11">
        <v>44202392.200000003</v>
      </c>
      <c r="AR146" t="s">
        <v>48</v>
      </c>
      <c r="AS146"/>
      <c r="AW146"/>
      <c r="AX146"/>
      <c r="AY146"/>
    </row>
    <row r="147" spans="1:51" hidden="1" x14ac:dyDescent="0.3">
      <c r="A147">
        <v>2022</v>
      </c>
      <c r="B147">
        <v>307</v>
      </c>
      <c r="C147">
        <v>110207002010302</v>
      </c>
      <c r="D147" s="5" t="s">
        <v>44</v>
      </c>
      <c r="E147" s="8" t="s">
        <v>360</v>
      </c>
      <c r="F147">
        <v>110207002010302</v>
      </c>
      <c r="G147" s="8" t="s">
        <v>361</v>
      </c>
      <c r="H147" t="s">
        <v>47</v>
      </c>
      <c r="I147" s="11">
        <v>12840561164</v>
      </c>
      <c r="J147" s="11">
        <v>12840561164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12840561164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20036194940.959999</v>
      </c>
      <c r="X147" s="11">
        <v>84622522.340000004</v>
      </c>
      <c r="Y147" s="17">
        <v>19951572418.619999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20036194940.959999</v>
      </c>
      <c r="AG147" s="11">
        <v>84622522.340000004</v>
      </c>
      <c r="AH147" s="12">
        <v>19951572418.619999</v>
      </c>
      <c r="AI147" s="11">
        <v>19951572418.619999</v>
      </c>
      <c r="AJ147" s="11">
        <v>35126154.460000001</v>
      </c>
      <c r="AK147" s="11">
        <v>35126154.460000001</v>
      </c>
      <c r="AL147" s="11">
        <v>19916446264.16</v>
      </c>
      <c r="AM147" s="11">
        <v>19960648656.360001</v>
      </c>
      <c r="AN147" s="11">
        <v>44202392.200000003</v>
      </c>
      <c r="AO147" s="11">
        <v>19960648656.360001</v>
      </c>
      <c r="AP147" s="11">
        <v>0</v>
      </c>
      <c r="AQ147" s="11">
        <v>44202392.200000003</v>
      </c>
      <c r="AR147" t="s">
        <v>48</v>
      </c>
      <c r="AS147"/>
      <c r="AW147"/>
      <c r="AX147"/>
      <c r="AY147"/>
    </row>
    <row r="148" spans="1:51" hidden="1" x14ac:dyDescent="0.3">
      <c r="A148">
        <v>2022</v>
      </c>
      <c r="B148">
        <v>307</v>
      </c>
      <c r="C148">
        <v>1.10207002010302E+17</v>
      </c>
      <c r="D148" s="5" t="s">
        <v>44</v>
      </c>
      <c r="E148" s="8" t="s">
        <v>1101</v>
      </c>
      <c r="F148">
        <v>1.10207002010302E+17</v>
      </c>
      <c r="G148" s="8" t="s">
        <v>1102</v>
      </c>
      <c r="H148" t="s">
        <v>47</v>
      </c>
      <c r="I148" s="11">
        <v>12840561164</v>
      </c>
      <c r="J148" s="11">
        <v>12840561164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12840561164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20036194940.959999</v>
      </c>
      <c r="X148" s="11">
        <v>84622522.340000004</v>
      </c>
      <c r="Y148" s="17">
        <v>19951572418.619999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20036194940.959999</v>
      </c>
      <c r="AG148" s="11">
        <v>84622522.340000004</v>
      </c>
      <c r="AH148" s="12">
        <v>19951572418.619999</v>
      </c>
      <c r="AI148" s="11">
        <v>19951572418.619999</v>
      </c>
      <c r="AJ148" s="11">
        <v>35126154.460000001</v>
      </c>
      <c r="AK148" s="11">
        <v>35126154.460000001</v>
      </c>
      <c r="AL148" s="11">
        <v>19916446264.16</v>
      </c>
      <c r="AM148" s="11">
        <v>19960648656.360001</v>
      </c>
      <c r="AN148" s="11">
        <v>44202392.200000003</v>
      </c>
      <c r="AO148" s="11">
        <v>19960648656.360001</v>
      </c>
      <c r="AP148" s="11">
        <v>0</v>
      </c>
      <c r="AQ148" s="11">
        <v>44202392.200000003</v>
      </c>
      <c r="AR148" t="s">
        <v>48</v>
      </c>
      <c r="AS148"/>
      <c r="AW148"/>
      <c r="AX148"/>
      <c r="AY148"/>
    </row>
    <row r="149" spans="1:51" x14ac:dyDescent="0.3">
      <c r="A149">
        <v>2022</v>
      </c>
      <c r="B149">
        <v>307</v>
      </c>
      <c r="C149">
        <v>1.1020700201030201E+20</v>
      </c>
      <c r="D149" s="5">
        <v>179</v>
      </c>
      <c r="E149" s="8" t="s">
        <v>1103</v>
      </c>
      <c r="F149">
        <v>1.1020700201030201E+20</v>
      </c>
      <c r="G149" s="8" t="s">
        <v>1104</v>
      </c>
      <c r="H149" t="s">
        <v>47</v>
      </c>
      <c r="I149" s="11">
        <v>226353196</v>
      </c>
      <c r="J149" s="11">
        <v>226353196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226353196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728139719.72000003</v>
      </c>
      <c r="X149" s="11">
        <v>6865620</v>
      </c>
      <c r="Y149" s="17">
        <v>721274099.72000003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728139719.72000003</v>
      </c>
      <c r="AG149" s="11">
        <v>6865620</v>
      </c>
      <c r="AH149" s="12">
        <v>721274099.72000003</v>
      </c>
      <c r="AI149" s="11">
        <v>721274099.72000003</v>
      </c>
      <c r="AJ149" s="11">
        <v>45327770.759999998</v>
      </c>
      <c r="AK149" s="11">
        <v>45327770.759999998</v>
      </c>
      <c r="AL149" s="11">
        <v>675946328.96000004</v>
      </c>
      <c r="AM149" s="11">
        <v>682811948.96000004</v>
      </c>
      <c r="AN149" s="11">
        <v>6865620</v>
      </c>
      <c r="AO149" s="11">
        <v>682811948.96000004</v>
      </c>
      <c r="AP149" s="11">
        <v>0</v>
      </c>
      <c r="AQ149" s="11">
        <v>6865620</v>
      </c>
      <c r="AR149" t="s">
        <v>357</v>
      </c>
      <c r="AS149" s="4" t="s">
        <v>363</v>
      </c>
      <c r="AT149" t="str">
        <f>+D149&amp;AS149&amp;Y149</f>
        <v>179Participación por el consumo de licores destilados introducidos de producción nacional721274099,72</v>
      </c>
      <c r="AU149" t="str">
        <f>+_xlfn.XLOOKUP(AT149,CRUCE!J:J,CRUCE!M:M)</f>
        <v>READY</v>
      </c>
      <c r="AV149" t="s">
        <v>1907</v>
      </c>
      <c r="AW149" s="23">
        <f>+SUMIFS(CRUCE!D:D,CRUCE!A:A,'2022'!D149,CRUCE!B:B,'2022'!AS149)/COUNTIFS(D:D,D149,AS:AS,AS149)</f>
        <v>721274099.72000003</v>
      </c>
      <c r="AX149" s="23">
        <f t="shared" ref="AX149:AX154" si="64">+SUMIFS(Y:Y,D:D,D149,AS:AS,AS149)/COUNTIFS(D:D,D149,AS:AS,AS149)</f>
        <v>721274099.72000003</v>
      </c>
      <c r="AY149" s="23">
        <f t="shared" ref="AY149:AY154" si="65">+AW149-AX149</f>
        <v>0</v>
      </c>
    </row>
    <row r="150" spans="1:51" x14ac:dyDescent="0.3">
      <c r="A150">
        <v>2022</v>
      </c>
      <c r="B150">
        <v>307</v>
      </c>
      <c r="C150">
        <v>1.1020700201030201E+20</v>
      </c>
      <c r="D150" s="5">
        <v>20</v>
      </c>
      <c r="E150" s="8" t="s">
        <v>1105</v>
      </c>
      <c r="F150">
        <v>1.1020700201030201E+20</v>
      </c>
      <c r="G150" s="8" t="s">
        <v>1104</v>
      </c>
      <c r="H150" t="s">
        <v>47</v>
      </c>
      <c r="I150" s="11">
        <v>3468843927</v>
      </c>
      <c r="J150" s="11">
        <v>3468843927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3468843927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11067538624.719999</v>
      </c>
      <c r="X150" s="11">
        <v>8982835.8399999999</v>
      </c>
      <c r="Y150" s="17">
        <v>11058555788.879999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11067538624.719999</v>
      </c>
      <c r="AG150" s="11">
        <v>8982835.8399999999</v>
      </c>
      <c r="AH150" s="12">
        <v>11058555788.879999</v>
      </c>
      <c r="AI150" s="11">
        <v>11058555788.879999</v>
      </c>
      <c r="AJ150" s="11">
        <v>23168534.559999999</v>
      </c>
      <c r="AK150" s="11">
        <v>23168534.559999999</v>
      </c>
      <c r="AL150" s="11">
        <v>11035387254.32</v>
      </c>
      <c r="AM150" s="11">
        <v>11044370090.16</v>
      </c>
      <c r="AN150" s="11">
        <v>8982835.8399999999</v>
      </c>
      <c r="AO150" s="11">
        <v>11044370090.16</v>
      </c>
      <c r="AP150" s="11">
        <v>0</v>
      </c>
      <c r="AQ150" s="11">
        <v>8982835.8399999999</v>
      </c>
      <c r="AR150" t="s">
        <v>57</v>
      </c>
      <c r="AS150" s="4" t="s">
        <v>363</v>
      </c>
      <c r="AT150" t="str">
        <f t="shared" ref="AT150:AT154" si="66">+D150&amp;AS150&amp;Y150</f>
        <v>20Participación por el consumo de licores destilados introducidos de producción nacional11058555788,88</v>
      </c>
      <c r="AU150" t="e">
        <f>+_xlfn.XLOOKUP(AT150,CRUCE!J:J,CRUCE!M:M)</f>
        <v>#N/A</v>
      </c>
      <c r="AV150" t="s">
        <v>1907</v>
      </c>
      <c r="AW150" s="23">
        <f>+SUMIFS(CRUCE!D:D,CRUCE!A:A,'2022'!D150,CRUCE!B:B,'2022'!AS150)/COUNTIFS(D:D,D150,AS:AS,AS150)</f>
        <v>5660060362.5249996</v>
      </c>
      <c r="AX150" s="23">
        <f t="shared" si="64"/>
        <v>5660060362.5249996</v>
      </c>
      <c r="AY150" s="23">
        <f t="shared" si="65"/>
        <v>0</v>
      </c>
    </row>
    <row r="151" spans="1:51" x14ac:dyDescent="0.3">
      <c r="A151">
        <v>2022</v>
      </c>
      <c r="B151">
        <v>307</v>
      </c>
      <c r="C151">
        <v>1.1020700201030201E+20</v>
      </c>
      <c r="D151" s="5">
        <v>35</v>
      </c>
      <c r="E151" s="8" t="s">
        <v>1106</v>
      </c>
      <c r="F151">
        <v>1.1020700201030201E+20</v>
      </c>
      <c r="G151" s="8" t="s">
        <v>1104</v>
      </c>
      <c r="H151" t="s">
        <v>47</v>
      </c>
      <c r="I151" s="11">
        <v>1053823622</v>
      </c>
      <c r="J151" s="11">
        <v>1053823622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1053823622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3368380006.7199998</v>
      </c>
      <c r="X151" s="11">
        <v>2733906.56</v>
      </c>
      <c r="Y151" s="17">
        <v>3365646100.1599998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3368380006.7199998</v>
      </c>
      <c r="AG151" s="11">
        <v>2733906.56</v>
      </c>
      <c r="AH151" s="12">
        <v>3365646100.1599998</v>
      </c>
      <c r="AI151" s="11">
        <v>3365646100.1599998</v>
      </c>
      <c r="AJ151" s="11">
        <v>7049979.2800000003</v>
      </c>
      <c r="AK151" s="11">
        <v>7049979.2800000003</v>
      </c>
      <c r="AL151" s="11">
        <v>3358596120.8800001</v>
      </c>
      <c r="AM151" s="11">
        <v>3361330027.4400001</v>
      </c>
      <c r="AN151" s="11">
        <v>2733906.56</v>
      </c>
      <c r="AO151" s="11">
        <v>3361330027.4400001</v>
      </c>
      <c r="AP151" s="11">
        <v>0</v>
      </c>
      <c r="AQ151" s="11">
        <v>2733906.56</v>
      </c>
      <c r="AR151" t="s">
        <v>365</v>
      </c>
      <c r="AS151" s="4" t="str">
        <f t="shared" ref="AS151:AS154" si="67">+G151</f>
        <v>Participación por el consumo de licores destilados introducidos de producción nacional recaudado p</v>
      </c>
      <c r="AT151" t="str">
        <f t="shared" si="66"/>
        <v>35Participación por el consumo de licores destilados introducidos de producción nacional recaudado p3365646100,16</v>
      </c>
      <c r="AU151" t="str">
        <f>+_xlfn.XLOOKUP(AT151,CRUCE!J:J,CRUCE!M:M)</f>
        <v>READY</v>
      </c>
      <c r="AV151" t="s">
        <v>1907</v>
      </c>
      <c r="AW151" s="23">
        <f>+SUMIFS(CRUCE!D:D,CRUCE!A:A,'2022'!D151,CRUCE!B:B,'2022'!AS151)/COUNTIFS(D:D,D151,AS:AS,AS151)</f>
        <v>3365646100.1599998</v>
      </c>
      <c r="AX151" s="23">
        <f t="shared" si="64"/>
        <v>3365646100.1599998</v>
      </c>
      <c r="AY151" s="23">
        <f t="shared" si="65"/>
        <v>0</v>
      </c>
    </row>
    <row r="152" spans="1:51" x14ac:dyDescent="0.3">
      <c r="A152">
        <v>2022</v>
      </c>
      <c r="B152">
        <v>307</v>
      </c>
      <c r="C152">
        <v>1.1020700201030201E+20</v>
      </c>
      <c r="D152" s="5">
        <v>179</v>
      </c>
      <c r="E152" s="8" t="s">
        <v>1107</v>
      </c>
      <c r="F152">
        <v>1.1020700201030201E+20</v>
      </c>
      <c r="G152" s="8" t="s">
        <v>1108</v>
      </c>
      <c r="H152" t="s">
        <v>47</v>
      </c>
      <c r="I152" s="11">
        <v>384846228</v>
      </c>
      <c r="J152" s="11">
        <v>384846228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384846228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260071089.80000001</v>
      </c>
      <c r="X152" s="11">
        <v>27375546.07</v>
      </c>
      <c r="Y152" s="17">
        <v>232695543.72999999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260071089.80000001</v>
      </c>
      <c r="AG152" s="11">
        <v>27375546.07</v>
      </c>
      <c r="AH152" s="12">
        <v>232695543.72999999</v>
      </c>
      <c r="AI152" s="11">
        <v>232695543.72999999</v>
      </c>
      <c r="AJ152" s="11">
        <v>-5052516.2699999996</v>
      </c>
      <c r="AK152" s="11">
        <v>-5052516.2699999996</v>
      </c>
      <c r="AL152" s="11">
        <v>237748060</v>
      </c>
      <c r="AM152" s="11">
        <v>260071089.80000001</v>
      </c>
      <c r="AN152" s="11">
        <v>22323029.800000001</v>
      </c>
      <c r="AO152" s="11">
        <v>260071089.80000001</v>
      </c>
      <c r="AP152" s="11">
        <v>0</v>
      </c>
      <c r="AQ152" s="11">
        <v>22323029.800000001</v>
      </c>
      <c r="AR152" t="s">
        <v>357</v>
      </c>
      <c r="AS152" s="4" t="str">
        <f t="shared" si="67"/>
        <v>Participación por el consumo de licores destilados introducidos de producción extranjera recaudado p</v>
      </c>
      <c r="AT152" t="str">
        <f t="shared" si="66"/>
        <v>179Participación por el consumo de licores destilados introducidos de producción extranjera recaudado p232695543,73</v>
      </c>
      <c r="AU152" t="str">
        <f>+_xlfn.XLOOKUP(AT152,CRUCE!J:J,CRUCE!M:M)</f>
        <v>READY</v>
      </c>
      <c r="AV152" t="s">
        <v>1907</v>
      </c>
      <c r="AW152" s="23">
        <f>+SUMIFS(CRUCE!D:D,CRUCE!A:A,'2022'!D152,CRUCE!B:B,'2022'!AS152)/COUNTIFS(D:D,D152,AS:AS,AS152)</f>
        <v>232695543.72999999</v>
      </c>
      <c r="AX152" s="23">
        <f t="shared" si="64"/>
        <v>232695543.72999999</v>
      </c>
      <c r="AY152" s="23">
        <f t="shared" si="65"/>
        <v>0</v>
      </c>
    </row>
    <row r="153" spans="1:51" x14ac:dyDescent="0.3">
      <c r="A153">
        <v>2022</v>
      </c>
      <c r="B153">
        <v>307</v>
      </c>
      <c r="C153">
        <v>1.1020700201030201E+20</v>
      </c>
      <c r="D153" s="5">
        <v>20</v>
      </c>
      <c r="E153" s="8" t="s">
        <v>1109</v>
      </c>
      <c r="F153">
        <v>1.1020700201030201E+20</v>
      </c>
      <c r="G153" s="8" t="s">
        <v>1108</v>
      </c>
      <c r="H153" t="s">
        <v>47</v>
      </c>
      <c r="I153" s="11">
        <v>5908465547</v>
      </c>
      <c r="J153" s="11">
        <v>5908465547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5908465547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3536089548.6100001</v>
      </c>
      <c r="X153" s="11">
        <v>29663089.550000001</v>
      </c>
      <c r="Y153" s="17">
        <v>3506426459.0599999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3536089548.6100001</v>
      </c>
      <c r="AG153" s="11">
        <v>29663089.550000001</v>
      </c>
      <c r="AH153" s="12">
        <v>3506426459.0599999</v>
      </c>
      <c r="AI153" s="11">
        <v>3506426459.0599999</v>
      </c>
      <c r="AJ153" s="11">
        <v>-27116349.550000001</v>
      </c>
      <c r="AK153" s="11">
        <v>-27116349.550000001</v>
      </c>
      <c r="AL153" s="11">
        <v>3533542808.6100001</v>
      </c>
      <c r="AM153" s="11">
        <v>3536089548.6100001</v>
      </c>
      <c r="AN153" s="11">
        <v>2546740</v>
      </c>
      <c r="AO153" s="11">
        <v>3536089548.6100001</v>
      </c>
      <c r="AP153" s="11">
        <v>0</v>
      </c>
      <c r="AQ153" s="11">
        <v>2546740</v>
      </c>
      <c r="AR153" t="s">
        <v>57</v>
      </c>
      <c r="AS153" s="4" t="str">
        <f t="shared" si="67"/>
        <v>Participación por el consumo de licores destilados introducidos de producción extranjera recaudado p</v>
      </c>
      <c r="AT153" t="str">
        <f t="shared" si="66"/>
        <v>20Participación por el consumo de licores destilados introducidos de producción extranjera recaudado p3506426459,06</v>
      </c>
      <c r="AU153" t="str">
        <f>+_xlfn.XLOOKUP(AT153,CRUCE!J:J,CRUCE!M:M)</f>
        <v>READY</v>
      </c>
      <c r="AV153" t="s">
        <v>1907</v>
      </c>
      <c r="AW153" s="23">
        <f>+SUMIFS(CRUCE!D:D,CRUCE!A:A,'2022'!D153,CRUCE!B:B,'2022'!AS153)/COUNTIFS(D:D,D153,AS:AS,AS153)</f>
        <v>3506426459.0599999</v>
      </c>
      <c r="AX153" s="23">
        <f t="shared" si="64"/>
        <v>3506426459.0599999</v>
      </c>
      <c r="AY153" s="23">
        <f t="shared" si="65"/>
        <v>0</v>
      </c>
    </row>
    <row r="154" spans="1:51" x14ac:dyDescent="0.3">
      <c r="A154">
        <v>2022</v>
      </c>
      <c r="B154">
        <v>307</v>
      </c>
      <c r="C154">
        <v>1.1020700201030201E+20</v>
      </c>
      <c r="D154" s="5">
        <v>35</v>
      </c>
      <c r="E154" s="8" t="s">
        <v>1110</v>
      </c>
      <c r="F154">
        <v>1.1020700201030201E+20</v>
      </c>
      <c r="G154" s="8" t="s">
        <v>1108</v>
      </c>
      <c r="H154" t="s">
        <v>47</v>
      </c>
      <c r="I154" s="11">
        <v>1798228644</v>
      </c>
      <c r="J154" s="11">
        <v>1798228644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1798228644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1075975951.3900001</v>
      </c>
      <c r="X154" s="11">
        <v>9001524.3200000003</v>
      </c>
      <c r="Y154" s="17">
        <v>1066974427.0700001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1075975951.3900001</v>
      </c>
      <c r="AG154" s="11">
        <v>9001524.3200000003</v>
      </c>
      <c r="AH154" s="12">
        <v>1066974427.0700001</v>
      </c>
      <c r="AI154" s="11">
        <v>1066974427.0700001</v>
      </c>
      <c r="AJ154" s="11">
        <v>-8251264.3200000003</v>
      </c>
      <c r="AK154" s="11">
        <v>-8251264.3200000003</v>
      </c>
      <c r="AL154" s="11">
        <v>1075225691.3900001</v>
      </c>
      <c r="AM154" s="11">
        <v>1075975951.3900001</v>
      </c>
      <c r="AN154" s="11">
        <v>750260</v>
      </c>
      <c r="AO154" s="11">
        <v>1075975951.3900001</v>
      </c>
      <c r="AP154" s="11">
        <v>0</v>
      </c>
      <c r="AQ154" s="11">
        <v>750260</v>
      </c>
      <c r="AR154" t="s">
        <v>365</v>
      </c>
      <c r="AS154" s="4" t="str">
        <f t="shared" si="67"/>
        <v>Participación por el consumo de licores destilados introducidos de producción extranjera recaudado p</v>
      </c>
      <c r="AT154" t="str">
        <f t="shared" si="66"/>
        <v>35Participación por el consumo de licores destilados introducidos de producción extranjera recaudado p1066974427,07</v>
      </c>
      <c r="AU154" t="str">
        <f>+_xlfn.XLOOKUP(AT154,CRUCE!J:J,CRUCE!M:M)</f>
        <v>READY</v>
      </c>
      <c r="AV154" t="s">
        <v>1907</v>
      </c>
      <c r="AW154" s="23">
        <f>+SUMIFS(CRUCE!D:D,CRUCE!A:A,'2022'!D154,CRUCE!B:B,'2022'!AS154)/COUNTIFS(D:D,D154,AS:AS,AS154)</f>
        <v>1066974427.0700001</v>
      </c>
      <c r="AX154" s="23">
        <f t="shared" si="64"/>
        <v>1066974427.0700001</v>
      </c>
      <c r="AY154" s="23">
        <f t="shared" si="65"/>
        <v>0</v>
      </c>
    </row>
    <row r="155" spans="1:51" hidden="1" x14ac:dyDescent="0.3">
      <c r="A155">
        <v>2022</v>
      </c>
      <c r="B155">
        <v>307</v>
      </c>
      <c r="C155">
        <v>11020700202</v>
      </c>
      <c r="D155" s="5" t="s">
        <v>44</v>
      </c>
      <c r="E155" s="8" t="s">
        <v>1111</v>
      </c>
      <c r="F155">
        <v>11020700202</v>
      </c>
      <c r="G155" s="8" t="s">
        <v>1112</v>
      </c>
      <c r="H155" t="s">
        <v>47</v>
      </c>
      <c r="I155" s="11">
        <v>4884905</v>
      </c>
      <c r="J155" s="11">
        <v>4884905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4884905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12322450</v>
      </c>
      <c r="X155" s="11">
        <v>34300</v>
      </c>
      <c r="Y155" s="17">
        <v>12288150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12322450</v>
      </c>
      <c r="AG155" s="11">
        <v>34300</v>
      </c>
      <c r="AH155" s="12">
        <v>12288150</v>
      </c>
      <c r="AI155" s="11">
        <v>12288150</v>
      </c>
      <c r="AJ155" s="11">
        <v>0</v>
      </c>
      <c r="AK155" s="11">
        <v>0</v>
      </c>
      <c r="AL155" s="11">
        <v>12288150</v>
      </c>
      <c r="AM155" s="11">
        <v>12322450</v>
      </c>
      <c r="AN155" s="11">
        <v>34300</v>
      </c>
      <c r="AO155" s="11">
        <v>12322450</v>
      </c>
      <c r="AP155" s="11">
        <v>0</v>
      </c>
      <c r="AQ155" s="11">
        <v>34300</v>
      </c>
      <c r="AR155" t="s">
        <v>48</v>
      </c>
      <c r="AS155"/>
      <c r="AW155"/>
      <c r="AX155"/>
      <c r="AY155"/>
    </row>
    <row r="156" spans="1:51" x14ac:dyDescent="0.3">
      <c r="A156">
        <v>2022</v>
      </c>
      <c r="B156">
        <v>307</v>
      </c>
      <c r="C156">
        <v>1102070020201</v>
      </c>
      <c r="D156" s="5">
        <v>20</v>
      </c>
      <c r="E156" s="8" t="s">
        <v>1113</v>
      </c>
      <c r="F156">
        <v>1102070020201</v>
      </c>
      <c r="G156" s="8" t="s">
        <v>1114</v>
      </c>
      <c r="H156" t="s">
        <v>47</v>
      </c>
      <c r="I156" s="11">
        <v>1905113</v>
      </c>
      <c r="J156" s="11">
        <v>1905113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1905113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7606897.9500000002</v>
      </c>
      <c r="X156" s="11">
        <v>0</v>
      </c>
      <c r="Y156" s="17">
        <v>7606897.9500000002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7606897.9500000002</v>
      </c>
      <c r="AG156" s="11">
        <v>0</v>
      </c>
      <c r="AH156" s="12">
        <v>7606897.9500000002</v>
      </c>
      <c r="AI156" s="11">
        <v>7606897.9500000002</v>
      </c>
      <c r="AJ156" s="11">
        <v>0</v>
      </c>
      <c r="AK156" s="11">
        <v>0</v>
      </c>
      <c r="AL156" s="11">
        <v>7606897.9500000002</v>
      </c>
      <c r="AM156" s="11">
        <v>7606897.9500000002</v>
      </c>
      <c r="AN156" s="11">
        <v>0</v>
      </c>
      <c r="AO156" s="11">
        <v>7606897.9500000002</v>
      </c>
      <c r="AP156" s="11">
        <v>0</v>
      </c>
      <c r="AQ156" s="11">
        <v>0</v>
      </c>
      <c r="AR156" t="s">
        <v>57</v>
      </c>
      <c r="AS156" s="4" t="str">
        <f t="shared" ref="AS156:AS158" si="68">+G156</f>
        <v>Participación por la utilización de alcohol potable producido</v>
      </c>
      <c r="AT156" t="str">
        <f t="shared" ref="AT156:AT158" si="69">+D156&amp;AS156&amp;Y156</f>
        <v>20Participación por la utilización de alcohol potable producido7606897,95</v>
      </c>
      <c r="AU156" t="str">
        <f>+_xlfn.XLOOKUP(AT156,CRUCE!J:J,CRUCE!M:M)</f>
        <v>READY</v>
      </c>
      <c r="AV156" t="s">
        <v>1907</v>
      </c>
      <c r="AW156" s="23">
        <f>+SUMIFS(CRUCE!D:D,CRUCE!A:A,'2022'!D156,CRUCE!B:B,'2022'!AS156)/COUNTIFS(D:D,D156,AS:AS,AS156)</f>
        <v>7606897.9500000002</v>
      </c>
      <c r="AX156" s="23">
        <f t="shared" ref="AX156:AX158" si="70">+SUMIFS(Y:Y,D:D,D156,AS:AS,AS156)/COUNTIFS(D:D,D156,AS:AS,AS156)</f>
        <v>7606897.9500000002</v>
      </c>
      <c r="AY156" s="23">
        <f t="shared" ref="AY156:AY158" si="71">+AW156-AX156</f>
        <v>0</v>
      </c>
    </row>
    <row r="157" spans="1:51" x14ac:dyDescent="0.3">
      <c r="A157">
        <v>2022</v>
      </c>
      <c r="B157">
        <v>307</v>
      </c>
      <c r="C157">
        <v>1102070020201</v>
      </c>
      <c r="D157" s="5">
        <v>205</v>
      </c>
      <c r="E157" s="8" t="s">
        <v>1115</v>
      </c>
      <c r="F157">
        <v>1102070020201</v>
      </c>
      <c r="G157" s="8" t="s">
        <v>1114</v>
      </c>
      <c r="H157" t="s">
        <v>47</v>
      </c>
      <c r="I157" s="11">
        <v>488490</v>
      </c>
      <c r="J157" s="11">
        <v>488490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488490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1984800</v>
      </c>
      <c r="X157" s="11">
        <v>34300</v>
      </c>
      <c r="Y157" s="17">
        <v>1950500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1984800</v>
      </c>
      <c r="AG157" s="11">
        <v>34300</v>
      </c>
      <c r="AH157" s="12">
        <v>1950500</v>
      </c>
      <c r="AI157" s="11">
        <v>1950500</v>
      </c>
      <c r="AJ157" s="11">
        <v>0</v>
      </c>
      <c r="AK157" s="11">
        <v>0</v>
      </c>
      <c r="AL157" s="11">
        <v>1950500</v>
      </c>
      <c r="AM157" s="11">
        <v>1984800</v>
      </c>
      <c r="AN157" s="11">
        <v>34300</v>
      </c>
      <c r="AO157" s="11">
        <v>1984800</v>
      </c>
      <c r="AP157" s="11">
        <v>0</v>
      </c>
      <c r="AQ157" s="11">
        <v>34300</v>
      </c>
      <c r="AR157" t="s">
        <v>1116</v>
      </c>
      <c r="AS157" s="4" t="str">
        <f t="shared" si="68"/>
        <v>Participación por la utilización de alcohol potable producido</v>
      </c>
      <c r="AT157" t="str">
        <f t="shared" si="69"/>
        <v>205Participación por la utilización de alcohol potable producido1950500</v>
      </c>
      <c r="AU157" t="str">
        <f>+_xlfn.XLOOKUP(AT157,CRUCE!J:J,CRUCE!M:M)</f>
        <v>READY</v>
      </c>
      <c r="AV157" t="s">
        <v>1907</v>
      </c>
      <c r="AW157" s="23">
        <f>+SUMIFS(CRUCE!D:D,CRUCE!A:A,'2022'!D157,CRUCE!B:B,'2022'!AS157)/COUNTIFS(D:D,D157,AS:AS,AS157)</f>
        <v>1950500</v>
      </c>
      <c r="AX157" s="23">
        <f t="shared" si="70"/>
        <v>1950500</v>
      </c>
      <c r="AY157" s="23">
        <f t="shared" si="71"/>
        <v>0</v>
      </c>
    </row>
    <row r="158" spans="1:51" x14ac:dyDescent="0.3">
      <c r="A158">
        <v>2022</v>
      </c>
      <c r="B158">
        <v>307</v>
      </c>
      <c r="C158">
        <v>1102070020201</v>
      </c>
      <c r="D158" s="5">
        <v>35</v>
      </c>
      <c r="E158" s="8" t="s">
        <v>1117</v>
      </c>
      <c r="F158">
        <v>1102070020201</v>
      </c>
      <c r="G158" s="8" t="s">
        <v>1114</v>
      </c>
      <c r="H158" t="s">
        <v>47</v>
      </c>
      <c r="I158" s="11">
        <v>2491302</v>
      </c>
      <c r="J158" s="11">
        <v>2491302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2491302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2730752.05</v>
      </c>
      <c r="X158" s="11">
        <v>0</v>
      </c>
      <c r="Y158" s="17">
        <v>2730752.05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2730752.05</v>
      </c>
      <c r="AG158" s="11">
        <v>0</v>
      </c>
      <c r="AH158" s="12">
        <v>2730752.05</v>
      </c>
      <c r="AI158" s="11">
        <v>2730752.05</v>
      </c>
      <c r="AJ158" s="11">
        <v>0</v>
      </c>
      <c r="AK158" s="11">
        <v>0</v>
      </c>
      <c r="AL158" s="11">
        <v>2730752.05</v>
      </c>
      <c r="AM158" s="11">
        <v>2730752.05</v>
      </c>
      <c r="AN158" s="11">
        <v>0</v>
      </c>
      <c r="AO158" s="11">
        <v>2730752.05</v>
      </c>
      <c r="AP158" s="11">
        <v>0</v>
      </c>
      <c r="AQ158" s="11">
        <v>0</v>
      </c>
      <c r="AR158" t="s">
        <v>365</v>
      </c>
      <c r="AS158" s="4" t="str">
        <f t="shared" si="68"/>
        <v>Participación por la utilización de alcohol potable producido</v>
      </c>
      <c r="AT158" t="str">
        <f t="shared" si="69"/>
        <v>35Participación por la utilización de alcohol potable producido2730752,05</v>
      </c>
      <c r="AU158" t="str">
        <f>+_xlfn.XLOOKUP(AT158,CRUCE!J:J,CRUCE!M:M)</f>
        <v>READY</v>
      </c>
      <c r="AV158" t="s">
        <v>1907</v>
      </c>
      <c r="AW158" s="23">
        <f>+SUMIFS(CRUCE!D:D,CRUCE!A:A,'2022'!D158,CRUCE!B:B,'2022'!AS158)/COUNTIFS(D:D,D158,AS:AS,AS158)</f>
        <v>2730752.05</v>
      </c>
      <c r="AX158" s="23">
        <f t="shared" si="70"/>
        <v>2730752.05</v>
      </c>
      <c r="AY158" s="23">
        <f t="shared" si="71"/>
        <v>0</v>
      </c>
    </row>
    <row r="159" spans="1:51" hidden="1" x14ac:dyDescent="0.3">
      <c r="A159">
        <v>2022</v>
      </c>
      <c r="B159">
        <v>307</v>
      </c>
      <c r="C159">
        <v>12</v>
      </c>
      <c r="D159" s="5" t="s">
        <v>44</v>
      </c>
      <c r="E159" s="8" t="s">
        <v>366</v>
      </c>
      <c r="F159">
        <v>12</v>
      </c>
      <c r="G159" s="8" t="s">
        <v>367</v>
      </c>
      <c r="H159" t="s">
        <v>47</v>
      </c>
      <c r="I159" s="11">
        <v>7883689268</v>
      </c>
      <c r="J159" s="11">
        <v>7883689268</v>
      </c>
      <c r="K159" s="11">
        <v>84179412780.309998</v>
      </c>
      <c r="L159" s="11">
        <v>39224850.409999996</v>
      </c>
      <c r="M159" s="11">
        <v>84140187929.899994</v>
      </c>
      <c r="N159" s="11">
        <v>84179412780.309998</v>
      </c>
      <c r="O159" s="11">
        <v>39224850.409999996</v>
      </c>
      <c r="P159" s="11">
        <v>92023877197.899994</v>
      </c>
      <c r="Q159" s="11">
        <v>0</v>
      </c>
      <c r="R159" s="11">
        <v>0</v>
      </c>
      <c r="S159" s="11">
        <v>0</v>
      </c>
      <c r="T159" s="11">
        <v>39224850.409999996</v>
      </c>
      <c r="U159" s="11">
        <v>0</v>
      </c>
      <c r="V159" s="11">
        <v>39224850.409999996</v>
      </c>
      <c r="W159" s="11">
        <v>60410020336.239998</v>
      </c>
      <c r="X159" s="11">
        <v>1567104909.73</v>
      </c>
      <c r="Y159" s="17">
        <v>58842915426.510002</v>
      </c>
      <c r="Z159" s="11">
        <v>0</v>
      </c>
      <c r="AA159" s="11">
        <v>0</v>
      </c>
      <c r="AB159" s="11">
        <v>0</v>
      </c>
      <c r="AC159" s="11">
        <v>39224850.409999996</v>
      </c>
      <c r="AD159" s="11">
        <v>0</v>
      </c>
      <c r="AE159" s="11">
        <v>39224850.409999996</v>
      </c>
      <c r="AF159" s="11">
        <v>60410020336.239998</v>
      </c>
      <c r="AG159" s="11">
        <v>1567104909.73</v>
      </c>
      <c r="AH159" s="12">
        <v>58842915426.510002</v>
      </c>
      <c r="AI159" s="11">
        <v>58882140276.919998</v>
      </c>
      <c r="AJ159" s="11">
        <v>47949856786.720001</v>
      </c>
      <c r="AK159" s="11">
        <v>47949856786.720001</v>
      </c>
      <c r="AL159" s="11">
        <v>10893058639.790001</v>
      </c>
      <c r="AM159" s="11">
        <v>10964017555.629999</v>
      </c>
      <c r="AN159" s="11">
        <v>70958915.840000004</v>
      </c>
      <c r="AO159" s="11">
        <v>10964017555.629999</v>
      </c>
      <c r="AP159" s="11">
        <v>0</v>
      </c>
      <c r="AQ159" s="11">
        <v>70958915.840000004</v>
      </c>
      <c r="AR159" t="s">
        <v>48</v>
      </c>
      <c r="AS159"/>
      <c r="AW159"/>
      <c r="AX159"/>
      <c r="AY159"/>
    </row>
    <row r="160" spans="1:51" hidden="1" x14ac:dyDescent="0.3">
      <c r="A160">
        <v>2022</v>
      </c>
      <c r="B160">
        <v>307</v>
      </c>
      <c r="C160">
        <v>1203</v>
      </c>
      <c r="D160" s="5" t="s">
        <v>44</v>
      </c>
      <c r="E160" s="8" t="s">
        <v>372</v>
      </c>
      <c r="F160">
        <v>1203</v>
      </c>
      <c r="G160" s="8" t="s">
        <v>373</v>
      </c>
      <c r="H160" t="s">
        <v>47</v>
      </c>
      <c r="I160" s="11">
        <v>150000000</v>
      </c>
      <c r="J160" s="11">
        <v>150000000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150000000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7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2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t="s">
        <v>48</v>
      </c>
      <c r="AS160"/>
      <c r="AW160"/>
      <c r="AX160"/>
      <c r="AY160"/>
    </row>
    <row r="161" spans="1:51" hidden="1" x14ac:dyDescent="0.3">
      <c r="A161">
        <v>2022</v>
      </c>
      <c r="B161">
        <v>307</v>
      </c>
      <c r="C161">
        <v>120303</v>
      </c>
      <c r="D161" s="5" t="s">
        <v>44</v>
      </c>
      <c r="E161" s="8" t="s">
        <v>374</v>
      </c>
      <c r="F161">
        <v>120303</v>
      </c>
      <c r="G161" s="8" t="s">
        <v>375</v>
      </c>
      <c r="H161" t="s">
        <v>47</v>
      </c>
      <c r="I161" s="11">
        <v>150000000</v>
      </c>
      <c r="J161" s="11">
        <v>150000000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150000000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7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2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1">
        <v>0</v>
      </c>
      <c r="AP161" s="11">
        <v>0</v>
      </c>
      <c r="AQ161" s="11">
        <v>0</v>
      </c>
      <c r="AR161" t="s">
        <v>48</v>
      </c>
      <c r="AS161"/>
      <c r="AW161"/>
      <c r="AX161"/>
      <c r="AY161"/>
    </row>
    <row r="162" spans="1:51" x14ac:dyDescent="0.3">
      <c r="A162">
        <v>2022</v>
      </c>
      <c r="B162">
        <v>307</v>
      </c>
      <c r="C162">
        <v>120303001</v>
      </c>
      <c r="D162" s="5">
        <v>20</v>
      </c>
      <c r="E162" s="8" t="s">
        <v>376</v>
      </c>
      <c r="F162">
        <v>120303001</v>
      </c>
      <c r="G162" s="8" t="s">
        <v>377</v>
      </c>
      <c r="H162" t="s">
        <v>47</v>
      </c>
      <c r="I162" s="11">
        <v>150000000</v>
      </c>
      <c r="J162" s="11">
        <v>150000000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150000000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7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2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t="s">
        <v>57</v>
      </c>
      <c r="AS162" s="4" t="str">
        <f t="shared" ref="AS162:AS163" si="72">+G162</f>
        <v>Terminal de Transportes de Armenia</v>
      </c>
      <c r="AT162" t="str">
        <f t="shared" ref="AT162:AT163" si="73">+D162&amp;AS162&amp;Y162</f>
        <v>20Terminal de Transportes de Armenia0</v>
      </c>
      <c r="AU162" t="str">
        <f>+_xlfn.XLOOKUP(AT162,CRUCE!J:J,CRUCE!M:M)</f>
        <v>READY</v>
      </c>
      <c r="AV162" t="s">
        <v>1907</v>
      </c>
      <c r="AW162" s="23">
        <f>+SUMIFS(CRUCE!D:D,CRUCE!A:A,'2022'!D162,CRUCE!B:B,'2022'!AS162)/COUNTIFS(D:D,D162,AS:AS,AS162)</f>
        <v>0</v>
      </c>
      <c r="AX162" s="23">
        <f t="shared" ref="AX162:AX163" si="74">+SUMIFS(Y:Y,D:D,D162,AS:AS,AS162)/COUNTIFS(D:D,D162,AS:AS,AS162)</f>
        <v>0</v>
      </c>
      <c r="AY162" s="23">
        <f t="shared" ref="AY162:AY163" si="75">+AW162-AX162</f>
        <v>0</v>
      </c>
    </row>
    <row r="163" spans="1:51" x14ac:dyDescent="0.3">
      <c r="A163">
        <v>2022</v>
      </c>
      <c r="B163">
        <v>307</v>
      </c>
      <c r="C163">
        <v>120303002</v>
      </c>
      <c r="D163" s="5">
        <v>20</v>
      </c>
      <c r="E163" s="8" t="s">
        <v>1118</v>
      </c>
      <c r="F163">
        <v>120303002</v>
      </c>
      <c r="G163" s="8" t="s">
        <v>1119</v>
      </c>
      <c r="H163" t="s">
        <v>47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7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2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0</v>
      </c>
      <c r="AR163" t="s">
        <v>57</v>
      </c>
      <c r="AS163" s="4" t="str">
        <f t="shared" si="72"/>
        <v>Fondo Nacional de Garantías</v>
      </c>
      <c r="AT163" t="str">
        <f t="shared" si="73"/>
        <v>20Fondo Nacional de Garantías0</v>
      </c>
      <c r="AU163" t="e">
        <f>+_xlfn.XLOOKUP(AT163,CRUCE!J:J,CRUCE!M:M)</f>
        <v>#N/A</v>
      </c>
      <c r="AV163" t="s">
        <v>1907</v>
      </c>
      <c r="AW163" s="23">
        <f>+SUMIFS(CRUCE!D:D,CRUCE!A:A,'2022'!D163,CRUCE!B:B,'2022'!AS163)/COUNTIFS(D:D,D163,AS:AS,AS163)</f>
        <v>0</v>
      </c>
      <c r="AX163" s="23">
        <f t="shared" si="74"/>
        <v>0</v>
      </c>
      <c r="AY163" s="23">
        <f t="shared" si="75"/>
        <v>0</v>
      </c>
    </row>
    <row r="164" spans="1:51" hidden="1" x14ac:dyDescent="0.3">
      <c r="A164">
        <v>2022</v>
      </c>
      <c r="B164">
        <v>307</v>
      </c>
      <c r="C164">
        <v>1205</v>
      </c>
      <c r="D164" s="5" t="s">
        <v>44</v>
      </c>
      <c r="E164" s="8" t="s">
        <v>378</v>
      </c>
      <c r="F164">
        <v>1205</v>
      </c>
      <c r="G164" s="8" t="s">
        <v>379</v>
      </c>
      <c r="H164" t="s">
        <v>47</v>
      </c>
      <c r="I164" s="11">
        <v>460422611</v>
      </c>
      <c r="J164" s="11">
        <v>460422611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460422611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1061252190.55</v>
      </c>
      <c r="X164" s="11">
        <v>68195568.840000004</v>
      </c>
      <c r="Y164" s="17">
        <v>993056621.71000004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1061252190.55</v>
      </c>
      <c r="AG164" s="11">
        <v>68195568.840000004</v>
      </c>
      <c r="AH164" s="12">
        <v>993056621.71000004</v>
      </c>
      <c r="AI164" s="11">
        <v>993056621.71000004</v>
      </c>
      <c r="AJ164" s="11">
        <v>0</v>
      </c>
      <c r="AK164" s="11">
        <v>0</v>
      </c>
      <c r="AL164" s="11">
        <v>993056621.71000004</v>
      </c>
      <c r="AM164" s="11">
        <v>1061252190.55</v>
      </c>
      <c r="AN164" s="11">
        <v>68195568.840000004</v>
      </c>
      <c r="AO164" s="11">
        <v>1061252190.55</v>
      </c>
      <c r="AP164" s="11">
        <v>0</v>
      </c>
      <c r="AQ164" s="11">
        <v>68195568.840000004</v>
      </c>
      <c r="AR164" t="s">
        <v>48</v>
      </c>
      <c r="AS164"/>
      <c r="AW164"/>
      <c r="AX164"/>
      <c r="AY164"/>
    </row>
    <row r="165" spans="1:51" hidden="1" x14ac:dyDescent="0.3">
      <c r="A165">
        <v>2022</v>
      </c>
      <c r="B165">
        <v>307</v>
      </c>
      <c r="C165">
        <v>120502</v>
      </c>
      <c r="D165" s="5" t="s">
        <v>44</v>
      </c>
      <c r="E165" s="8" t="s">
        <v>380</v>
      </c>
      <c r="F165">
        <v>120502</v>
      </c>
      <c r="G165" s="8" t="s">
        <v>381</v>
      </c>
      <c r="H165" t="s">
        <v>47</v>
      </c>
      <c r="I165" s="11">
        <v>460422611</v>
      </c>
      <c r="J165" s="11">
        <v>460422611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460422611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1061252190.55</v>
      </c>
      <c r="X165" s="11">
        <v>68195568.840000004</v>
      </c>
      <c r="Y165" s="17">
        <v>993056621.71000004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1061252190.55</v>
      </c>
      <c r="AG165" s="11">
        <v>68195568.840000004</v>
      </c>
      <c r="AH165" s="12">
        <v>993056621.71000004</v>
      </c>
      <c r="AI165" s="11">
        <v>993056621.71000004</v>
      </c>
      <c r="AJ165" s="11">
        <v>0</v>
      </c>
      <c r="AK165" s="11">
        <v>0</v>
      </c>
      <c r="AL165" s="11">
        <v>993056621.71000004</v>
      </c>
      <c r="AM165" s="11">
        <v>1061252190.55</v>
      </c>
      <c r="AN165" s="11">
        <v>68195568.840000004</v>
      </c>
      <c r="AO165" s="11">
        <v>1061252190.55</v>
      </c>
      <c r="AP165" s="11">
        <v>0</v>
      </c>
      <c r="AQ165" s="11">
        <v>68195568.840000004</v>
      </c>
      <c r="AR165" t="s">
        <v>48</v>
      </c>
      <c r="AS165"/>
      <c r="AW165"/>
      <c r="AX165"/>
      <c r="AY165"/>
    </row>
    <row r="166" spans="1:51" x14ac:dyDescent="0.3">
      <c r="A166">
        <v>2022</v>
      </c>
      <c r="B166">
        <v>307</v>
      </c>
      <c r="C166">
        <v>120502002</v>
      </c>
      <c r="D166" s="5">
        <v>4</v>
      </c>
      <c r="E166" s="8" t="s">
        <v>1120</v>
      </c>
      <c r="F166">
        <v>120502002</v>
      </c>
      <c r="G166" s="8" t="s">
        <v>1121</v>
      </c>
      <c r="H166" t="s">
        <v>47</v>
      </c>
      <c r="I166" s="11">
        <v>1664967</v>
      </c>
      <c r="J166" s="11">
        <v>1664967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1664967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69803152.939999998</v>
      </c>
      <c r="X166" s="11">
        <v>0</v>
      </c>
      <c r="Y166" s="17">
        <v>69803152.939999998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69803152.939999998</v>
      </c>
      <c r="AG166" s="11">
        <v>0</v>
      </c>
      <c r="AH166" s="12">
        <v>69803152.939999998</v>
      </c>
      <c r="AI166" s="11">
        <v>69803152.939999998</v>
      </c>
      <c r="AJ166" s="11">
        <v>0</v>
      </c>
      <c r="AK166" s="11">
        <v>0</v>
      </c>
      <c r="AL166" s="11">
        <v>69803152.939999998</v>
      </c>
      <c r="AM166" s="11">
        <v>69803152.939999998</v>
      </c>
      <c r="AN166" s="11">
        <v>0</v>
      </c>
      <c r="AO166" s="11">
        <v>69803152.939999998</v>
      </c>
      <c r="AP166" s="11">
        <v>0</v>
      </c>
      <c r="AQ166" s="11">
        <v>0</v>
      </c>
      <c r="AR166" t="s">
        <v>125</v>
      </c>
      <c r="AS166" s="4" t="str">
        <f t="shared" ref="AS166:AS183" si="76">+G166</f>
        <v>Depósitos Estampilla Prodesarrollo Inversion 50%</v>
      </c>
      <c r="AT166" t="str">
        <f t="shared" ref="AT166:AT183" si="77">+D166&amp;AS166&amp;Y166</f>
        <v>4Depósitos Estampilla Prodesarrollo Inversion 50%69803152,94</v>
      </c>
      <c r="AU166" t="str">
        <f>+_xlfn.XLOOKUP(AT166,CRUCE!J:J,CRUCE!M:M)</f>
        <v>READY</v>
      </c>
      <c r="AV166" t="s">
        <v>1907</v>
      </c>
      <c r="AW166" s="23">
        <f>+SUMIFS(CRUCE!D:D,CRUCE!A:A,'2022'!D166,CRUCE!B:B,'2022'!AS166)/COUNTIFS(D:D,D166,AS:AS,AS166)</f>
        <v>69803152.939999998</v>
      </c>
      <c r="AX166" s="23">
        <f t="shared" ref="AX166:AX183" si="78">+SUMIFS(Y:Y,D:D,D166,AS:AS,AS166)/COUNTIFS(D:D,D166,AS:AS,AS166)</f>
        <v>69803152.939999998</v>
      </c>
      <c r="AY166" s="23">
        <f t="shared" ref="AY166:AY183" si="79">+AW166-AX166</f>
        <v>0</v>
      </c>
    </row>
    <row r="167" spans="1:51" x14ac:dyDescent="0.3">
      <c r="A167">
        <v>2022</v>
      </c>
      <c r="B167">
        <v>307</v>
      </c>
      <c r="C167">
        <v>120502003</v>
      </c>
      <c r="D167" s="5">
        <v>176</v>
      </c>
      <c r="E167" s="8" t="s">
        <v>1122</v>
      </c>
      <c r="F167">
        <v>120502003</v>
      </c>
      <c r="G167" s="8" t="s">
        <v>1123</v>
      </c>
      <c r="H167" t="s">
        <v>47</v>
      </c>
      <c r="I167" s="11">
        <v>481528</v>
      </c>
      <c r="J167" s="11">
        <v>481528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481528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27921261.129999999</v>
      </c>
      <c r="X167" s="11">
        <v>0</v>
      </c>
      <c r="Y167" s="17">
        <v>27921261.129999999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27921261.129999999</v>
      </c>
      <c r="AG167" s="11">
        <v>0</v>
      </c>
      <c r="AH167" s="12">
        <v>27921261.129999999</v>
      </c>
      <c r="AI167" s="11">
        <v>27921261.129999999</v>
      </c>
      <c r="AJ167" s="11">
        <v>0</v>
      </c>
      <c r="AK167" s="11">
        <v>0</v>
      </c>
      <c r="AL167" s="11">
        <v>27921261.129999999</v>
      </c>
      <c r="AM167" s="11">
        <v>27921261.129999999</v>
      </c>
      <c r="AN167" s="11">
        <v>0</v>
      </c>
      <c r="AO167" s="11">
        <v>27921261.129999999</v>
      </c>
      <c r="AP167" s="11">
        <v>0</v>
      </c>
      <c r="AQ167" s="11">
        <v>0</v>
      </c>
      <c r="AR167" t="s">
        <v>127</v>
      </c>
      <c r="AS167" s="4" t="str">
        <f t="shared" si="76"/>
        <v>Depósitos Estampilla Prodesarrollo Pensiones 20%</v>
      </c>
      <c r="AT167" t="str">
        <f t="shared" si="77"/>
        <v>176Depósitos Estampilla Prodesarrollo Pensiones 20%27921261,13</v>
      </c>
      <c r="AU167" t="str">
        <f>+_xlfn.XLOOKUP(AT167,CRUCE!J:J,CRUCE!M:M)</f>
        <v>READY</v>
      </c>
      <c r="AV167" t="s">
        <v>1907</v>
      </c>
      <c r="AW167" s="23">
        <f>+SUMIFS(CRUCE!D:D,CRUCE!A:A,'2022'!D167,CRUCE!B:B,'2022'!AS167)/COUNTIFS(D:D,D167,AS:AS,AS167)</f>
        <v>27921261.129999999</v>
      </c>
      <c r="AX167" s="23">
        <f t="shared" si="78"/>
        <v>27921261.129999999</v>
      </c>
      <c r="AY167" s="23">
        <f t="shared" si="79"/>
        <v>0</v>
      </c>
    </row>
    <row r="168" spans="1:51" x14ac:dyDescent="0.3">
      <c r="A168">
        <v>2022</v>
      </c>
      <c r="B168">
        <v>307</v>
      </c>
      <c r="C168">
        <v>120502004</v>
      </c>
      <c r="D168" s="5">
        <v>5</v>
      </c>
      <c r="E168" s="8" t="s">
        <v>1124</v>
      </c>
      <c r="F168">
        <v>120502004</v>
      </c>
      <c r="G168" s="8" t="s">
        <v>1125</v>
      </c>
      <c r="H168" t="s">
        <v>47</v>
      </c>
      <c r="I168" s="11">
        <v>316121</v>
      </c>
      <c r="J168" s="11">
        <v>316121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316121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4007801.64</v>
      </c>
      <c r="X168" s="11">
        <v>0</v>
      </c>
      <c r="Y168" s="17">
        <v>4007801.64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4007801.64</v>
      </c>
      <c r="AG168" s="11">
        <v>0</v>
      </c>
      <c r="AH168" s="12">
        <v>4007801.64</v>
      </c>
      <c r="AI168" s="11">
        <v>4007801.64</v>
      </c>
      <c r="AJ168" s="11">
        <v>0</v>
      </c>
      <c r="AK168" s="11">
        <v>0</v>
      </c>
      <c r="AL168" s="11">
        <v>4007801.64</v>
      </c>
      <c r="AM168" s="11">
        <v>4007801.64</v>
      </c>
      <c r="AN168" s="11">
        <v>0</v>
      </c>
      <c r="AO168" s="11">
        <v>4007801.64</v>
      </c>
      <c r="AP168" s="11">
        <v>0</v>
      </c>
      <c r="AQ168" s="11">
        <v>0</v>
      </c>
      <c r="AR168" t="s">
        <v>135</v>
      </c>
      <c r="AS168" s="4" t="str">
        <f t="shared" si="76"/>
        <v>Depósitos Estampilla Procultura Pensiones 20%</v>
      </c>
      <c r="AT168" t="str">
        <f t="shared" si="77"/>
        <v>5Depósitos Estampilla Procultura Pensiones 20%4007801,64</v>
      </c>
      <c r="AU168" t="str">
        <f>+_xlfn.XLOOKUP(AT168,CRUCE!J:J,CRUCE!M:M)</f>
        <v>READY</v>
      </c>
      <c r="AV168" t="s">
        <v>1907</v>
      </c>
      <c r="AW168" s="23">
        <f>+SUMIFS(CRUCE!D:D,CRUCE!A:A,'2022'!D168,CRUCE!B:B,'2022'!AS168)/COUNTIFS(D:D,D168,AS:AS,AS168)</f>
        <v>4007801.64</v>
      </c>
      <c r="AX168" s="23">
        <f t="shared" si="78"/>
        <v>4007801.64</v>
      </c>
      <c r="AY168" s="23">
        <f t="shared" si="79"/>
        <v>0</v>
      </c>
    </row>
    <row r="169" spans="1:51" x14ac:dyDescent="0.3">
      <c r="A169">
        <v>2022</v>
      </c>
      <c r="B169">
        <v>307</v>
      </c>
      <c r="C169">
        <v>120502005</v>
      </c>
      <c r="D169" s="5">
        <v>33</v>
      </c>
      <c r="E169" s="8" t="s">
        <v>1126</v>
      </c>
      <c r="F169">
        <v>120502005</v>
      </c>
      <c r="G169" s="8" t="s">
        <v>1127</v>
      </c>
      <c r="H169" t="s">
        <v>47</v>
      </c>
      <c r="I169" s="11">
        <v>158060</v>
      </c>
      <c r="J169" s="11">
        <v>158060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158060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2003900.82</v>
      </c>
      <c r="X169" s="11">
        <v>0</v>
      </c>
      <c r="Y169" s="17">
        <v>2003900.82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2003900.82</v>
      </c>
      <c r="AG169" s="11">
        <v>0</v>
      </c>
      <c r="AH169" s="12">
        <v>2003900.82</v>
      </c>
      <c r="AI169" s="11">
        <v>2003900.82</v>
      </c>
      <c r="AJ169" s="11">
        <v>0</v>
      </c>
      <c r="AK169" s="11">
        <v>0</v>
      </c>
      <c r="AL169" s="11">
        <v>2003900.82</v>
      </c>
      <c r="AM169" s="11">
        <v>2003900.82</v>
      </c>
      <c r="AN169" s="11">
        <v>0</v>
      </c>
      <c r="AO169" s="11">
        <v>2003900.82</v>
      </c>
      <c r="AP169" s="11">
        <v>0</v>
      </c>
      <c r="AQ169" s="11">
        <v>0</v>
      </c>
      <c r="AR169" t="s">
        <v>137</v>
      </c>
      <c r="AS169" s="4" t="str">
        <f t="shared" si="76"/>
        <v>Depósitos Estampilla Procultura Seguridad Social 10%</v>
      </c>
      <c r="AT169" t="str">
        <f t="shared" si="77"/>
        <v>33Depósitos Estampilla Procultura Seguridad Social 10%2003900,82</v>
      </c>
      <c r="AU169" t="str">
        <f>+_xlfn.XLOOKUP(AT169,CRUCE!J:J,CRUCE!M:M)</f>
        <v>READY</v>
      </c>
      <c r="AV169" t="s">
        <v>1907</v>
      </c>
      <c r="AW169" s="23">
        <f>+SUMIFS(CRUCE!D:D,CRUCE!A:A,'2022'!D169,CRUCE!B:B,'2022'!AS169)/COUNTIFS(D:D,D169,AS:AS,AS169)</f>
        <v>2003900.82</v>
      </c>
      <c r="AX169" s="23">
        <f t="shared" si="78"/>
        <v>2003900.82</v>
      </c>
      <c r="AY169" s="23">
        <f t="shared" si="79"/>
        <v>0</v>
      </c>
    </row>
    <row r="170" spans="1:51" x14ac:dyDescent="0.3">
      <c r="A170">
        <v>2022</v>
      </c>
      <c r="B170">
        <v>307</v>
      </c>
      <c r="C170">
        <v>120502006</v>
      </c>
      <c r="D170" s="5">
        <v>34</v>
      </c>
      <c r="E170" s="8" t="s">
        <v>1128</v>
      </c>
      <c r="F170">
        <v>120502006</v>
      </c>
      <c r="G170" s="8" t="s">
        <v>1129</v>
      </c>
      <c r="H170" t="s">
        <v>47</v>
      </c>
      <c r="I170" s="11">
        <v>158060</v>
      </c>
      <c r="J170" s="11">
        <v>158060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158060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2003900.82</v>
      </c>
      <c r="X170" s="11">
        <v>0</v>
      </c>
      <c r="Y170" s="17">
        <v>2003900.82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2003900.82</v>
      </c>
      <c r="AG170" s="11">
        <v>0</v>
      </c>
      <c r="AH170" s="12">
        <v>2003900.82</v>
      </c>
      <c r="AI170" s="11">
        <v>2003900.82</v>
      </c>
      <c r="AJ170" s="11">
        <v>0</v>
      </c>
      <c r="AK170" s="11">
        <v>0</v>
      </c>
      <c r="AL170" s="11">
        <v>2003900.82</v>
      </c>
      <c r="AM170" s="11">
        <v>2003900.82</v>
      </c>
      <c r="AN170" s="11">
        <v>0</v>
      </c>
      <c r="AO170" s="11">
        <v>2003900.82</v>
      </c>
      <c r="AP170" s="11">
        <v>0</v>
      </c>
      <c r="AQ170" s="11">
        <v>0</v>
      </c>
      <c r="AR170" t="s">
        <v>139</v>
      </c>
      <c r="AS170" s="4" t="str">
        <f t="shared" si="76"/>
        <v>Depósitos Estampilla Procultura Bibliotecas 10%</v>
      </c>
      <c r="AT170" t="str">
        <f t="shared" si="77"/>
        <v>34Depósitos Estampilla Procultura Bibliotecas 10%2003900,82</v>
      </c>
      <c r="AU170" t="str">
        <f>+_xlfn.XLOOKUP(AT170,CRUCE!J:J,CRUCE!M:M)</f>
        <v>READY</v>
      </c>
      <c r="AV170" t="s">
        <v>1907</v>
      </c>
      <c r="AW170" s="23">
        <f>+SUMIFS(CRUCE!D:D,CRUCE!A:A,'2022'!D170,CRUCE!B:B,'2022'!AS170)/COUNTIFS(D:D,D170,AS:AS,AS170)</f>
        <v>2003900.82</v>
      </c>
      <c r="AX170" s="23">
        <f t="shared" si="78"/>
        <v>2003900.82</v>
      </c>
      <c r="AY170" s="23">
        <f t="shared" si="79"/>
        <v>0</v>
      </c>
    </row>
    <row r="171" spans="1:51" x14ac:dyDescent="0.3">
      <c r="A171">
        <v>2022</v>
      </c>
      <c r="B171">
        <v>307</v>
      </c>
      <c r="C171">
        <v>120502007</v>
      </c>
      <c r="D171" s="5">
        <v>39</v>
      </c>
      <c r="E171" s="8" t="s">
        <v>1130</v>
      </c>
      <c r="F171">
        <v>120502007</v>
      </c>
      <c r="G171" s="8" t="s">
        <v>1131</v>
      </c>
      <c r="H171" t="s">
        <v>47</v>
      </c>
      <c r="I171" s="11">
        <v>790301</v>
      </c>
      <c r="J171" s="11">
        <v>790301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790301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9231216.7200000007</v>
      </c>
      <c r="X171" s="11">
        <v>0</v>
      </c>
      <c r="Y171" s="17">
        <v>9231216.7200000007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9231216.7200000007</v>
      </c>
      <c r="AG171" s="11">
        <v>0</v>
      </c>
      <c r="AH171" s="12">
        <v>9231216.7200000007</v>
      </c>
      <c r="AI171" s="11">
        <v>9231216.7200000007</v>
      </c>
      <c r="AJ171" s="11">
        <v>0</v>
      </c>
      <c r="AK171" s="11">
        <v>0</v>
      </c>
      <c r="AL171" s="11">
        <v>9231216.7200000007</v>
      </c>
      <c r="AM171" s="11">
        <v>9231216.7200000007</v>
      </c>
      <c r="AN171" s="11">
        <v>0</v>
      </c>
      <c r="AO171" s="11">
        <v>9231216.7200000007</v>
      </c>
      <c r="AP171" s="11">
        <v>0</v>
      </c>
      <c r="AQ171" s="11">
        <v>0</v>
      </c>
      <c r="AR171" t="s">
        <v>141</v>
      </c>
      <c r="AS171" s="4" t="str">
        <f t="shared" si="76"/>
        <v>Depósitos Estampilla Procultura Concertacion 50%</v>
      </c>
      <c r="AT171" t="str">
        <f t="shared" si="77"/>
        <v>39Depósitos Estampilla Procultura Concertacion 50%9231216,72</v>
      </c>
      <c r="AU171" t="str">
        <f>+_xlfn.XLOOKUP(AT171,CRUCE!J:J,CRUCE!M:M)</f>
        <v>READY</v>
      </c>
      <c r="AV171" t="s">
        <v>1907</v>
      </c>
      <c r="AW171" s="23">
        <f>+SUMIFS(CRUCE!D:D,CRUCE!A:A,'2022'!D171,CRUCE!B:B,'2022'!AS171)/COUNTIFS(D:D,D171,AS:AS,AS171)</f>
        <v>9231216.7200000007</v>
      </c>
      <c r="AX171" s="23">
        <f t="shared" si="78"/>
        <v>9231216.7200000007</v>
      </c>
      <c r="AY171" s="23">
        <f t="shared" si="79"/>
        <v>0</v>
      </c>
    </row>
    <row r="172" spans="1:51" x14ac:dyDescent="0.3">
      <c r="A172">
        <v>2022</v>
      </c>
      <c r="B172">
        <v>307</v>
      </c>
      <c r="C172">
        <v>120502008</v>
      </c>
      <c r="D172" s="5">
        <v>41</v>
      </c>
      <c r="E172" s="8" t="s">
        <v>1132</v>
      </c>
      <c r="F172">
        <v>120502008</v>
      </c>
      <c r="G172" s="8" t="s">
        <v>1133</v>
      </c>
      <c r="H172" t="s">
        <v>47</v>
      </c>
      <c r="I172" s="11">
        <v>158060</v>
      </c>
      <c r="J172" s="11">
        <v>158060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158060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2792188.18</v>
      </c>
      <c r="X172" s="11">
        <v>0</v>
      </c>
      <c r="Y172" s="17">
        <v>2792188.18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2792188.18</v>
      </c>
      <c r="AG172" s="11">
        <v>0</v>
      </c>
      <c r="AH172" s="12">
        <v>2792188.18</v>
      </c>
      <c r="AI172" s="11">
        <v>2792188.18</v>
      </c>
      <c r="AJ172" s="11">
        <v>0</v>
      </c>
      <c r="AK172" s="11">
        <v>0</v>
      </c>
      <c r="AL172" s="11">
        <v>2792188.18</v>
      </c>
      <c r="AM172" s="11">
        <v>2792188.18</v>
      </c>
      <c r="AN172" s="11">
        <v>0</v>
      </c>
      <c r="AO172" s="11">
        <v>2792188.18</v>
      </c>
      <c r="AP172" s="11">
        <v>0</v>
      </c>
      <c r="AQ172" s="11">
        <v>0</v>
      </c>
      <c r="AR172" t="s">
        <v>143</v>
      </c>
      <c r="AS172" s="4" t="str">
        <f t="shared" si="76"/>
        <v>Depósitos Estampilla Procultura Estimulos 10%</v>
      </c>
      <c r="AT172" t="str">
        <f t="shared" si="77"/>
        <v>41Depósitos Estampilla Procultura Estimulos 10%2792188,18</v>
      </c>
      <c r="AU172" t="str">
        <f>+_xlfn.XLOOKUP(AT172,CRUCE!J:J,CRUCE!M:M)</f>
        <v>READY</v>
      </c>
      <c r="AV172" t="s">
        <v>1907</v>
      </c>
      <c r="AW172" s="23">
        <f>+SUMIFS(CRUCE!D:D,CRUCE!A:A,'2022'!D172,CRUCE!B:B,'2022'!AS172)/COUNTIFS(D:D,D172,AS:AS,AS172)</f>
        <v>2792188.18</v>
      </c>
      <c r="AX172" s="23">
        <f t="shared" si="78"/>
        <v>2792188.18</v>
      </c>
      <c r="AY172" s="23">
        <f t="shared" si="79"/>
        <v>0</v>
      </c>
    </row>
    <row r="173" spans="1:51" x14ac:dyDescent="0.3">
      <c r="A173">
        <v>2022</v>
      </c>
      <c r="B173">
        <v>307</v>
      </c>
      <c r="C173">
        <v>120502009</v>
      </c>
      <c r="D173" s="5">
        <v>6</v>
      </c>
      <c r="E173" s="8" t="s">
        <v>1134</v>
      </c>
      <c r="F173">
        <v>120502009</v>
      </c>
      <c r="G173" s="8" t="s">
        <v>1135</v>
      </c>
      <c r="H173" t="s">
        <v>47</v>
      </c>
      <c r="I173" s="11">
        <v>1400016</v>
      </c>
      <c r="J173" s="11">
        <v>1400016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1400016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57150560.700000003</v>
      </c>
      <c r="X173" s="11">
        <v>0</v>
      </c>
      <c r="Y173" s="17">
        <v>57150560.700000003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57150560.700000003</v>
      </c>
      <c r="AG173" s="11">
        <v>0</v>
      </c>
      <c r="AH173" s="12">
        <v>57150560.700000003</v>
      </c>
      <c r="AI173" s="11">
        <v>57150560.700000003</v>
      </c>
      <c r="AJ173" s="11">
        <v>0</v>
      </c>
      <c r="AK173" s="11">
        <v>0</v>
      </c>
      <c r="AL173" s="11">
        <v>57150560.700000003</v>
      </c>
      <c r="AM173" s="11">
        <v>57150560.700000003</v>
      </c>
      <c r="AN173" s="11">
        <v>0</v>
      </c>
      <c r="AO173" s="11">
        <v>57150560.700000003</v>
      </c>
      <c r="AP173" s="11">
        <v>0</v>
      </c>
      <c r="AQ173" s="11">
        <v>0</v>
      </c>
      <c r="AR173" t="s">
        <v>120</v>
      </c>
      <c r="AS173" s="4" t="str">
        <f t="shared" si="76"/>
        <v>Depósitos Estampilla Proadulto Mayor Inversion 80%</v>
      </c>
      <c r="AT173" t="str">
        <f t="shared" si="77"/>
        <v>6Depósitos Estampilla Proadulto Mayor Inversion 80%57150560,7</v>
      </c>
      <c r="AU173" t="str">
        <f>+_xlfn.XLOOKUP(AT173,CRUCE!J:J,CRUCE!M:M)</f>
        <v>READY</v>
      </c>
      <c r="AV173" t="s">
        <v>1907</v>
      </c>
      <c r="AW173" s="23">
        <f>+SUMIFS(CRUCE!D:D,CRUCE!A:A,'2022'!D173,CRUCE!B:B,'2022'!AS173)/COUNTIFS(D:D,D173,AS:AS,AS173)</f>
        <v>57150560.700000003</v>
      </c>
      <c r="AX173" s="23">
        <f t="shared" si="78"/>
        <v>57150560.700000003</v>
      </c>
      <c r="AY173" s="23">
        <f t="shared" si="79"/>
        <v>0</v>
      </c>
    </row>
    <row r="174" spans="1:51" x14ac:dyDescent="0.3">
      <c r="A174">
        <v>2022</v>
      </c>
      <c r="B174">
        <v>307</v>
      </c>
      <c r="C174">
        <v>120502010</v>
      </c>
      <c r="D174" s="5">
        <v>178</v>
      </c>
      <c r="E174" s="8" t="s">
        <v>1136</v>
      </c>
      <c r="F174">
        <v>120502010</v>
      </c>
      <c r="G174" s="8" t="s">
        <v>1137</v>
      </c>
      <c r="H174" t="s">
        <v>47</v>
      </c>
      <c r="I174" s="11">
        <v>325004</v>
      </c>
      <c r="J174" s="11">
        <v>325004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325004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14287640.15</v>
      </c>
      <c r="X174" s="11">
        <v>0</v>
      </c>
      <c r="Y174" s="17">
        <v>14287640.15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14287640.15</v>
      </c>
      <c r="AG174" s="11">
        <v>0</v>
      </c>
      <c r="AH174" s="12">
        <v>14287640.15</v>
      </c>
      <c r="AI174" s="11">
        <v>14287640.15</v>
      </c>
      <c r="AJ174" s="11">
        <v>0</v>
      </c>
      <c r="AK174" s="11">
        <v>0</v>
      </c>
      <c r="AL174" s="11">
        <v>14287640.15</v>
      </c>
      <c r="AM174" s="11">
        <v>14287640.15</v>
      </c>
      <c r="AN174" s="11">
        <v>0</v>
      </c>
      <c r="AO174" s="11">
        <v>14287640.15</v>
      </c>
      <c r="AP174" s="11">
        <v>0</v>
      </c>
      <c r="AQ174" s="11">
        <v>0</v>
      </c>
      <c r="AR174" t="s">
        <v>122</v>
      </c>
      <c r="AS174" s="4" t="str">
        <f t="shared" si="76"/>
        <v>Depósitos Estampilla Proadulto Pensiones 20%</v>
      </c>
      <c r="AT174" t="str">
        <f t="shared" si="77"/>
        <v>178Depósitos Estampilla Proadulto Pensiones 20%14287640,15</v>
      </c>
      <c r="AU174" t="str">
        <f>+_xlfn.XLOOKUP(AT174,CRUCE!J:J,CRUCE!M:M)</f>
        <v>READY</v>
      </c>
      <c r="AV174" t="s">
        <v>1907</v>
      </c>
      <c r="AW174" s="23">
        <f>+SUMIFS(CRUCE!D:D,CRUCE!A:A,'2022'!D174,CRUCE!B:B,'2022'!AS174)/COUNTIFS(D:D,D174,AS:AS,AS174)</f>
        <v>14287640.15</v>
      </c>
      <c r="AX174" s="23">
        <f t="shared" si="78"/>
        <v>14287640.15</v>
      </c>
      <c r="AY174" s="23">
        <f t="shared" si="79"/>
        <v>0</v>
      </c>
    </row>
    <row r="175" spans="1:51" x14ac:dyDescent="0.3">
      <c r="A175">
        <v>2022</v>
      </c>
      <c r="B175">
        <v>307</v>
      </c>
      <c r="C175">
        <v>120502011</v>
      </c>
      <c r="D175" s="5">
        <v>135</v>
      </c>
      <c r="E175" s="8" t="s">
        <v>1138</v>
      </c>
      <c r="F175">
        <v>120502011</v>
      </c>
      <c r="G175" s="8" t="s">
        <v>1139</v>
      </c>
      <c r="H175" t="s">
        <v>47</v>
      </c>
      <c r="I175" s="11">
        <v>39724450</v>
      </c>
      <c r="J175" s="11">
        <v>39724450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39724450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41693619.909999996</v>
      </c>
      <c r="X175" s="11">
        <v>0</v>
      </c>
      <c r="Y175" s="17">
        <v>41693619.909999996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41693619.909999996</v>
      </c>
      <c r="AG175" s="11">
        <v>0</v>
      </c>
      <c r="AH175" s="12">
        <v>41693619.909999996</v>
      </c>
      <c r="AI175" s="11">
        <v>41693619.909999996</v>
      </c>
      <c r="AJ175" s="11">
        <v>0</v>
      </c>
      <c r="AK175" s="11">
        <v>0</v>
      </c>
      <c r="AL175" s="11">
        <v>41693619.909999996</v>
      </c>
      <c r="AM175" s="11">
        <v>41693619.909999996</v>
      </c>
      <c r="AN175" s="11">
        <v>0</v>
      </c>
      <c r="AO175" s="11">
        <v>41693619.909999996</v>
      </c>
      <c r="AP175" s="11">
        <v>0</v>
      </c>
      <c r="AQ175" s="11">
        <v>0</v>
      </c>
      <c r="AR175" t="s">
        <v>1140</v>
      </c>
      <c r="AS175" s="4" t="str">
        <f t="shared" si="76"/>
        <v>Depósitos Desahorro FONPET Pensionales</v>
      </c>
      <c r="AT175" t="str">
        <f t="shared" si="77"/>
        <v>135Depósitos Desahorro FONPET Pensionales41693619,91</v>
      </c>
      <c r="AU175" t="str">
        <f>+_xlfn.XLOOKUP(AT175,CRUCE!J:J,CRUCE!M:M)</f>
        <v>READY</v>
      </c>
      <c r="AV175" t="s">
        <v>1907</v>
      </c>
      <c r="AW175" s="23">
        <f>+SUMIFS(CRUCE!D:D,CRUCE!A:A,'2022'!D175,CRUCE!B:B,'2022'!AS175)/COUNTIFS(D:D,D175,AS:AS,AS175)</f>
        <v>41693619.909999996</v>
      </c>
      <c r="AX175" s="23">
        <f t="shared" si="78"/>
        <v>41693619.909999996</v>
      </c>
      <c r="AY175" s="23">
        <f t="shared" si="79"/>
        <v>0</v>
      </c>
    </row>
    <row r="176" spans="1:51" x14ac:dyDescent="0.3">
      <c r="A176">
        <v>2022</v>
      </c>
      <c r="B176">
        <v>307</v>
      </c>
      <c r="C176">
        <v>120502012</v>
      </c>
      <c r="D176" s="5">
        <v>42</v>
      </c>
      <c r="E176" s="8" t="s">
        <v>1141</v>
      </c>
      <c r="F176">
        <v>120502012</v>
      </c>
      <c r="G176" s="8" t="s">
        <v>1142</v>
      </c>
      <c r="H176" t="s">
        <v>47</v>
      </c>
      <c r="I176" s="11">
        <v>2314305</v>
      </c>
      <c r="J176" s="11">
        <v>2314305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2314305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115442163.69</v>
      </c>
      <c r="X176" s="11">
        <v>0</v>
      </c>
      <c r="Y176" s="17">
        <v>115442163.69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115442163.69</v>
      </c>
      <c r="AG176" s="11">
        <v>0</v>
      </c>
      <c r="AH176" s="12">
        <v>115442163.69</v>
      </c>
      <c r="AI176" s="11">
        <v>115442163.69</v>
      </c>
      <c r="AJ176" s="11">
        <v>0</v>
      </c>
      <c r="AK176" s="11">
        <v>0</v>
      </c>
      <c r="AL176" s="11">
        <v>115442163.69</v>
      </c>
      <c r="AM176" s="11">
        <v>115442163.69</v>
      </c>
      <c r="AN176" s="11">
        <v>0</v>
      </c>
      <c r="AO176" s="11">
        <v>115442163.69</v>
      </c>
      <c r="AP176" s="11">
        <v>0</v>
      </c>
      <c r="AQ176" s="11">
        <v>0</v>
      </c>
      <c r="AR176" t="s">
        <v>115</v>
      </c>
      <c r="AS176" s="4" t="str">
        <f t="shared" si="76"/>
        <v>Depósitos Fondo de Seguridad Ciudadana</v>
      </c>
      <c r="AT176" t="str">
        <f t="shared" si="77"/>
        <v>42Depósitos Fondo de Seguridad Ciudadana115442163,69</v>
      </c>
      <c r="AU176" t="str">
        <f>+_xlfn.XLOOKUP(AT176,CRUCE!J:J,CRUCE!M:M)</f>
        <v>READY</v>
      </c>
      <c r="AV176" t="s">
        <v>1907</v>
      </c>
      <c r="AW176" s="23">
        <f>+SUMIFS(CRUCE!D:D,CRUCE!A:A,'2022'!D176,CRUCE!B:B,'2022'!AS176)/COUNTIFS(D:D,D176,AS:AS,AS176)</f>
        <v>115442163.69</v>
      </c>
      <c r="AX176" s="23">
        <f t="shared" si="78"/>
        <v>115442163.69</v>
      </c>
      <c r="AY176" s="23">
        <f t="shared" si="79"/>
        <v>0</v>
      </c>
    </row>
    <row r="177" spans="1:51" x14ac:dyDescent="0.3">
      <c r="A177">
        <v>2022</v>
      </c>
      <c r="B177">
        <v>307</v>
      </c>
      <c r="C177">
        <v>120502013</v>
      </c>
      <c r="D177" s="5">
        <v>27</v>
      </c>
      <c r="E177" s="8" t="s">
        <v>1143</v>
      </c>
      <c r="F177">
        <v>120502013</v>
      </c>
      <c r="G177" s="8" t="s">
        <v>1144</v>
      </c>
      <c r="H177" t="s">
        <v>47</v>
      </c>
      <c r="I177" s="11">
        <v>311522</v>
      </c>
      <c r="J177" s="11">
        <v>311522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311522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18387856.039999999</v>
      </c>
      <c r="X177" s="11">
        <v>0</v>
      </c>
      <c r="Y177" s="17">
        <v>18387856.039999999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18387856.039999999</v>
      </c>
      <c r="AG177" s="11">
        <v>0</v>
      </c>
      <c r="AH177" s="12">
        <v>18387856.039999999</v>
      </c>
      <c r="AI177" s="11">
        <v>18387856.039999999</v>
      </c>
      <c r="AJ177" s="11">
        <v>0</v>
      </c>
      <c r="AK177" s="11">
        <v>0</v>
      </c>
      <c r="AL177" s="11">
        <v>18387856.039999999</v>
      </c>
      <c r="AM177" s="11">
        <v>18387856.039999999</v>
      </c>
      <c r="AN177" s="11">
        <v>0</v>
      </c>
      <c r="AO177" s="11">
        <v>18387856.039999999</v>
      </c>
      <c r="AP177" s="11">
        <v>0</v>
      </c>
      <c r="AQ177" s="11">
        <v>0</v>
      </c>
      <c r="AR177" t="s">
        <v>247</v>
      </c>
      <c r="AS177" s="4" t="str">
        <f t="shared" si="76"/>
        <v>Depósitos SGP Agua Potable</v>
      </c>
      <c r="AT177" t="str">
        <f t="shared" si="77"/>
        <v>27Depósitos SGP Agua Potable18387856,04</v>
      </c>
      <c r="AU177" t="str">
        <f>+_xlfn.XLOOKUP(AT177,CRUCE!J:J,CRUCE!M:M)</f>
        <v>READY</v>
      </c>
      <c r="AV177" t="s">
        <v>1907</v>
      </c>
      <c r="AW177" s="23">
        <f>+SUMIFS(CRUCE!D:D,CRUCE!A:A,'2022'!D177,CRUCE!B:B,'2022'!AS177)/COUNTIFS(D:D,D177,AS:AS,AS177)</f>
        <v>18387856.039999999</v>
      </c>
      <c r="AX177" s="23">
        <f t="shared" si="78"/>
        <v>18387856.039999999</v>
      </c>
      <c r="AY177" s="23">
        <f t="shared" si="79"/>
        <v>0</v>
      </c>
    </row>
    <row r="178" spans="1:51" x14ac:dyDescent="0.3">
      <c r="A178">
        <v>2022</v>
      </c>
      <c r="B178">
        <v>307</v>
      </c>
      <c r="C178">
        <v>120502014</v>
      </c>
      <c r="D178" s="5">
        <v>20</v>
      </c>
      <c r="E178" s="8" t="s">
        <v>1145</v>
      </c>
      <c r="F178">
        <v>120502014</v>
      </c>
      <c r="G178" s="8" t="s">
        <v>1146</v>
      </c>
      <c r="H178" t="s">
        <v>47</v>
      </c>
      <c r="I178" s="11">
        <v>412620217</v>
      </c>
      <c r="J178" s="11">
        <v>412620217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412620217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651522221.07000005</v>
      </c>
      <c r="X178" s="11">
        <v>68195568.840000004</v>
      </c>
      <c r="Y178" s="17">
        <v>583326652.23000002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651522221.07000005</v>
      </c>
      <c r="AG178" s="11">
        <v>68195568.840000004</v>
      </c>
      <c r="AH178" s="12">
        <v>583326652.23000002</v>
      </c>
      <c r="AI178" s="11">
        <v>583326652.23000002</v>
      </c>
      <c r="AJ178" s="11">
        <v>0</v>
      </c>
      <c r="AK178" s="11">
        <v>0</v>
      </c>
      <c r="AL178" s="11">
        <v>583326652.23000002</v>
      </c>
      <c r="AM178" s="11">
        <v>651522221.07000005</v>
      </c>
      <c r="AN178" s="11">
        <v>68195568.840000004</v>
      </c>
      <c r="AO178" s="11">
        <v>651522221.07000005</v>
      </c>
      <c r="AP178" s="11">
        <v>0</v>
      </c>
      <c r="AQ178" s="11">
        <v>68195568.840000004</v>
      </c>
      <c r="AR178" t="s">
        <v>57</v>
      </c>
      <c r="AS178" s="4" t="str">
        <f t="shared" si="76"/>
        <v>Depósitos Recursos Ordinario</v>
      </c>
      <c r="AT178" t="str">
        <f t="shared" si="77"/>
        <v>20Depósitos Recursos Ordinario583326652,23</v>
      </c>
      <c r="AU178" t="str">
        <f>+_xlfn.XLOOKUP(AT178,CRUCE!J:J,CRUCE!M:M)</f>
        <v>READY</v>
      </c>
      <c r="AV178" t="s">
        <v>1907</v>
      </c>
      <c r="AW178" s="23">
        <f>+SUMIFS(CRUCE!D:D,CRUCE!A:A,'2022'!D178,CRUCE!B:B,'2022'!AS178)/COUNTIFS(D:D,D178,AS:AS,AS178)</f>
        <v>583326652.23000002</v>
      </c>
      <c r="AX178" s="23">
        <f t="shared" si="78"/>
        <v>583326652.23000002</v>
      </c>
      <c r="AY178" s="23">
        <f t="shared" si="79"/>
        <v>0</v>
      </c>
    </row>
    <row r="179" spans="1:51" x14ac:dyDescent="0.3">
      <c r="A179">
        <v>2022</v>
      </c>
      <c r="B179">
        <v>307</v>
      </c>
      <c r="C179">
        <v>120502019</v>
      </c>
      <c r="D179" s="5">
        <v>177</v>
      </c>
      <c r="E179" s="8" t="s">
        <v>1147</v>
      </c>
      <c r="F179">
        <v>120502019</v>
      </c>
      <c r="G179" s="8" t="s">
        <v>1148</v>
      </c>
      <c r="H179" t="s">
        <v>47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41881891.670000002</v>
      </c>
      <c r="X179" s="11">
        <v>0</v>
      </c>
      <c r="Y179" s="17">
        <v>41881891.670000002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41881891.670000002</v>
      </c>
      <c r="AG179" s="11">
        <v>0</v>
      </c>
      <c r="AH179" s="12">
        <v>41881891.670000002</v>
      </c>
      <c r="AI179" s="11">
        <v>41881891.670000002</v>
      </c>
      <c r="AJ179" s="11">
        <v>0</v>
      </c>
      <c r="AK179" s="11">
        <v>0</v>
      </c>
      <c r="AL179" s="11">
        <v>41881891.670000002</v>
      </c>
      <c r="AM179" s="11">
        <v>41881891.670000002</v>
      </c>
      <c r="AN179" s="11">
        <v>0</v>
      </c>
      <c r="AO179" s="11">
        <v>41881891.670000002</v>
      </c>
      <c r="AP179" s="11">
        <v>0</v>
      </c>
      <c r="AQ179" s="11">
        <v>0</v>
      </c>
      <c r="AR179" t="s">
        <v>129</v>
      </c>
      <c r="AS179" s="4" t="str">
        <f t="shared" si="76"/>
        <v>Depósitos Estampillas Pro-Desarrollo 30%</v>
      </c>
      <c r="AT179" t="str">
        <f t="shared" si="77"/>
        <v>177Depósitos Estampillas Pro-Desarrollo 30%41881891,67</v>
      </c>
      <c r="AU179" t="str">
        <f>+_xlfn.XLOOKUP(AT179,CRUCE!J:J,CRUCE!M:M)</f>
        <v>READY</v>
      </c>
      <c r="AV179" t="s">
        <v>1907</v>
      </c>
      <c r="AW179" s="23">
        <f>+SUMIFS(CRUCE!D:D,CRUCE!A:A,'2022'!D179,CRUCE!B:B,'2022'!AS179)/COUNTIFS(D:D,D179,AS:AS,AS179)</f>
        <v>41881891.670000002</v>
      </c>
      <c r="AX179" s="23">
        <f t="shared" si="78"/>
        <v>41881891.670000002</v>
      </c>
      <c r="AY179" s="23">
        <f t="shared" si="79"/>
        <v>0</v>
      </c>
    </row>
    <row r="180" spans="1:51" x14ac:dyDescent="0.3">
      <c r="A180">
        <v>2022</v>
      </c>
      <c r="B180">
        <v>307</v>
      </c>
      <c r="C180">
        <v>120502020</v>
      </c>
      <c r="D180" s="5">
        <v>23</v>
      </c>
      <c r="E180" s="8" t="s">
        <v>1149</v>
      </c>
      <c r="F180">
        <v>120502020</v>
      </c>
      <c r="G180" s="8" t="s">
        <v>1150</v>
      </c>
      <c r="H180" t="s">
        <v>47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2370689.27</v>
      </c>
      <c r="X180" s="11">
        <v>0</v>
      </c>
      <c r="Y180" s="17">
        <v>2370689.27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2370689.27</v>
      </c>
      <c r="AG180" s="11">
        <v>0</v>
      </c>
      <c r="AH180" s="12">
        <v>2370689.27</v>
      </c>
      <c r="AI180" s="11">
        <v>2370689.27</v>
      </c>
      <c r="AJ180" s="11">
        <v>0</v>
      </c>
      <c r="AK180" s="11">
        <v>0</v>
      </c>
      <c r="AL180" s="11">
        <v>2370689.27</v>
      </c>
      <c r="AM180" s="11">
        <v>2370689.27</v>
      </c>
      <c r="AN180" s="11">
        <v>0</v>
      </c>
      <c r="AO180" s="11">
        <v>2370689.27</v>
      </c>
      <c r="AP180" s="11">
        <v>0</v>
      </c>
      <c r="AQ180" s="11">
        <v>0</v>
      </c>
      <c r="AR180" t="s">
        <v>1076</v>
      </c>
      <c r="AS180" s="4" t="str">
        <f t="shared" si="76"/>
        <v>Depósitos Sobretasa al ACPM</v>
      </c>
      <c r="AT180" t="str">
        <f t="shared" si="77"/>
        <v>23Depósitos Sobretasa al ACPM2370689,27</v>
      </c>
      <c r="AU180" t="str">
        <f>+_xlfn.XLOOKUP(AT180,CRUCE!J:J,CRUCE!M:M)</f>
        <v>READY</v>
      </c>
      <c r="AV180" t="s">
        <v>1907</v>
      </c>
      <c r="AW180" s="23">
        <f>+SUMIFS(CRUCE!D:D,CRUCE!A:A,'2022'!D180,CRUCE!B:B,'2022'!AS180)/COUNTIFS(D:D,D180,AS:AS,AS180)</f>
        <v>2370689.27</v>
      </c>
      <c r="AX180" s="23">
        <f t="shared" si="78"/>
        <v>2370689.27</v>
      </c>
      <c r="AY180" s="23">
        <f t="shared" si="79"/>
        <v>0</v>
      </c>
    </row>
    <row r="181" spans="1:51" x14ac:dyDescent="0.3">
      <c r="A181">
        <v>2022</v>
      </c>
      <c r="B181">
        <v>307</v>
      </c>
      <c r="C181">
        <v>120502021</v>
      </c>
      <c r="D181" s="5">
        <v>134</v>
      </c>
      <c r="E181" s="8" t="s">
        <v>1151</v>
      </c>
      <c r="F181">
        <v>120502021</v>
      </c>
      <c r="G181" s="8" t="s">
        <v>1152</v>
      </c>
      <c r="H181" t="s">
        <v>47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226.32</v>
      </c>
      <c r="X181" s="11">
        <v>0</v>
      </c>
      <c r="Y181" s="17">
        <v>226.32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226.32</v>
      </c>
      <c r="AG181" s="11">
        <v>0</v>
      </c>
      <c r="AH181" s="12">
        <v>226.32</v>
      </c>
      <c r="AI181" s="11">
        <v>226.32</v>
      </c>
      <c r="AJ181" s="11">
        <v>0</v>
      </c>
      <c r="AK181" s="11">
        <v>0</v>
      </c>
      <c r="AL181" s="11">
        <v>226.32</v>
      </c>
      <c r="AM181" s="11">
        <v>226.32</v>
      </c>
      <c r="AN181" s="11">
        <v>0</v>
      </c>
      <c r="AO181" s="11">
        <v>226.32</v>
      </c>
      <c r="AP181" s="11">
        <v>0</v>
      </c>
      <c r="AQ181" s="11">
        <v>0</v>
      </c>
      <c r="AR181" t="s">
        <v>265</v>
      </c>
      <c r="AS181" s="4" t="str">
        <f t="shared" si="76"/>
        <v>Depósitos Material de Río</v>
      </c>
      <c r="AT181" t="str">
        <f t="shared" si="77"/>
        <v>134Depósitos Material de Río226,32</v>
      </c>
      <c r="AU181" t="str">
        <f>+_xlfn.XLOOKUP(AT181,CRUCE!J:J,CRUCE!M:M)</f>
        <v>READY</v>
      </c>
      <c r="AV181" t="s">
        <v>1907</v>
      </c>
      <c r="AW181" s="23">
        <f>+SUMIFS(CRUCE!D:D,CRUCE!A:A,'2022'!D181,CRUCE!B:B,'2022'!AS181)/COUNTIFS(D:D,D181,AS:AS,AS181)</f>
        <v>226.32</v>
      </c>
      <c r="AX181" s="23">
        <f t="shared" si="78"/>
        <v>226.32</v>
      </c>
      <c r="AY181" s="23">
        <f t="shared" si="79"/>
        <v>0</v>
      </c>
    </row>
    <row r="182" spans="1:51" x14ac:dyDescent="0.3">
      <c r="A182">
        <v>2022</v>
      </c>
      <c r="B182">
        <v>307</v>
      </c>
      <c r="C182">
        <v>120502022</v>
      </c>
      <c r="D182" s="5">
        <v>179</v>
      </c>
      <c r="E182" s="8" t="s">
        <v>1153</v>
      </c>
      <c r="F182">
        <v>120502022</v>
      </c>
      <c r="G182" s="8" t="s">
        <v>1154</v>
      </c>
      <c r="H182" t="s">
        <v>47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170623.11</v>
      </c>
      <c r="X182" s="11">
        <v>0</v>
      </c>
      <c r="Y182" s="17">
        <v>170623.11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170623.11</v>
      </c>
      <c r="AG182" s="11">
        <v>0</v>
      </c>
      <c r="AH182" s="12">
        <v>170623.11</v>
      </c>
      <c r="AI182" s="11">
        <v>170623.11</v>
      </c>
      <c r="AJ182" s="11">
        <v>0</v>
      </c>
      <c r="AK182" s="11">
        <v>0</v>
      </c>
      <c r="AL182" s="11">
        <v>170623.11</v>
      </c>
      <c r="AM182" s="11">
        <v>170623.11</v>
      </c>
      <c r="AN182" s="11">
        <v>0</v>
      </c>
      <c r="AO182" s="11">
        <v>170623.11</v>
      </c>
      <c r="AP182" s="11">
        <v>0</v>
      </c>
      <c r="AQ182" s="11">
        <v>0</v>
      </c>
      <c r="AR182" t="s">
        <v>357</v>
      </c>
      <c r="AS182" s="4" t="str">
        <f t="shared" si="76"/>
        <v>Depósitos Derechos del Monopolio e Impuesto al Consumo Deporte</v>
      </c>
      <c r="AT182" t="str">
        <f t="shared" si="77"/>
        <v>179Depósitos Derechos del Monopolio e Impuesto al Consumo Deporte170623,11</v>
      </c>
      <c r="AU182" t="str">
        <f>+_xlfn.XLOOKUP(AT182,CRUCE!J:J,CRUCE!M:M)</f>
        <v>READY</v>
      </c>
      <c r="AV182" t="s">
        <v>1907</v>
      </c>
      <c r="AW182" s="23">
        <f>+SUMIFS(CRUCE!D:D,CRUCE!A:A,'2022'!D182,CRUCE!B:B,'2022'!AS182)/COUNTIFS(D:D,D182,AS:AS,AS182)</f>
        <v>170623.11</v>
      </c>
      <c r="AX182" s="23">
        <f t="shared" si="78"/>
        <v>170623.11</v>
      </c>
      <c r="AY182" s="23">
        <f t="shared" si="79"/>
        <v>0</v>
      </c>
    </row>
    <row r="183" spans="1:51" x14ac:dyDescent="0.3">
      <c r="A183">
        <v>2022</v>
      </c>
      <c r="B183">
        <v>307</v>
      </c>
      <c r="C183">
        <v>120502025</v>
      </c>
      <c r="D183" s="5">
        <v>145</v>
      </c>
      <c r="E183" s="8" t="s">
        <v>1155</v>
      </c>
      <c r="F183">
        <v>120502025</v>
      </c>
      <c r="G183" s="8" t="s">
        <v>1156</v>
      </c>
      <c r="H183" t="s">
        <v>47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581276.37</v>
      </c>
      <c r="X183" s="11">
        <v>0</v>
      </c>
      <c r="Y183" s="17">
        <v>581276.37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581276.37</v>
      </c>
      <c r="AG183" s="11">
        <v>0</v>
      </c>
      <c r="AH183" s="12">
        <v>581276.37</v>
      </c>
      <c r="AI183" s="11">
        <v>581276.37</v>
      </c>
      <c r="AJ183" s="11">
        <v>0</v>
      </c>
      <c r="AK183" s="11">
        <v>0</v>
      </c>
      <c r="AL183" s="11">
        <v>581276.37</v>
      </c>
      <c r="AM183" s="11">
        <v>581276.37</v>
      </c>
      <c r="AN183" s="11">
        <v>0</v>
      </c>
      <c r="AO183" s="11">
        <v>581276.37</v>
      </c>
      <c r="AP183" s="11">
        <v>0</v>
      </c>
      <c r="AQ183" s="11">
        <v>0</v>
      </c>
      <c r="AR183" t="s">
        <v>84</v>
      </c>
      <c r="AS183" s="4" t="str">
        <f t="shared" si="76"/>
        <v>Depósitos Impuesto al Consumo 3% Deporte</v>
      </c>
      <c r="AT183" t="str">
        <f t="shared" si="77"/>
        <v>145Depósitos Impuesto al Consumo 3% Deporte581276,37</v>
      </c>
      <c r="AU183" t="str">
        <f>+_xlfn.XLOOKUP(AT183,CRUCE!J:J,CRUCE!M:M)</f>
        <v>READY</v>
      </c>
      <c r="AV183" t="s">
        <v>1907</v>
      </c>
      <c r="AW183" s="23">
        <f>+SUMIFS(CRUCE!D:D,CRUCE!A:A,'2022'!D183,CRUCE!B:B,'2022'!AS183)/COUNTIFS(D:D,D183,AS:AS,AS183)</f>
        <v>581276.37</v>
      </c>
      <c r="AX183" s="23">
        <f t="shared" si="78"/>
        <v>581276.37</v>
      </c>
      <c r="AY183" s="23">
        <f t="shared" si="79"/>
        <v>0</v>
      </c>
    </row>
    <row r="184" spans="1:51" hidden="1" x14ac:dyDescent="0.3">
      <c r="A184">
        <v>2022</v>
      </c>
      <c r="B184">
        <v>307</v>
      </c>
      <c r="C184">
        <v>1207</v>
      </c>
      <c r="D184" s="5" t="s">
        <v>44</v>
      </c>
      <c r="E184" s="8" t="s">
        <v>1157</v>
      </c>
      <c r="F184">
        <v>1207</v>
      </c>
      <c r="G184" s="8" t="s">
        <v>1158</v>
      </c>
      <c r="H184" t="s">
        <v>47</v>
      </c>
      <c r="I184" s="11">
        <v>0</v>
      </c>
      <c r="J184" s="11">
        <v>0</v>
      </c>
      <c r="K184" s="11">
        <v>34750000000</v>
      </c>
      <c r="L184" s="11">
        <v>0</v>
      </c>
      <c r="M184" s="11">
        <v>34750000000</v>
      </c>
      <c r="N184" s="11">
        <v>34750000000</v>
      </c>
      <c r="O184" s="11">
        <v>0</v>
      </c>
      <c r="P184" s="11">
        <v>34750000000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7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2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t="s">
        <v>48</v>
      </c>
      <c r="AS184"/>
      <c r="AW184"/>
      <c r="AX184"/>
      <c r="AY184"/>
    </row>
    <row r="185" spans="1:51" hidden="1" x14ac:dyDescent="0.3">
      <c r="A185">
        <v>2022</v>
      </c>
      <c r="B185">
        <v>307</v>
      </c>
      <c r="C185">
        <v>120701</v>
      </c>
      <c r="D185" s="5" t="s">
        <v>44</v>
      </c>
      <c r="E185" s="8" t="s">
        <v>1159</v>
      </c>
      <c r="F185">
        <v>120701</v>
      </c>
      <c r="G185" s="8" t="s">
        <v>1160</v>
      </c>
      <c r="H185" t="s">
        <v>47</v>
      </c>
      <c r="I185" s="11">
        <v>0</v>
      </c>
      <c r="J185" s="11">
        <v>0</v>
      </c>
      <c r="K185" s="11">
        <v>34750000000</v>
      </c>
      <c r="L185" s="11">
        <v>0</v>
      </c>
      <c r="M185" s="11">
        <v>34750000000</v>
      </c>
      <c r="N185" s="11">
        <v>34750000000</v>
      </c>
      <c r="O185" s="11">
        <v>0</v>
      </c>
      <c r="P185" s="11">
        <v>34750000000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7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2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t="s">
        <v>48</v>
      </c>
      <c r="AS185"/>
      <c r="AW185"/>
      <c r="AX185"/>
      <c r="AY185"/>
    </row>
    <row r="186" spans="1:51" x14ac:dyDescent="0.3">
      <c r="A186">
        <v>2022</v>
      </c>
      <c r="B186">
        <v>307</v>
      </c>
      <c r="C186">
        <v>120701001</v>
      </c>
      <c r="D186" s="5">
        <v>46</v>
      </c>
      <c r="E186" s="8" t="s">
        <v>1161</v>
      </c>
      <c r="F186">
        <v>120701001</v>
      </c>
      <c r="G186" s="8" t="s">
        <v>1162</v>
      </c>
      <c r="H186" t="s">
        <v>47</v>
      </c>
      <c r="I186" s="11">
        <v>0</v>
      </c>
      <c r="J186" s="11">
        <v>0</v>
      </c>
      <c r="K186" s="11">
        <v>34750000000</v>
      </c>
      <c r="L186" s="11">
        <v>0</v>
      </c>
      <c r="M186" s="11">
        <v>34750000000</v>
      </c>
      <c r="N186" s="11">
        <v>34750000000</v>
      </c>
      <c r="O186" s="11">
        <v>0</v>
      </c>
      <c r="P186" s="11">
        <v>34750000000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7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2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t="s">
        <v>469</v>
      </c>
      <c r="AS186" s="4" t="str">
        <f>+G186</f>
        <v>Banca comercial</v>
      </c>
      <c r="AT186" t="str">
        <f>+D186&amp;AS186&amp;Y186</f>
        <v>46Banca comercial0</v>
      </c>
      <c r="AU186" t="str">
        <f>+_xlfn.XLOOKUP(AT186,CRUCE!J:J,CRUCE!M:M)</f>
        <v>READY</v>
      </c>
      <c r="AV186" t="s">
        <v>1907</v>
      </c>
      <c r="AW186" s="23">
        <f>+SUMIFS(CRUCE!D:D,CRUCE!A:A,'2022'!D186,CRUCE!B:B,'2022'!AS186)/COUNTIFS(D:D,D186,AS:AS,AS186)</f>
        <v>0</v>
      </c>
      <c r="AX186" s="23">
        <f>+SUMIFS(Y:Y,D:D,D186,AS:AS,AS186)/COUNTIFS(D:D,D186,AS:AS,AS186)</f>
        <v>0</v>
      </c>
      <c r="AY186" s="23">
        <f>+AW186-AX186</f>
        <v>0</v>
      </c>
    </row>
    <row r="187" spans="1:51" hidden="1" x14ac:dyDescent="0.3">
      <c r="A187">
        <v>2022</v>
      </c>
      <c r="B187">
        <v>307</v>
      </c>
      <c r="C187">
        <v>1210</v>
      </c>
      <c r="D187" s="5" t="s">
        <v>44</v>
      </c>
      <c r="E187" s="8" t="s">
        <v>473</v>
      </c>
      <c r="F187">
        <v>1210</v>
      </c>
      <c r="G187" s="8" t="s">
        <v>474</v>
      </c>
      <c r="H187" t="s">
        <v>47</v>
      </c>
      <c r="I187" s="11">
        <v>0</v>
      </c>
      <c r="J187" s="11">
        <v>0</v>
      </c>
      <c r="K187" s="11">
        <v>47949856786.720001</v>
      </c>
      <c r="L187" s="11">
        <v>39224850.409999996</v>
      </c>
      <c r="M187" s="11">
        <v>47910631936.309998</v>
      </c>
      <c r="N187" s="11">
        <v>47949856786.720001</v>
      </c>
      <c r="O187" s="11">
        <v>39224850.409999996</v>
      </c>
      <c r="P187" s="11">
        <v>47910631936.309998</v>
      </c>
      <c r="Q187" s="11">
        <v>0</v>
      </c>
      <c r="R187" s="11">
        <v>0</v>
      </c>
      <c r="S187" s="11">
        <v>0</v>
      </c>
      <c r="T187" s="11">
        <v>39224850.409999996</v>
      </c>
      <c r="U187" s="11">
        <v>0</v>
      </c>
      <c r="V187" s="11">
        <v>39224850.409999996</v>
      </c>
      <c r="W187" s="11">
        <v>47949856786.720001</v>
      </c>
      <c r="X187" s="11">
        <v>0</v>
      </c>
      <c r="Y187" s="17">
        <v>47949856786.720001</v>
      </c>
      <c r="Z187" s="11">
        <v>0</v>
      </c>
      <c r="AA187" s="11">
        <v>0</v>
      </c>
      <c r="AB187" s="11">
        <v>0</v>
      </c>
      <c r="AC187" s="11">
        <v>39224850.409999996</v>
      </c>
      <c r="AD187" s="11">
        <v>0</v>
      </c>
      <c r="AE187" s="11">
        <v>39224850.409999996</v>
      </c>
      <c r="AF187" s="11">
        <v>47949856786.720001</v>
      </c>
      <c r="AG187" s="11">
        <v>0</v>
      </c>
      <c r="AH187" s="12">
        <v>47949856786.720001</v>
      </c>
      <c r="AI187" s="11">
        <v>47989081637.129997</v>
      </c>
      <c r="AJ187" s="11">
        <v>47949856786.720001</v>
      </c>
      <c r="AK187" s="11">
        <v>47949856786.720001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t="s">
        <v>48</v>
      </c>
      <c r="AS187"/>
      <c r="AW187"/>
      <c r="AX187"/>
      <c r="AY187"/>
    </row>
    <row r="188" spans="1:51" hidden="1" x14ac:dyDescent="0.3">
      <c r="A188">
        <v>2022</v>
      </c>
      <c r="B188">
        <v>307</v>
      </c>
      <c r="C188">
        <v>121002</v>
      </c>
      <c r="D188" s="5" t="s">
        <v>44</v>
      </c>
      <c r="E188" s="8" t="s">
        <v>475</v>
      </c>
      <c r="F188">
        <v>121002</v>
      </c>
      <c r="G188" s="8" t="s">
        <v>476</v>
      </c>
      <c r="H188" t="s">
        <v>47</v>
      </c>
      <c r="I188" s="11">
        <v>0</v>
      </c>
      <c r="J188" s="11">
        <v>0</v>
      </c>
      <c r="K188" s="11">
        <v>47949856786.720001</v>
      </c>
      <c r="L188" s="11">
        <v>39224850.409999996</v>
      </c>
      <c r="M188" s="11">
        <v>47910631936.309998</v>
      </c>
      <c r="N188" s="11">
        <v>47949856786.720001</v>
      </c>
      <c r="O188" s="11">
        <v>39224850.409999996</v>
      </c>
      <c r="P188" s="11">
        <v>47910631936.309998</v>
      </c>
      <c r="Q188" s="11">
        <v>0</v>
      </c>
      <c r="R188" s="11">
        <v>0</v>
      </c>
      <c r="S188" s="11">
        <v>0</v>
      </c>
      <c r="T188" s="11">
        <v>39224850.409999996</v>
      </c>
      <c r="U188" s="11">
        <v>0</v>
      </c>
      <c r="V188" s="11">
        <v>39224850.409999996</v>
      </c>
      <c r="W188" s="11">
        <v>47949856786.720001</v>
      </c>
      <c r="X188" s="11">
        <v>0</v>
      </c>
      <c r="Y188" s="17">
        <v>47949856786.720001</v>
      </c>
      <c r="Z188" s="11">
        <v>0</v>
      </c>
      <c r="AA188" s="11">
        <v>0</v>
      </c>
      <c r="AB188" s="11">
        <v>0</v>
      </c>
      <c r="AC188" s="11">
        <v>39224850.409999996</v>
      </c>
      <c r="AD188" s="11">
        <v>0</v>
      </c>
      <c r="AE188" s="11">
        <v>39224850.409999996</v>
      </c>
      <c r="AF188" s="11">
        <v>47949856786.720001</v>
      </c>
      <c r="AG188" s="11">
        <v>0</v>
      </c>
      <c r="AH188" s="12">
        <v>47949856786.720001</v>
      </c>
      <c r="AI188" s="11">
        <v>47989081637.129997</v>
      </c>
      <c r="AJ188" s="11">
        <v>47949856786.720001</v>
      </c>
      <c r="AK188" s="11">
        <v>47949856786.720001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t="s">
        <v>48</v>
      </c>
      <c r="AS188"/>
      <c r="AW188"/>
      <c r="AX188"/>
      <c r="AY188"/>
    </row>
    <row r="189" spans="1:51" hidden="1" x14ac:dyDescent="0.3">
      <c r="A189">
        <v>2022</v>
      </c>
      <c r="B189">
        <v>307</v>
      </c>
      <c r="C189">
        <v>121002001</v>
      </c>
      <c r="D189" s="5" t="s">
        <v>44</v>
      </c>
      <c r="E189" s="8" t="s">
        <v>477</v>
      </c>
      <c r="F189">
        <v>121002001</v>
      </c>
      <c r="G189" s="8" t="s">
        <v>478</v>
      </c>
      <c r="H189" t="s">
        <v>47</v>
      </c>
      <c r="I189" s="11">
        <v>0</v>
      </c>
      <c r="J189" s="11">
        <v>0</v>
      </c>
      <c r="K189" s="11">
        <v>20546103372.259998</v>
      </c>
      <c r="L189" s="11">
        <v>39224850.409999996</v>
      </c>
      <c r="M189" s="11">
        <v>20506878521.849998</v>
      </c>
      <c r="N189" s="11">
        <v>20546103372.259998</v>
      </c>
      <c r="O189" s="11">
        <v>39224850.409999996</v>
      </c>
      <c r="P189" s="11">
        <v>20506878521.849998</v>
      </c>
      <c r="Q189" s="11">
        <v>0</v>
      </c>
      <c r="R189" s="11">
        <v>0</v>
      </c>
      <c r="S189" s="11">
        <v>0</v>
      </c>
      <c r="T189" s="11">
        <v>39224850.409999996</v>
      </c>
      <c r="U189" s="11">
        <v>0</v>
      </c>
      <c r="V189" s="11">
        <v>39224850.409999996</v>
      </c>
      <c r="W189" s="11">
        <v>20546103372.259998</v>
      </c>
      <c r="X189" s="11">
        <v>0</v>
      </c>
      <c r="Y189" s="17">
        <v>20546103372.259998</v>
      </c>
      <c r="Z189" s="11">
        <v>0</v>
      </c>
      <c r="AA189" s="11">
        <v>0</v>
      </c>
      <c r="AB189" s="11">
        <v>0</v>
      </c>
      <c r="AC189" s="11">
        <v>39224850.409999996</v>
      </c>
      <c r="AD189" s="11">
        <v>0</v>
      </c>
      <c r="AE189" s="11">
        <v>39224850.409999996</v>
      </c>
      <c r="AF189" s="11">
        <v>20546103372.259998</v>
      </c>
      <c r="AG189" s="11">
        <v>0</v>
      </c>
      <c r="AH189" s="12">
        <v>20546103372.259998</v>
      </c>
      <c r="AI189" s="11">
        <v>20585328222.669998</v>
      </c>
      <c r="AJ189" s="11">
        <v>20546103372.259998</v>
      </c>
      <c r="AK189" s="11">
        <v>20546103372.259998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t="s">
        <v>48</v>
      </c>
      <c r="AS189"/>
      <c r="AW189"/>
      <c r="AX189"/>
      <c r="AY189"/>
    </row>
    <row r="190" spans="1:51" x14ac:dyDescent="0.3">
      <c r="A190">
        <v>2022</v>
      </c>
      <c r="B190">
        <v>307</v>
      </c>
      <c r="C190">
        <v>12100200101</v>
      </c>
      <c r="D190" s="5">
        <v>88</v>
      </c>
      <c r="E190" s="8" t="s">
        <v>479</v>
      </c>
      <c r="F190">
        <v>12100200101</v>
      </c>
      <c r="G190" s="8" t="s">
        <v>480</v>
      </c>
      <c r="H190" t="s">
        <v>47</v>
      </c>
      <c r="I190" s="11">
        <v>0</v>
      </c>
      <c r="J190" s="11">
        <v>0</v>
      </c>
      <c r="K190" s="11">
        <v>20546103372.259998</v>
      </c>
      <c r="L190" s="11">
        <v>39224850.409999996</v>
      </c>
      <c r="M190" s="11">
        <v>20506878521.849998</v>
      </c>
      <c r="N190" s="11">
        <v>20546103372.259998</v>
      </c>
      <c r="O190" s="11">
        <v>39224850.409999996</v>
      </c>
      <c r="P190" s="11">
        <v>20506878521.849998</v>
      </c>
      <c r="Q190" s="11">
        <v>0</v>
      </c>
      <c r="R190" s="11">
        <v>0</v>
      </c>
      <c r="S190" s="11">
        <v>0</v>
      </c>
      <c r="T190" s="11">
        <v>39224850.409999996</v>
      </c>
      <c r="U190" s="11">
        <v>0</v>
      </c>
      <c r="V190" s="11">
        <v>39224850.409999996</v>
      </c>
      <c r="W190" s="11">
        <v>20546103372.259998</v>
      </c>
      <c r="X190" s="11">
        <v>0</v>
      </c>
      <c r="Y190" s="17">
        <v>20546103372.259998</v>
      </c>
      <c r="Z190" s="11">
        <v>0</v>
      </c>
      <c r="AA190" s="11">
        <v>0</v>
      </c>
      <c r="AB190" s="11">
        <v>0</v>
      </c>
      <c r="AC190" s="11">
        <v>39224850.409999996</v>
      </c>
      <c r="AD190" s="11">
        <v>0</v>
      </c>
      <c r="AE190" s="11">
        <v>39224850.409999996</v>
      </c>
      <c r="AF190" s="11">
        <v>20546103372.259998</v>
      </c>
      <c r="AG190" s="11">
        <v>0</v>
      </c>
      <c r="AH190" s="12">
        <v>20546103372.259998</v>
      </c>
      <c r="AI190" s="11">
        <v>20585328222.669998</v>
      </c>
      <c r="AJ190" s="11">
        <v>20546103372.259998</v>
      </c>
      <c r="AK190" s="11">
        <v>20546103372.259998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t="s">
        <v>471</v>
      </c>
      <c r="AS190" s="4" t="str">
        <f t="shared" ref="AS190:AS192" si="80">+G190</f>
        <v xml:space="preserve">Superávit Recurso Ordinario </v>
      </c>
      <c r="AT190" t="str">
        <f>+D190&amp;AS190&amp;Y190</f>
        <v>88Superávit Recurso Ordinario 20546103372,26</v>
      </c>
      <c r="AU190" t="e">
        <f>+_xlfn.XLOOKUP(AT190,CRUCE!J:J,CRUCE!M:M)</f>
        <v>#N/A</v>
      </c>
      <c r="AV190" t="s">
        <v>1907</v>
      </c>
      <c r="AW190" s="23">
        <f>+SUMIFS(CRUCE!D:D,CRUCE!A:A,'2022'!D190,CRUCE!B:B,'2022'!AS190)/COUNTIFS(D:D,D190,AS:AS,AS190)</f>
        <v>10392648884.855</v>
      </c>
      <c r="AX190" s="23">
        <f>+SUMIFS(Y:Y,D:D,D190,AS:AS,AS190)/COUNTIFS(D:D,D190,AS:AS,AS190)</f>
        <v>10392648884.855</v>
      </c>
      <c r="AY190" s="23">
        <f>+AW190-AX190</f>
        <v>0</v>
      </c>
    </row>
    <row r="191" spans="1:51" hidden="1" x14ac:dyDescent="0.3">
      <c r="A191">
        <v>2022</v>
      </c>
      <c r="B191">
        <v>307</v>
      </c>
      <c r="C191">
        <v>121002002</v>
      </c>
      <c r="D191" s="5" t="s">
        <v>44</v>
      </c>
      <c r="E191" s="8" t="s">
        <v>481</v>
      </c>
      <c r="F191">
        <v>121002002</v>
      </c>
      <c r="G191" s="8" t="s">
        <v>482</v>
      </c>
      <c r="H191" t="s">
        <v>47</v>
      </c>
      <c r="I191" s="11">
        <v>0</v>
      </c>
      <c r="J191" s="11">
        <v>0</v>
      </c>
      <c r="K191" s="11">
        <v>27403753414.459999</v>
      </c>
      <c r="L191" s="11">
        <v>0</v>
      </c>
      <c r="M191" s="11">
        <v>27403753414.459999</v>
      </c>
      <c r="N191" s="11">
        <v>27403753414.459999</v>
      </c>
      <c r="O191" s="11">
        <v>0</v>
      </c>
      <c r="P191" s="11">
        <v>27403753414.459999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27403753414.459999</v>
      </c>
      <c r="X191" s="11">
        <v>0</v>
      </c>
      <c r="Y191" s="17">
        <v>27403753414.459999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27403753414.459999</v>
      </c>
      <c r="AG191" s="11">
        <v>0</v>
      </c>
      <c r="AH191" s="12">
        <v>27403753414.459999</v>
      </c>
      <c r="AI191" s="11">
        <v>27403753414.459999</v>
      </c>
      <c r="AJ191" s="11">
        <v>27403753414.459999</v>
      </c>
      <c r="AK191" s="11">
        <v>27403753414.459999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t="s">
        <v>48</v>
      </c>
      <c r="AS191"/>
      <c r="AW191"/>
      <c r="AX191"/>
      <c r="AY191"/>
    </row>
    <row r="192" spans="1:51" x14ac:dyDescent="0.3">
      <c r="A192">
        <v>2022</v>
      </c>
      <c r="B192">
        <v>307</v>
      </c>
      <c r="C192">
        <v>12100200201</v>
      </c>
      <c r="D192" s="5">
        <v>82</v>
      </c>
      <c r="E192" s="8" t="s">
        <v>483</v>
      </c>
      <c r="F192">
        <v>12100200201</v>
      </c>
      <c r="G192" s="8" t="s">
        <v>484</v>
      </c>
      <c r="H192" t="s">
        <v>47</v>
      </c>
      <c r="I192" s="11">
        <v>0</v>
      </c>
      <c r="J192" s="11">
        <v>0</v>
      </c>
      <c r="K192" s="11">
        <v>6009696027.8800001</v>
      </c>
      <c r="L192" s="11">
        <v>0</v>
      </c>
      <c r="M192" s="11">
        <v>6009696027.8800001</v>
      </c>
      <c r="N192" s="11">
        <v>6009696027.8800001</v>
      </c>
      <c r="O192" s="11">
        <v>0</v>
      </c>
      <c r="P192" s="11">
        <v>6009696027.8800001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6009696027.8800001</v>
      </c>
      <c r="X192" s="11">
        <v>0</v>
      </c>
      <c r="Y192" s="17">
        <v>6009696027.8800001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6009696027.8800001</v>
      </c>
      <c r="AG192" s="11">
        <v>0</v>
      </c>
      <c r="AH192" s="12">
        <v>6009696027.8800001</v>
      </c>
      <c r="AI192" s="11">
        <v>6009696027.8800001</v>
      </c>
      <c r="AJ192" s="11">
        <v>6009696027.8800001</v>
      </c>
      <c r="AK192" s="11">
        <v>6009696027.8800001</v>
      </c>
      <c r="AL192" s="11">
        <v>0</v>
      </c>
      <c r="AM192" s="11">
        <v>0</v>
      </c>
      <c r="AN192" s="11">
        <v>0</v>
      </c>
      <c r="AO192" s="11">
        <v>0</v>
      </c>
      <c r="AP192" s="11">
        <v>0</v>
      </c>
      <c r="AQ192" s="11">
        <v>0</v>
      </c>
      <c r="AR192" t="s">
        <v>485</v>
      </c>
      <c r="AS192" s="4" t="str">
        <f t="shared" si="80"/>
        <v>Superávit Estampilla Pro-Desarrollo</v>
      </c>
      <c r="AT192" t="str">
        <f t="shared" ref="AT192:AT217" si="81">+D192&amp;AS192&amp;Y192</f>
        <v>82Superávit Estampilla Pro-Desarrollo6009696027,88</v>
      </c>
      <c r="AU192" t="e">
        <f>+_xlfn.XLOOKUP(AT192,CRUCE!J:J,CRUCE!M:M)</f>
        <v>#N/A</v>
      </c>
      <c r="AV192" t="s">
        <v>1907</v>
      </c>
      <c r="AW192" s="23">
        <f>+SUMIFS(CRUCE!D:D,CRUCE!A:A,'2022'!D192,CRUCE!B:B,'2022'!AS192)/COUNTIFS(D:D,D192,AS:AS,AS192)</f>
        <v>2055398880.8699999</v>
      </c>
      <c r="AX192" s="23">
        <f t="shared" ref="AX192:AX217" si="82">+SUMIFS(Y:Y,D:D,D192,AS:AS,AS192)/COUNTIFS(D:D,D192,AS:AS,AS192)</f>
        <v>2055398880.8699999</v>
      </c>
      <c r="AY192" s="23">
        <f t="shared" ref="AY192:AY217" si="83">+AW192-AX192</f>
        <v>0</v>
      </c>
    </row>
    <row r="193" spans="1:51" x14ac:dyDescent="0.3">
      <c r="A193">
        <v>2022</v>
      </c>
      <c r="B193">
        <v>307</v>
      </c>
      <c r="C193">
        <v>12100200202</v>
      </c>
      <c r="D193" s="5">
        <v>157</v>
      </c>
      <c r="E193" s="8" t="s">
        <v>1163</v>
      </c>
      <c r="F193">
        <v>12100200202</v>
      </c>
      <c r="G193" s="8" t="s">
        <v>1000</v>
      </c>
      <c r="H193" t="s">
        <v>47</v>
      </c>
      <c r="I193" s="11">
        <v>0</v>
      </c>
      <c r="J193" s="11">
        <v>0</v>
      </c>
      <c r="K193" s="11">
        <v>124913102.38</v>
      </c>
      <c r="L193" s="11">
        <v>0</v>
      </c>
      <c r="M193" s="11">
        <v>124913102.38</v>
      </c>
      <c r="N193" s="11">
        <v>124913102.38</v>
      </c>
      <c r="O193" s="11">
        <v>0</v>
      </c>
      <c r="P193" s="11">
        <v>124913102.38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124913102.38</v>
      </c>
      <c r="X193" s="11">
        <v>0</v>
      </c>
      <c r="Y193" s="17">
        <v>124913102.38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124913102.38</v>
      </c>
      <c r="AG193" s="11">
        <v>0</v>
      </c>
      <c r="AH193" s="12">
        <v>124913102.38</v>
      </c>
      <c r="AI193" s="11">
        <v>124913102.38</v>
      </c>
      <c r="AJ193" s="11">
        <v>124913102.38</v>
      </c>
      <c r="AK193" s="11">
        <v>124913102.38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t="s">
        <v>1001</v>
      </c>
      <c r="AS193" s="4" t="str">
        <f t="shared" ref="AS193:AS217" si="84">+G193</f>
        <v>Superávit Recursos del Crédito</v>
      </c>
      <c r="AT193" t="str">
        <f t="shared" si="81"/>
        <v>157Superávit Recursos del Crédito124913102,38</v>
      </c>
      <c r="AU193" t="str">
        <f>+_xlfn.XLOOKUP(AT193,CRUCE!J:J,CRUCE!M:M)</f>
        <v>READY</v>
      </c>
      <c r="AV193" t="s">
        <v>1907</v>
      </c>
      <c r="AW193" s="23">
        <f>+SUMIFS(CRUCE!D:D,CRUCE!A:A,'2022'!D193,CRUCE!B:B,'2022'!AS193)/COUNTIFS(D:D,D193,AS:AS,AS193)</f>
        <v>124913102.38</v>
      </c>
      <c r="AX193" s="23">
        <f t="shared" si="82"/>
        <v>124913102.38</v>
      </c>
      <c r="AY193" s="23">
        <f t="shared" si="83"/>
        <v>0</v>
      </c>
    </row>
    <row r="194" spans="1:51" x14ac:dyDescent="0.3">
      <c r="A194">
        <v>2022</v>
      </c>
      <c r="B194">
        <v>307</v>
      </c>
      <c r="C194">
        <v>12100200207</v>
      </c>
      <c r="D194" s="5">
        <v>91</v>
      </c>
      <c r="E194" s="8" t="s">
        <v>489</v>
      </c>
      <c r="F194">
        <v>12100200207</v>
      </c>
      <c r="G194" s="8" t="s">
        <v>490</v>
      </c>
      <c r="H194" t="s">
        <v>47</v>
      </c>
      <c r="I194" s="11">
        <v>0</v>
      </c>
      <c r="J194" s="11">
        <v>0</v>
      </c>
      <c r="K194" s="11">
        <v>359888430.18000001</v>
      </c>
      <c r="L194" s="11">
        <v>0</v>
      </c>
      <c r="M194" s="11">
        <v>359888430.18000001</v>
      </c>
      <c r="N194" s="11">
        <v>359888430.18000001</v>
      </c>
      <c r="O194" s="11">
        <v>0</v>
      </c>
      <c r="P194" s="11">
        <v>359888430.18000001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359888430.18000001</v>
      </c>
      <c r="X194" s="11">
        <v>0</v>
      </c>
      <c r="Y194" s="17">
        <v>359888430.18000001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359888430.18000001</v>
      </c>
      <c r="AG194" s="11">
        <v>0</v>
      </c>
      <c r="AH194" s="12">
        <v>359888430.18000001</v>
      </c>
      <c r="AI194" s="11">
        <v>359888430.18000001</v>
      </c>
      <c r="AJ194" s="11">
        <v>359888430.18000001</v>
      </c>
      <c r="AK194" s="11">
        <v>359888430.18000001</v>
      </c>
      <c r="AL194" s="11">
        <v>0</v>
      </c>
      <c r="AM194" s="11">
        <v>0</v>
      </c>
      <c r="AN194" s="11">
        <v>0</v>
      </c>
      <c r="AO194" s="11">
        <v>0</v>
      </c>
      <c r="AP194" s="11">
        <v>0</v>
      </c>
      <c r="AQ194" s="11">
        <v>0</v>
      </c>
      <c r="AR194" t="s">
        <v>491</v>
      </c>
      <c r="AS194" s="4" t="str">
        <f t="shared" si="84"/>
        <v xml:space="preserve">Superávit Recurso Destinado del Monopolio </v>
      </c>
      <c r="AT194" t="str">
        <f t="shared" si="81"/>
        <v>91Superávit Recurso Destinado del Monopolio 359888430,18</v>
      </c>
      <c r="AU194" t="str">
        <f>+_xlfn.XLOOKUP(AT194,CRUCE!J:J,CRUCE!M:M)</f>
        <v>READY</v>
      </c>
      <c r="AV194" t="s">
        <v>1907</v>
      </c>
      <c r="AW194" s="23">
        <f>+SUMIFS(CRUCE!D:D,CRUCE!A:A,'2022'!D194,CRUCE!B:B,'2022'!AS194)/COUNTIFS(D:D,D194,AS:AS,AS194)</f>
        <v>359888430.18000001</v>
      </c>
      <c r="AX194" s="23">
        <f t="shared" si="82"/>
        <v>359888430.18000001</v>
      </c>
      <c r="AY194" s="23">
        <f t="shared" si="83"/>
        <v>0</v>
      </c>
    </row>
    <row r="195" spans="1:51" x14ac:dyDescent="0.3">
      <c r="A195">
        <v>2022</v>
      </c>
      <c r="B195">
        <v>307</v>
      </c>
      <c r="C195">
        <v>12100200209</v>
      </c>
      <c r="D195" s="5">
        <v>92</v>
      </c>
      <c r="E195" s="8" t="s">
        <v>492</v>
      </c>
      <c r="F195">
        <v>12100200209</v>
      </c>
      <c r="G195" s="8" t="s">
        <v>493</v>
      </c>
      <c r="H195" t="s">
        <v>47</v>
      </c>
      <c r="I195" s="11">
        <v>0</v>
      </c>
      <c r="J195" s="11">
        <v>0</v>
      </c>
      <c r="K195" s="11">
        <v>3201088686.1500001</v>
      </c>
      <c r="L195" s="11">
        <v>0</v>
      </c>
      <c r="M195" s="11">
        <v>3201088686.1500001</v>
      </c>
      <c r="N195" s="11">
        <v>3201088686.1500001</v>
      </c>
      <c r="O195" s="11">
        <v>0</v>
      </c>
      <c r="P195" s="11">
        <v>3201088686.1500001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3201088686.1500001</v>
      </c>
      <c r="X195" s="11">
        <v>0</v>
      </c>
      <c r="Y195" s="17">
        <v>3201088686.1500001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3201088686.1500001</v>
      </c>
      <c r="AG195" s="11">
        <v>0</v>
      </c>
      <c r="AH195" s="12">
        <v>3201088686.1500001</v>
      </c>
      <c r="AI195" s="11">
        <v>3201088686.1500001</v>
      </c>
      <c r="AJ195" s="11">
        <v>3201088686.1500001</v>
      </c>
      <c r="AK195" s="11">
        <v>3201088686.1500001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t="s">
        <v>494</v>
      </c>
      <c r="AS195" s="4" t="str">
        <f t="shared" si="84"/>
        <v xml:space="preserve">Superávit Fondo de Seguridad Ciudadana </v>
      </c>
      <c r="AT195" t="str">
        <f t="shared" si="81"/>
        <v>92Superávit Fondo de Seguridad Ciudadana 3201088686,15</v>
      </c>
      <c r="AU195" t="str">
        <f>+_xlfn.XLOOKUP(AT195,CRUCE!J:J,CRUCE!M:M)</f>
        <v>READY</v>
      </c>
      <c r="AV195" t="s">
        <v>1907</v>
      </c>
      <c r="AW195" s="23">
        <f>+SUMIFS(CRUCE!D:D,CRUCE!A:A,'2022'!D195,CRUCE!B:B,'2022'!AS195)/COUNTIFS(D:D,D195,AS:AS,AS195)</f>
        <v>3201088686.1500001</v>
      </c>
      <c r="AX195" s="23">
        <f t="shared" si="82"/>
        <v>3201088686.1500001</v>
      </c>
      <c r="AY195" s="23">
        <f t="shared" si="83"/>
        <v>0</v>
      </c>
    </row>
    <row r="196" spans="1:51" x14ac:dyDescent="0.3">
      <c r="A196">
        <v>2022</v>
      </c>
      <c r="B196">
        <v>307</v>
      </c>
      <c r="C196">
        <v>12100200213</v>
      </c>
      <c r="D196" s="5">
        <v>186</v>
      </c>
      <c r="E196" s="8" t="s">
        <v>1164</v>
      </c>
      <c r="F196">
        <v>12100200213</v>
      </c>
      <c r="G196" s="8" t="s">
        <v>1023</v>
      </c>
      <c r="H196" t="s">
        <v>47</v>
      </c>
      <c r="I196" s="11">
        <v>0</v>
      </c>
      <c r="J196" s="11">
        <v>0</v>
      </c>
      <c r="K196" s="11">
        <v>150081.03</v>
      </c>
      <c r="L196" s="11">
        <v>0</v>
      </c>
      <c r="M196" s="11">
        <v>150081.03</v>
      </c>
      <c r="N196" s="11">
        <v>150081.03</v>
      </c>
      <c r="O196" s="11">
        <v>0</v>
      </c>
      <c r="P196" s="11">
        <v>150081.03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150081.03</v>
      </c>
      <c r="X196" s="11">
        <v>0</v>
      </c>
      <c r="Y196" s="17">
        <v>150081.03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150081.03</v>
      </c>
      <c r="AG196" s="11">
        <v>0</v>
      </c>
      <c r="AH196" s="12">
        <v>150081.03</v>
      </c>
      <c r="AI196" s="11">
        <v>150081.03</v>
      </c>
      <c r="AJ196" s="11">
        <v>150081.03</v>
      </c>
      <c r="AK196" s="11">
        <v>150081.03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t="s">
        <v>538</v>
      </c>
      <c r="AS196" s="4" t="str">
        <f t="shared" si="84"/>
        <v>Superávit Extracción Material De Rio Minas Y Otros</v>
      </c>
      <c r="AT196" t="str">
        <f t="shared" si="81"/>
        <v>186Superávit Extracción Material De Rio Minas Y Otros150081,03</v>
      </c>
      <c r="AU196" t="str">
        <f>+_xlfn.XLOOKUP(AT196,CRUCE!J:J,CRUCE!M:M)</f>
        <v>READY</v>
      </c>
      <c r="AV196" t="s">
        <v>1907</v>
      </c>
      <c r="AW196" s="23">
        <f>+SUMIFS(CRUCE!D:D,CRUCE!A:A,'2022'!D196,CRUCE!B:B,'2022'!AS196)/COUNTIFS(D:D,D196,AS:AS,AS196)</f>
        <v>150081.03</v>
      </c>
      <c r="AX196" s="23">
        <f t="shared" si="82"/>
        <v>150081.03</v>
      </c>
      <c r="AY196" s="23">
        <f t="shared" si="83"/>
        <v>0</v>
      </c>
    </row>
    <row r="197" spans="1:51" x14ac:dyDescent="0.3">
      <c r="A197">
        <v>2022</v>
      </c>
      <c r="B197">
        <v>307</v>
      </c>
      <c r="C197">
        <v>12100200218</v>
      </c>
      <c r="D197" s="5">
        <v>195</v>
      </c>
      <c r="E197" s="8" t="s">
        <v>498</v>
      </c>
      <c r="F197">
        <v>12100200218</v>
      </c>
      <c r="G197" s="8" t="s">
        <v>499</v>
      </c>
      <c r="H197" t="s">
        <v>47</v>
      </c>
      <c r="I197" s="11">
        <v>0</v>
      </c>
      <c r="J197" s="11">
        <v>0</v>
      </c>
      <c r="K197" s="11">
        <v>105606585.66</v>
      </c>
      <c r="L197" s="11">
        <v>0</v>
      </c>
      <c r="M197" s="11">
        <v>105606585.66</v>
      </c>
      <c r="N197" s="11">
        <v>105606585.66</v>
      </c>
      <c r="O197" s="11">
        <v>0</v>
      </c>
      <c r="P197" s="11">
        <v>105606585.66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105606585.66</v>
      </c>
      <c r="X197" s="11">
        <v>0</v>
      </c>
      <c r="Y197" s="17">
        <v>105606585.66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105606585.66</v>
      </c>
      <c r="AG197" s="11">
        <v>0</v>
      </c>
      <c r="AH197" s="12">
        <v>105606585.66</v>
      </c>
      <c r="AI197" s="11">
        <v>105606585.66</v>
      </c>
      <c r="AJ197" s="11">
        <v>105606585.66</v>
      </c>
      <c r="AK197" s="11">
        <v>105606585.66</v>
      </c>
      <c r="AL197" s="11">
        <v>0</v>
      </c>
      <c r="AM197" s="11">
        <v>0</v>
      </c>
      <c r="AN197" s="11">
        <v>0</v>
      </c>
      <c r="AO197" s="11">
        <v>0</v>
      </c>
      <c r="AP197" s="11">
        <v>0</v>
      </c>
      <c r="AQ197" s="11">
        <v>0</v>
      </c>
      <c r="AR197" t="s">
        <v>500</v>
      </c>
      <c r="AS197" s="4" t="str">
        <f t="shared" si="84"/>
        <v>Superávit Reintegro Recursos del Credito</v>
      </c>
      <c r="AT197" t="str">
        <f t="shared" si="81"/>
        <v>195Superávit Reintegro Recursos del Credito105606585,66</v>
      </c>
      <c r="AU197" t="str">
        <f>+_xlfn.XLOOKUP(AT197,CRUCE!J:J,CRUCE!M:M)</f>
        <v>READY</v>
      </c>
      <c r="AV197" t="s">
        <v>1907</v>
      </c>
      <c r="AW197" s="23">
        <f>+SUMIFS(CRUCE!D:D,CRUCE!A:A,'2022'!D197,CRUCE!B:B,'2022'!AS197)/COUNTIFS(D:D,D197,AS:AS,AS197)</f>
        <v>105606585.66</v>
      </c>
      <c r="AX197" s="23">
        <f t="shared" si="82"/>
        <v>105606585.66</v>
      </c>
      <c r="AY197" s="23">
        <f t="shared" si="83"/>
        <v>0</v>
      </c>
    </row>
    <row r="198" spans="1:51" x14ac:dyDescent="0.3">
      <c r="A198">
        <v>2022</v>
      </c>
      <c r="B198">
        <v>307</v>
      </c>
      <c r="C198">
        <v>12100200219</v>
      </c>
      <c r="D198" s="5">
        <v>90</v>
      </c>
      <c r="E198" s="8" t="s">
        <v>501</v>
      </c>
      <c r="F198">
        <v>12100200219</v>
      </c>
      <c r="G198" s="8" t="s">
        <v>502</v>
      </c>
      <c r="H198" t="s">
        <v>47</v>
      </c>
      <c r="I198" s="11">
        <v>0</v>
      </c>
      <c r="J198" s="11">
        <v>0</v>
      </c>
      <c r="K198" s="11">
        <v>664789.80000000005</v>
      </c>
      <c r="L198" s="11">
        <v>0</v>
      </c>
      <c r="M198" s="11">
        <v>664789.80000000005</v>
      </c>
      <c r="N198" s="11">
        <v>664789.80000000005</v>
      </c>
      <c r="O198" s="11">
        <v>0</v>
      </c>
      <c r="P198" s="11">
        <v>664789.80000000005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664789.80000000005</v>
      </c>
      <c r="X198" s="11">
        <v>0</v>
      </c>
      <c r="Y198" s="17">
        <v>664789.80000000005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664789.80000000005</v>
      </c>
      <c r="AG198" s="11">
        <v>0</v>
      </c>
      <c r="AH198" s="12">
        <v>664789.80000000005</v>
      </c>
      <c r="AI198" s="11">
        <v>664789.80000000005</v>
      </c>
      <c r="AJ198" s="11">
        <v>664789.80000000005</v>
      </c>
      <c r="AK198" s="11">
        <v>664789.80000000005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t="s">
        <v>503</v>
      </c>
      <c r="AS198" s="4" t="str">
        <f t="shared" si="84"/>
        <v>Superavít SGP Agua Potable</v>
      </c>
      <c r="AT198" t="str">
        <f t="shared" si="81"/>
        <v>90Superavít SGP Agua Potable664789,8</v>
      </c>
      <c r="AU198" t="str">
        <f>+_xlfn.XLOOKUP(AT198,CRUCE!J:J,CRUCE!M:M)</f>
        <v>READY</v>
      </c>
      <c r="AV198" t="s">
        <v>1907</v>
      </c>
      <c r="AW198" s="23">
        <f>+SUMIFS(CRUCE!D:D,CRUCE!A:A,'2022'!D198,CRUCE!B:B,'2022'!AS198)/COUNTIFS(D:D,D198,AS:AS,AS198)</f>
        <v>664789.80000000005</v>
      </c>
      <c r="AX198" s="23">
        <f t="shared" si="82"/>
        <v>664789.80000000005</v>
      </c>
      <c r="AY198" s="23">
        <f t="shared" si="83"/>
        <v>0</v>
      </c>
    </row>
    <row r="199" spans="1:51" x14ac:dyDescent="0.3">
      <c r="A199">
        <v>2022</v>
      </c>
      <c r="B199">
        <v>307</v>
      </c>
      <c r="C199">
        <v>12100200220</v>
      </c>
      <c r="D199" s="5">
        <v>84</v>
      </c>
      <c r="E199" s="8" t="s">
        <v>504</v>
      </c>
      <c r="F199">
        <v>12100200220</v>
      </c>
      <c r="G199" s="8" t="s">
        <v>505</v>
      </c>
      <c r="H199" t="s">
        <v>47</v>
      </c>
      <c r="I199" s="11">
        <v>0</v>
      </c>
      <c r="J199" s="11">
        <v>0</v>
      </c>
      <c r="K199" s="11">
        <v>1170202789.98</v>
      </c>
      <c r="L199" s="11">
        <v>0</v>
      </c>
      <c r="M199" s="11">
        <v>1170202789.98</v>
      </c>
      <c r="N199" s="11">
        <v>1170202789.98</v>
      </c>
      <c r="O199" s="11">
        <v>0</v>
      </c>
      <c r="P199" s="11">
        <v>1170202789.98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1170202789.98</v>
      </c>
      <c r="X199" s="11">
        <v>0</v>
      </c>
      <c r="Y199" s="17">
        <v>1170202789.98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1170202789.98</v>
      </c>
      <c r="AG199" s="11">
        <v>0</v>
      </c>
      <c r="AH199" s="12">
        <v>1170202789.98</v>
      </c>
      <c r="AI199" s="11">
        <v>1170202789.98</v>
      </c>
      <c r="AJ199" s="11">
        <v>1170202789.98</v>
      </c>
      <c r="AK199" s="11">
        <v>1170202789.98</v>
      </c>
      <c r="AL199" s="11">
        <v>0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t="s">
        <v>506</v>
      </c>
      <c r="AS199" s="4" t="str">
        <f t="shared" si="84"/>
        <v>Superavít Estampilla Pro Adulto Mayor</v>
      </c>
      <c r="AT199" t="str">
        <f t="shared" si="81"/>
        <v>84Superavít Estampilla Pro Adulto Mayor1170202789,98</v>
      </c>
      <c r="AU199" t="str">
        <f>+_xlfn.XLOOKUP(AT199,CRUCE!J:J,CRUCE!M:M)</f>
        <v>READY</v>
      </c>
      <c r="AV199" t="s">
        <v>1907</v>
      </c>
      <c r="AW199" s="23">
        <f>+SUMIFS(CRUCE!D:D,CRUCE!A:A,'2022'!D199,CRUCE!B:B,'2022'!AS199)/COUNTIFS(D:D,D199,AS:AS,AS199)</f>
        <v>1170202789.98</v>
      </c>
      <c r="AX199" s="23">
        <f t="shared" si="82"/>
        <v>1170202789.98</v>
      </c>
      <c r="AY199" s="23">
        <f t="shared" si="83"/>
        <v>0</v>
      </c>
    </row>
    <row r="200" spans="1:51" x14ac:dyDescent="0.3">
      <c r="A200">
        <v>2022</v>
      </c>
      <c r="B200">
        <v>307</v>
      </c>
      <c r="C200">
        <v>12100200221</v>
      </c>
      <c r="D200" s="5">
        <v>217</v>
      </c>
      <c r="E200" s="8" t="s">
        <v>1165</v>
      </c>
      <c r="F200">
        <v>12100200221</v>
      </c>
      <c r="G200" s="8" t="s">
        <v>1166</v>
      </c>
      <c r="H200" t="s">
        <v>47</v>
      </c>
      <c r="I200" s="11">
        <v>0</v>
      </c>
      <c r="J200" s="11">
        <v>0</v>
      </c>
      <c r="K200" s="11">
        <v>138533774.16</v>
      </c>
      <c r="L200" s="11">
        <v>0</v>
      </c>
      <c r="M200" s="11">
        <v>138533774.16</v>
      </c>
      <c r="N200" s="11">
        <v>138533774.16</v>
      </c>
      <c r="O200" s="11">
        <v>0</v>
      </c>
      <c r="P200" s="11">
        <v>138533774.16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138533774.16</v>
      </c>
      <c r="X200" s="11">
        <v>0</v>
      </c>
      <c r="Y200" s="17">
        <v>138533774.16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138533774.16</v>
      </c>
      <c r="AG200" s="11">
        <v>0</v>
      </c>
      <c r="AH200" s="12">
        <v>138533774.16</v>
      </c>
      <c r="AI200" s="11">
        <v>138533774.16</v>
      </c>
      <c r="AJ200" s="11">
        <v>138533774.16</v>
      </c>
      <c r="AK200" s="11">
        <v>138533774.16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t="s">
        <v>1167</v>
      </c>
      <c r="AS200" s="4" t="str">
        <f t="shared" si="84"/>
        <v xml:space="preserve">Superavít Convenios Interadministrativos </v>
      </c>
      <c r="AT200" t="str">
        <f t="shared" si="81"/>
        <v>217Superavít Convenios Interadministrativos 138533774,16</v>
      </c>
      <c r="AU200" t="str">
        <f>+_xlfn.XLOOKUP(AT200,CRUCE!J:J,CRUCE!M:M)</f>
        <v>READY</v>
      </c>
      <c r="AV200" t="s">
        <v>1907</v>
      </c>
      <c r="AW200" s="23">
        <f>+SUMIFS(CRUCE!D:D,CRUCE!A:A,'2022'!D200,CRUCE!B:B,'2022'!AS200)/COUNTIFS(D:D,D200,AS:AS,AS200)</f>
        <v>138533774.16</v>
      </c>
      <c r="AX200" s="23">
        <f t="shared" si="82"/>
        <v>138533774.16</v>
      </c>
      <c r="AY200" s="23">
        <f t="shared" si="83"/>
        <v>0</v>
      </c>
    </row>
    <row r="201" spans="1:51" x14ac:dyDescent="0.3">
      <c r="A201">
        <v>2022</v>
      </c>
      <c r="B201">
        <v>307</v>
      </c>
      <c r="C201">
        <v>12100200221</v>
      </c>
      <c r="D201" s="5">
        <v>95</v>
      </c>
      <c r="E201" s="8" t="s">
        <v>507</v>
      </c>
      <c r="F201">
        <v>12100200221</v>
      </c>
      <c r="G201" s="8" t="s">
        <v>1166</v>
      </c>
      <c r="H201" t="s">
        <v>47</v>
      </c>
      <c r="I201" s="11">
        <v>0</v>
      </c>
      <c r="J201" s="11">
        <v>0</v>
      </c>
      <c r="K201" s="11">
        <v>3554512644</v>
      </c>
      <c r="L201" s="11">
        <v>0</v>
      </c>
      <c r="M201" s="11">
        <v>3554512644</v>
      </c>
      <c r="N201" s="11">
        <v>3554512644</v>
      </c>
      <c r="O201" s="11">
        <v>0</v>
      </c>
      <c r="P201" s="11">
        <v>3554512644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3554512644</v>
      </c>
      <c r="X201" s="11">
        <v>0</v>
      </c>
      <c r="Y201" s="17">
        <v>3554512644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3554512644</v>
      </c>
      <c r="AG201" s="11">
        <v>0</v>
      </c>
      <c r="AH201" s="12">
        <v>3554512644</v>
      </c>
      <c r="AI201" s="11">
        <v>3554512644</v>
      </c>
      <c r="AJ201" s="11">
        <v>3554512644</v>
      </c>
      <c r="AK201" s="11">
        <v>3554512644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t="s">
        <v>509</v>
      </c>
      <c r="AS201" s="4" t="str">
        <f t="shared" si="84"/>
        <v xml:space="preserve">Superavít Convenios Interadministrativos </v>
      </c>
      <c r="AT201" t="str">
        <f t="shared" si="81"/>
        <v>95Superavít Convenios Interadministrativos 3554512644</v>
      </c>
      <c r="AU201" t="str">
        <f>+_xlfn.XLOOKUP(AT201,CRUCE!J:J,CRUCE!M:M)</f>
        <v>READY</v>
      </c>
      <c r="AV201" t="s">
        <v>1907</v>
      </c>
      <c r="AW201" s="23">
        <f>+SUMIFS(CRUCE!D:D,CRUCE!A:A,'2022'!D201,CRUCE!B:B,'2022'!AS201)/COUNTIFS(D:D,D201,AS:AS,AS201)</f>
        <v>3554512644</v>
      </c>
      <c r="AX201" s="23">
        <f t="shared" si="82"/>
        <v>3554512644</v>
      </c>
      <c r="AY201" s="23">
        <f t="shared" si="83"/>
        <v>0</v>
      </c>
    </row>
    <row r="202" spans="1:51" x14ac:dyDescent="0.3">
      <c r="A202">
        <v>2022</v>
      </c>
      <c r="B202">
        <v>307</v>
      </c>
      <c r="C202">
        <v>12100200234</v>
      </c>
      <c r="D202" s="5">
        <v>208</v>
      </c>
      <c r="E202" s="8" t="s">
        <v>1168</v>
      </c>
      <c r="F202">
        <v>12100200234</v>
      </c>
      <c r="G202" s="8" t="s">
        <v>516</v>
      </c>
      <c r="H202" t="s">
        <v>47</v>
      </c>
      <c r="I202" s="11">
        <v>0</v>
      </c>
      <c r="J202" s="11">
        <v>0</v>
      </c>
      <c r="K202" s="11">
        <v>161388461.13</v>
      </c>
      <c r="L202" s="11">
        <v>0</v>
      </c>
      <c r="M202" s="11">
        <v>161388461.13</v>
      </c>
      <c r="N202" s="11">
        <v>161388461.13</v>
      </c>
      <c r="O202" s="11">
        <v>0</v>
      </c>
      <c r="P202" s="11">
        <v>161388461.13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161388461.13</v>
      </c>
      <c r="X202" s="11">
        <v>0</v>
      </c>
      <c r="Y202" s="17">
        <v>161388461.13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161388461.13</v>
      </c>
      <c r="AG202" s="11">
        <v>0</v>
      </c>
      <c r="AH202" s="12">
        <v>161388461.13</v>
      </c>
      <c r="AI202" s="11">
        <v>161388461.13</v>
      </c>
      <c r="AJ202" s="11">
        <v>161388461.13</v>
      </c>
      <c r="AK202" s="11">
        <v>161388461.13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t="s">
        <v>1169</v>
      </c>
      <c r="AS202" s="4" t="str">
        <f t="shared" si="84"/>
        <v>Superávit Impuesto al Consumo 3% Monopolio Indeportes</v>
      </c>
      <c r="AT202" t="str">
        <f t="shared" si="81"/>
        <v>208Superávit Impuesto al Consumo 3% Monopolio Indeportes161388461,13</v>
      </c>
      <c r="AU202" t="str">
        <f>+_xlfn.XLOOKUP(AT202,CRUCE!J:J,CRUCE!M:M)</f>
        <v>READY</v>
      </c>
      <c r="AV202" t="s">
        <v>1907</v>
      </c>
      <c r="AW202" s="23">
        <f>+SUMIFS(CRUCE!D:D,CRUCE!A:A,'2022'!D202,CRUCE!B:B,'2022'!AS202)/COUNTIFS(D:D,D202,AS:AS,AS202)</f>
        <v>161388461.13</v>
      </c>
      <c r="AX202" s="23">
        <f t="shared" si="82"/>
        <v>161388461.13</v>
      </c>
      <c r="AY202" s="23">
        <f t="shared" si="83"/>
        <v>0</v>
      </c>
    </row>
    <row r="203" spans="1:51" x14ac:dyDescent="0.3">
      <c r="A203">
        <v>2022</v>
      </c>
      <c r="B203">
        <v>307</v>
      </c>
      <c r="C203">
        <v>12100200235</v>
      </c>
      <c r="D203" s="5">
        <v>123</v>
      </c>
      <c r="E203" s="8" t="s">
        <v>519</v>
      </c>
      <c r="F203">
        <v>12100200235</v>
      </c>
      <c r="G203" s="8" t="s">
        <v>520</v>
      </c>
      <c r="H203" t="s">
        <v>47</v>
      </c>
      <c r="I203" s="11">
        <v>0</v>
      </c>
      <c r="J203" s="11">
        <v>0</v>
      </c>
      <c r="K203" s="11">
        <v>666478200</v>
      </c>
      <c r="L203" s="11">
        <v>0</v>
      </c>
      <c r="M203" s="11">
        <v>666478200</v>
      </c>
      <c r="N203" s="11">
        <v>666478200</v>
      </c>
      <c r="O203" s="11">
        <v>0</v>
      </c>
      <c r="P203" s="11">
        <v>666478200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666478200</v>
      </c>
      <c r="X203" s="11">
        <v>0</v>
      </c>
      <c r="Y203" s="17">
        <v>666478200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666478200</v>
      </c>
      <c r="AG203" s="11">
        <v>0</v>
      </c>
      <c r="AH203" s="12">
        <v>666478200</v>
      </c>
      <c r="AI203" s="11">
        <v>666478200</v>
      </c>
      <c r="AJ203" s="11">
        <v>666478200</v>
      </c>
      <c r="AK203" s="11">
        <v>666478200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t="s">
        <v>521</v>
      </c>
      <c r="AS203" s="4" t="str">
        <f t="shared" si="84"/>
        <v>Superávit Estampilla Pro Hospital</v>
      </c>
      <c r="AT203" t="str">
        <f t="shared" si="81"/>
        <v>123Superávit Estampilla Pro Hospital666478200</v>
      </c>
      <c r="AU203" t="str">
        <f>+_xlfn.XLOOKUP(AT203,CRUCE!J:J,CRUCE!M:M)</f>
        <v>READY</v>
      </c>
      <c r="AV203" t="s">
        <v>1907</v>
      </c>
      <c r="AW203" s="23">
        <f>+SUMIFS(CRUCE!D:D,CRUCE!A:A,'2022'!D203,CRUCE!B:B,'2022'!AS203)/COUNTIFS(D:D,D203,AS:AS,AS203)</f>
        <v>666478200</v>
      </c>
      <c r="AX203" s="23">
        <f t="shared" si="82"/>
        <v>666478200</v>
      </c>
      <c r="AY203" s="23">
        <f t="shared" si="83"/>
        <v>0</v>
      </c>
    </row>
    <row r="204" spans="1:51" x14ac:dyDescent="0.3">
      <c r="A204">
        <v>2022</v>
      </c>
      <c r="B204">
        <v>307</v>
      </c>
      <c r="C204">
        <v>12100200238</v>
      </c>
      <c r="D204" s="5">
        <v>86</v>
      </c>
      <c r="E204" s="8" t="s">
        <v>530</v>
      </c>
      <c r="F204">
        <v>12100200238</v>
      </c>
      <c r="G204" s="8" t="s">
        <v>531</v>
      </c>
      <c r="H204" t="s">
        <v>47</v>
      </c>
      <c r="I204" s="11">
        <v>0</v>
      </c>
      <c r="J204" s="11">
        <v>0</v>
      </c>
      <c r="K204" s="11">
        <v>915730476.15999997</v>
      </c>
      <c r="L204" s="11">
        <v>0</v>
      </c>
      <c r="M204" s="11">
        <v>915730476.15999997</v>
      </c>
      <c r="N204" s="11">
        <v>915730476.15999997</v>
      </c>
      <c r="O204" s="11">
        <v>0</v>
      </c>
      <c r="P204" s="11">
        <v>915730476.15999997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915730476.15999997</v>
      </c>
      <c r="X204" s="11">
        <v>0</v>
      </c>
      <c r="Y204" s="17">
        <v>915730476.15999997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915730476.15999997</v>
      </c>
      <c r="AG204" s="11">
        <v>0</v>
      </c>
      <c r="AH204" s="12">
        <v>915730476.15999997</v>
      </c>
      <c r="AI204" s="11">
        <v>915730476.15999997</v>
      </c>
      <c r="AJ204" s="11">
        <v>915730476.15999997</v>
      </c>
      <c r="AK204" s="11">
        <v>915730476.15999997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t="s">
        <v>532</v>
      </c>
      <c r="AS204" s="4" t="str">
        <f t="shared" si="84"/>
        <v>Suparávit Registro Pago Cuotas Partes Pensionales</v>
      </c>
      <c r="AT204" t="str">
        <f t="shared" si="81"/>
        <v>86Suparávit Registro Pago Cuotas Partes Pensionales915730476,16</v>
      </c>
      <c r="AU204" t="str">
        <f>+_xlfn.XLOOKUP(AT204,CRUCE!J:J,CRUCE!M:M)</f>
        <v>READY</v>
      </c>
      <c r="AV204" t="s">
        <v>1907</v>
      </c>
      <c r="AW204" s="23">
        <f>+SUMIFS(CRUCE!D:D,CRUCE!A:A,'2022'!D204,CRUCE!B:B,'2022'!AS204)/COUNTIFS(D:D,D204,AS:AS,AS204)</f>
        <v>915730476.15999997</v>
      </c>
      <c r="AX204" s="23">
        <f t="shared" si="82"/>
        <v>915730476.15999997</v>
      </c>
      <c r="AY204" s="23">
        <f t="shared" si="83"/>
        <v>0</v>
      </c>
    </row>
    <row r="205" spans="1:51" x14ac:dyDescent="0.3">
      <c r="A205">
        <v>2022</v>
      </c>
      <c r="B205">
        <v>307</v>
      </c>
      <c r="C205">
        <v>12100200239</v>
      </c>
      <c r="D205" s="5">
        <v>93</v>
      </c>
      <c r="E205" s="8" t="s">
        <v>533</v>
      </c>
      <c r="F205">
        <v>12100200239</v>
      </c>
      <c r="G205" s="8" t="s">
        <v>534</v>
      </c>
      <c r="H205" t="s">
        <v>47</v>
      </c>
      <c r="I205" s="11">
        <v>0</v>
      </c>
      <c r="J205" s="11">
        <v>0</v>
      </c>
      <c r="K205" s="11">
        <v>34433.300000000003</v>
      </c>
      <c r="L205" s="11">
        <v>0</v>
      </c>
      <c r="M205" s="11">
        <v>34433.300000000003</v>
      </c>
      <c r="N205" s="11">
        <v>34433.300000000003</v>
      </c>
      <c r="O205" s="11">
        <v>0</v>
      </c>
      <c r="P205" s="11">
        <v>34433.300000000003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34433.300000000003</v>
      </c>
      <c r="X205" s="11">
        <v>0</v>
      </c>
      <c r="Y205" s="17">
        <v>34433.300000000003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34433.300000000003</v>
      </c>
      <c r="AG205" s="11">
        <v>0</v>
      </c>
      <c r="AH205" s="12">
        <v>34433.300000000003</v>
      </c>
      <c r="AI205" s="11">
        <v>34433.300000000003</v>
      </c>
      <c r="AJ205" s="11">
        <v>34433.300000000003</v>
      </c>
      <c r="AK205" s="11">
        <v>34433.300000000003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t="s">
        <v>535</v>
      </c>
      <c r="AS205" s="4" t="str">
        <f t="shared" si="84"/>
        <v xml:space="preserve">Superávit IVA Telefonia Movil </v>
      </c>
      <c r="AT205" t="str">
        <f t="shared" si="81"/>
        <v>93Superávit IVA Telefonia Movil 34433,3</v>
      </c>
      <c r="AU205" t="str">
        <f>+_xlfn.XLOOKUP(AT205,CRUCE!J:J,CRUCE!M:M)</f>
        <v>READY</v>
      </c>
      <c r="AV205" t="s">
        <v>1907</v>
      </c>
      <c r="AW205" s="23">
        <f>+SUMIFS(CRUCE!D:D,CRUCE!A:A,'2022'!D205,CRUCE!B:B,'2022'!AS205)/COUNTIFS(D:D,D205,AS:AS,AS205)</f>
        <v>34433.300000000003</v>
      </c>
      <c r="AX205" s="23">
        <f t="shared" si="82"/>
        <v>34433.300000000003</v>
      </c>
      <c r="AY205" s="23">
        <f t="shared" si="83"/>
        <v>0</v>
      </c>
    </row>
    <row r="206" spans="1:51" x14ac:dyDescent="0.3">
      <c r="A206">
        <v>2022</v>
      </c>
      <c r="B206">
        <v>307</v>
      </c>
      <c r="C206">
        <v>12100200242</v>
      </c>
      <c r="D206" s="5">
        <v>94</v>
      </c>
      <c r="E206" s="8" t="s">
        <v>1170</v>
      </c>
      <c r="F206">
        <v>12100200242</v>
      </c>
      <c r="G206" s="8" t="s">
        <v>1313</v>
      </c>
      <c r="H206" t="s">
        <v>47</v>
      </c>
      <c r="I206" s="11">
        <v>0</v>
      </c>
      <c r="J206" s="11">
        <v>0</v>
      </c>
      <c r="K206" s="11">
        <v>694342708.11000001</v>
      </c>
      <c r="L206" s="11">
        <v>0</v>
      </c>
      <c r="M206" s="11">
        <v>694342708.11000001</v>
      </c>
      <c r="N206" s="11">
        <v>694342708.11000001</v>
      </c>
      <c r="O206" s="11">
        <v>0</v>
      </c>
      <c r="P206" s="11">
        <v>694342708.11000001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694342708.11000001</v>
      </c>
      <c r="X206" s="11">
        <v>0</v>
      </c>
      <c r="Y206" s="17">
        <v>694342708.11000001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694342708.11000001</v>
      </c>
      <c r="AG206" s="11">
        <v>0</v>
      </c>
      <c r="AH206" s="12">
        <v>694342708.11000001</v>
      </c>
      <c r="AI206" s="11">
        <v>694342708.11000001</v>
      </c>
      <c r="AJ206" s="11">
        <v>694342708.11000001</v>
      </c>
      <c r="AK206" s="11">
        <v>694342708.11000001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t="s">
        <v>529</v>
      </c>
      <c r="AS206" s="4" t="str">
        <f t="shared" si="84"/>
        <v>Superávit Impuesto al Registro Turismo 4%</v>
      </c>
      <c r="AT206" t="str">
        <f t="shared" si="81"/>
        <v>94Superávit Impuesto al Registro Turismo 4%694342708,11</v>
      </c>
      <c r="AU206" t="e">
        <f>+_xlfn.XLOOKUP(AT206,CRUCE!J:J,CRUCE!M:M)</f>
        <v>#N/A</v>
      </c>
      <c r="AV206" t="s">
        <v>1907</v>
      </c>
      <c r="AW206" s="23">
        <f>+SUMIFS(CRUCE!D:D,CRUCE!A:A,'2022'!D206,CRUCE!B:B,'2022'!AS206)/COUNTIFS(D:D,D206,AS:AS,AS206)</f>
        <v>352031881.005</v>
      </c>
      <c r="AX206" s="23">
        <f t="shared" si="82"/>
        <v>352031881.005</v>
      </c>
      <c r="AY206" s="23">
        <f t="shared" si="83"/>
        <v>0</v>
      </c>
    </row>
    <row r="207" spans="1:51" x14ac:dyDescent="0.3">
      <c r="A207">
        <v>2022</v>
      </c>
      <c r="B207">
        <v>307</v>
      </c>
      <c r="C207">
        <v>12100200243</v>
      </c>
      <c r="D207" s="5">
        <v>207</v>
      </c>
      <c r="E207" s="8" t="s">
        <v>1172</v>
      </c>
      <c r="F207">
        <v>12100200243</v>
      </c>
      <c r="G207" s="8" t="s">
        <v>1173</v>
      </c>
      <c r="H207" t="s">
        <v>47</v>
      </c>
      <c r="I207" s="11">
        <v>0</v>
      </c>
      <c r="J207" s="11">
        <v>0</v>
      </c>
      <c r="K207" s="11">
        <v>401080689</v>
      </c>
      <c r="L207" s="11">
        <v>0</v>
      </c>
      <c r="M207" s="11">
        <v>401080689</v>
      </c>
      <c r="N207" s="11">
        <v>401080689</v>
      </c>
      <c r="O207" s="11">
        <v>0</v>
      </c>
      <c r="P207" s="11">
        <v>401080689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401080689</v>
      </c>
      <c r="X207" s="11">
        <v>0</v>
      </c>
      <c r="Y207" s="17">
        <v>401080689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401080689</v>
      </c>
      <c r="AG207" s="11">
        <v>0</v>
      </c>
      <c r="AH207" s="12">
        <v>401080689</v>
      </c>
      <c r="AI207" s="11">
        <v>401080689</v>
      </c>
      <c r="AJ207" s="11">
        <v>401080689</v>
      </c>
      <c r="AK207" s="11">
        <v>401080689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t="s">
        <v>1174</v>
      </c>
      <c r="AS207" s="4" t="str">
        <f t="shared" si="84"/>
        <v xml:space="preserve">Superávit Convenio Invias Colombia Rural </v>
      </c>
      <c r="AT207" t="str">
        <f t="shared" si="81"/>
        <v>207Superávit Convenio Invias Colombia Rural 401080689</v>
      </c>
      <c r="AU207" t="str">
        <f>+_xlfn.XLOOKUP(AT207,CRUCE!J:J,CRUCE!M:M)</f>
        <v>READY</v>
      </c>
      <c r="AV207" t="s">
        <v>1907</v>
      </c>
      <c r="AW207" s="23">
        <f>+SUMIFS(CRUCE!D:D,CRUCE!A:A,'2022'!D207,CRUCE!B:B,'2022'!AS207)/COUNTIFS(D:D,D207,AS:AS,AS207)</f>
        <v>401080689</v>
      </c>
      <c r="AX207" s="23">
        <f t="shared" si="82"/>
        <v>401080689</v>
      </c>
      <c r="AY207" s="23">
        <f t="shared" si="83"/>
        <v>0</v>
      </c>
    </row>
    <row r="208" spans="1:51" x14ac:dyDescent="0.3">
      <c r="A208">
        <v>2022</v>
      </c>
      <c r="B208">
        <v>307</v>
      </c>
      <c r="C208">
        <v>12100200244</v>
      </c>
      <c r="D208" s="5">
        <v>209</v>
      </c>
      <c r="E208" s="8" t="s">
        <v>1175</v>
      </c>
      <c r="F208">
        <v>12100200244</v>
      </c>
      <c r="G208" s="8" t="s">
        <v>1176</v>
      </c>
      <c r="H208" t="s">
        <v>47</v>
      </c>
      <c r="I208" s="11">
        <v>0</v>
      </c>
      <c r="J208" s="11">
        <v>0</v>
      </c>
      <c r="K208" s="11">
        <v>854834830.09000003</v>
      </c>
      <c r="L208" s="11">
        <v>0</v>
      </c>
      <c r="M208" s="11">
        <v>854834830.09000003</v>
      </c>
      <c r="N208" s="11">
        <v>854834830.09000003</v>
      </c>
      <c r="O208" s="11">
        <v>0</v>
      </c>
      <c r="P208" s="11">
        <v>854834830.09000003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854834830.09000003</v>
      </c>
      <c r="X208" s="11">
        <v>0</v>
      </c>
      <c r="Y208" s="17">
        <v>854834830.09000003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854834830.09000003</v>
      </c>
      <c r="AG208" s="11">
        <v>0</v>
      </c>
      <c r="AH208" s="12">
        <v>854834830.09000003</v>
      </c>
      <c r="AI208" s="11">
        <v>854834830.09000003</v>
      </c>
      <c r="AJ208" s="11">
        <v>854834830.09000003</v>
      </c>
      <c r="AK208" s="11">
        <v>854834830.09000003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t="s">
        <v>1177</v>
      </c>
      <c r="AS208" s="4" t="str">
        <f t="shared" si="84"/>
        <v>Superávit estampilla Pro-Desarrollo (20%) Pensiones</v>
      </c>
      <c r="AT208" t="str">
        <f t="shared" si="81"/>
        <v>209Superávit estampilla Pro-Desarrollo (20%) Pensiones854834830,09</v>
      </c>
      <c r="AU208" t="str">
        <f>+_xlfn.XLOOKUP(AT208,CRUCE!J:J,CRUCE!M:M)</f>
        <v>READY</v>
      </c>
      <c r="AV208" t="s">
        <v>1907</v>
      </c>
      <c r="AW208" s="23">
        <f>+SUMIFS(CRUCE!D:D,CRUCE!A:A,'2022'!D208,CRUCE!B:B,'2022'!AS208)/COUNTIFS(D:D,D208,AS:AS,AS208)</f>
        <v>854834830.09000003</v>
      </c>
      <c r="AX208" s="23">
        <f t="shared" si="82"/>
        <v>854834830.09000003</v>
      </c>
      <c r="AY208" s="23">
        <f t="shared" si="83"/>
        <v>0</v>
      </c>
    </row>
    <row r="209" spans="1:51" x14ac:dyDescent="0.3">
      <c r="A209">
        <v>2022</v>
      </c>
      <c r="B209">
        <v>307</v>
      </c>
      <c r="C209">
        <v>12100200245</v>
      </c>
      <c r="D209" s="5">
        <v>210</v>
      </c>
      <c r="E209" s="8" t="s">
        <v>1178</v>
      </c>
      <c r="F209">
        <v>12100200245</v>
      </c>
      <c r="G209" s="8" t="s">
        <v>1179</v>
      </c>
      <c r="H209" t="s">
        <v>47</v>
      </c>
      <c r="I209" s="11">
        <v>0</v>
      </c>
      <c r="J209" s="11">
        <v>0</v>
      </c>
      <c r="K209" s="11">
        <v>74807488.079999998</v>
      </c>
      <c r="L209" s="11">
        <v>0</v>
      </c>
      <c r="M209" s="11">
        <v>74807488.079999998</v>
      </c>
      <c r="N209" s="11">
        <v>74807488.079999998</v>
      </c>
      <c r="O209" s="11">
        <v>0</v>
      </c>
      <c r="P209" s="11">
        <v>74807488.079999998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74807488.079999998</v>
      </c>
      <c r="X209" s="11">
        <v>0</v>
      </c>
      <c r="Y209" s="17">
        <v>74807488.079999998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74807488.079999998</v>
      </c>
      <c r="AG209" s="11">
        <v>0</v>
      </c>
      <c r="AH209" s="12">
        <v>74807488.079999998</v>
      </c>
      <c r="AI209" s="11">
        <v>74807488.079999998</v>
      </c>
      <c r="AJ209" s="11">
        <v>74807488.079999998</v>
      </c>
      <c r="AK209" s="11">
        <v>74807488.079999998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t="s">
        <v>1180</v>
      </c>
      <c r="AS209" s="4" t="str">
        <f t="shared" si="84"/>
        <v>Superávit estampilla Pro-Desarrollo (30%) Proyecta</v>
      </c>
      <c r="AT209" t="str">
        <f t="shared" si="81"/>
        <v>210Superávit estampilla Pro-Desarrollo (30%) Proyecta74807488,08</v>
      </c>
      <c r="AU209" t="str">
        <f>+_xlfn.XLOOKUP(AT209,CRUCE!J:J,CRUCE!M:M)</f>
        <v>READY</v>
      </c>
      <c r="AV209" t="s">
        <v>1907</v>
      </c>
      <c r="AW209" s="23">
        <f>+SUMIFS(CRUCE!D:D,CRUCE!A:A,'2022'!D209,CRUCE!B:B,'2022'!AS209)/COUNTIFS(D:D,D209,AS:AS,AS209)</f>
        <v>74807488.079999998</v>
      </c>
      <c r="AX209" s="23">
        <f t="shared" si="82"/>
        <v>74807488.079999998</v>
      </c>
      <c r="AY209" s="23">
        <f t="shared" si="83"/>
        <v>0</v>
      </c>
    </row>
    <row r="210" spans="1:51" x14ac:dyDescent="0.3">
      <c r="A210">
        <v>2022</v>
      </c>
      <c r="B210">
        <v>307</v>
      </c>
      <c r="C210">
        <v>12100200246</v>
      </c>
      <c r="D210" s="5">
        <v>211</v>
      </c>
      <c r="E210" s="8" t="s">
        <v>1181</v>
      </c>
      <c r="F210">
        <v>12100200246</v>
      </c>
      <c r="G210" s="8" t="s">
        <v>1182</v>
      </c>
      <c r="H210" t="s">
        <v>47</v>
      </c>
      <c r="I210" s="11">
        <v>0</v>
      </c>
      <c r="J210" s="11">
        <v>0</v>
      </c>
      <c r="K210" s="11">
        <v>311025523.94999999</v>
      </c>
      <c r="L210" s="11">
        <v>0</v>
      </c>
      <c r="M210" s="11">
        <v>311025523.94999999</v>
      </c>
      <c r="N210" s="11">
        <v>311025523.94999999</v>
      </c>
      <c r="O210" s="11">
        <v>0</v>
      </c>
      <c r="P210" s="11">
        <v>311025523.94999999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311025523.94999999</v>
      </c>
      <c r="X210" s="11">
        <v>0</v>
      </c>
      <c r="Y210" s="17">
        <v>311025523.94999999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311025523.94999999</v>
      </c>
      <c r="AG210" s="11">
        <v>0</v>
      </c>
      <c r="AH210" s="12">
        <v>311025523.94999999</v>
      </c>
      <c r="AI210" s="11">
        <v>311025523.94999999</v>
      </c>
      <c r="AJ210" s="11">
        <v>311025523.94999999</v>
      </c>
      <c r="AK210" s="11">
        <v>311025523.94999999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t="s">
        <v>1183</v>
      </c>
      <c r="AS210" s="4" t="str">
        <f t="shared" si="84"/>
        <v>Superávit estampilla Procultura 20% Pensiones</v>
      </c>
      <c r="AT210" t="str">
        <f t="shared" si="81"/>
        <v>211Superávit estampilla Procultura 20% Pensiones311025523,95</v>
      </c>
      <c r="AU210" t="str">
        <f>+_xlfn.XLOOKUP(AT210,CRUCE!J:J,CRUCE!M:M)</f>
        <v>READY</v>
      </c>
      <c r="AV210" t="s">
        <v>1907</v>
      </c>
      <c r="AW210" s="23">
        <f>+SUMIFS(CRUCE!D:D,CRUCE!A:A,'2022'!D210,CRUCE!B:B,'2022'!AS210)/COUNTIFS(D:D,D210,AS:AS,AS210)</f>
        <v>311025523.94999999</v>
      </c>
      <c r="AX210" s="23">
        <f t="shared" si="82"/>
        <v>311025523.94999999</v>
      </c>
      <c r="AY210" s="23">
        <f t="shared" si="83"/>
        <v>0</v>
      </c>
    </row>
    <row r="211" spans="1:51" x14ac:dyDescent="0.3">
      <c r="A211">
        <v>2022</v>
      </c>
      <c r="B211">
        <v>307</v>
      </c>
      <c r="C211">
        <v>12100200247</v>
      </c>
      <c r="D211" s="5">
        <v>216</v>
      </c>
      <c r="E211" s="8" t="s">
        <v>1184</v>
      </c>
      <c r="F211">
        <v>12100200247</v>
      </c>
      <c r="G211" s="8" t="s">
        <v>1185</v>
      </c>
      <c r="H211" t="s">
        <v>47</v>
      </c>
      <c r="I211" s="11">
        <v>0</v>
      </c>
      <c r="J211" s="11">
        <v>0</v>
      </c>
      <c r="K211" s="11">
        <v>435999905.50999999</v>
      </c>
      <c r="L211" s="11">
        <v>0</v>
      </c>
      <c r="M211" s="11">
        <v>435999905.50999999</v>
      </c>
      <c r="N211" s="11">
        <v>435999905.50999999</v>
      </c>
      <c r="O211" s="11">
        <v>0</v>
      </c>
      <c r="P211" s="11">
        <v>435999905.50999999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435999905.50999999</v>
      </c>
      <c r="X211" s="11">
        <v>0</v>
      </c>
      <c r="Y211" s="17">
        <v>435999905.50999999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435999905.50999999</v>
      </c>
      <c r="AG211" s="11">
        <v>0</v>
      </c>
      <c r="AH211" s="12">
        <v>435999905.50999999</v>
      </c>
      <c r="AI211" s="11">
        <v>435999905.50999999</v>
      </c>
      <c r="AJ211" s="11">
        <v>435999905.50999999</v>
      </c>
      <c r="AK211" s="11">
        <v>435999905.50999999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t="s">
        <v>1186</v>
      </c>
      <c r="AS211" s="4" t="str">
        <f t="shared" si="84"/>
        <v>Superávit estampilla Pro-adulto mayor (20%) Pensión</v>
      </c>
      <c r="AT211" t="str">
        <f t="shared" si="81"/>
        <v>216Superávit estampilla Pro-adulto mayor (20%) Pensión435999905,51</v>
      </c>
      <c r="AU211" t="str">
        <f>+_xlfn.XLOOKUP(AT211,CRUCE!J:J,CRUCE!M:M)</f>
        <v>READY</v>
      </c>
      <c r="AV211" t="s">
        <v>1907</v>
      </c>
      <c r="AW211" s="23">
        <f>+SUMIFS(CRUCE!D:D,CRUCE!A:A,'2022'!D211,CRUCE!B:B,'2022'!AS211)/COUNTIFS(D:D,D211,AS:AS,AS211)</f>
        <v>435999905.50999999</v>
      </c>
      <c r="AX211" s="23">
        <f t="shared" si="82"/>
        <v>435999905.50999999</v>
      </c>
      <c r="AY211" s="23">
        <f t="shared" si="83"/>
        <v>0</v>
      </c>
    </row>
    <row r="212" spans="1:51" x14ac:dyDescent="0.3">
      <c r="A212">
        <v>2022</v>
      </c>
      <c r="B212">
        <v>307</v>
      </c>
      <c r="C212">
        <v>12100200248</v>
      </c>
      <c r="D212" s="5">
        <v>122</v>
      </c>
      <c r="E212" s="8" t="s">
        <v>1187</v>
      </c>
      <c r="F212">
        <v>12100200248</v>
      </c>
      <c r="G212" s="8" t="s">
        <v>1188</v>
      </c>
      <c r="H212" t="s">
        <v>47</v>
      </c>
      <c r="I212" s="11">
        <v>0</v>
      </c>
      <c r="J212" s="11">
        <v>0</v>
      </c>
      <c r="K212" s="11">
        <v>7537378380.5</v>
      </c>
      <c r="L212" s="11">
        <v>0</v>
      </c>
      <c r="M212" s="11">
        <v>7537378380.5</v>
      </c>
      <c r="N212" s="11">
        <v>7537378380.5</v>
      </c>
      <c r="O212" s="11">
        <v>0</v>
      </c>
      <c r="P212" s="11">
        <v>7537378380.5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7537378380.5</v>
      </c>
      <c r="X212" s="11">
        <v>0</v>
      </c>
      <c r="Y212" s="17">
        <v>7537378380.5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7537378380.5</v>
      </c>
      <c r="AG212" s="11">
        <v>0</v>
      </c>
      <c r="AH212" s="12">
        <v>7537378380.5</v>
      </c>
      <c r="AI212" s="11">
        <v>7537378380.5</v>
      </c>
      <c r="AJ212" s="11">
        <v>7537378380.5</v>
      </c>
      <c r="AK212" s="11">
        <v>7537378380.5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t="s">
        <v>514</v>
      </c>
      <c r="AS212" s="4" t="str">
        <f t="shared" si="84"/>
        <v>Superávit Desahorro FONPET</v>
      </c>
      <c r="AT212" t="str">
        <f t="shared" si="81"/>
        <v>122Superávit Desahorro FONPET7537378380,5</v>
      </c>
      <c r="AU212" t="str">
        <f>+_xlfn.XLOOKUP(AT212,CRUCE!J:J,CRUCE!M:M)</f>
        <v>READY</v>
      </c>
      <c r="AV212" t="s">
        <v>1907</v>
      </c>
      <c r="AW212" s="23">
        <f>+SUMIFS(CRUCE!D:D,CRUCE!A:A,'2022'!D212,CRUCE!B:B,'2022'!AS212)/COUNTIFS(D:D,D212,AS:AS,AS212)</f>
        <v>7537378380.5</v>
      </c>
      <c r="AX212" s="23">
        <f t="shared" si="82"/>
        <v>7537378380.5</v>
      </c>
      <c r="AY212" s="23">
        <f t="shared" si="83"/>
        <v>0</v>
      </c>
    </row>
    <row r="213" spans="1:51" x14ac:dyDescent="0.3">
      <c r="A213">
        <v>2022</v>
      </c>
      <c r="B213">
        <v>307</v>
      </c>
      <c r="C213">
        <v>12100200249</v>
      </c>
      <c r="D213" s="5">
        <v>129</v>
      </c>
      <c r="E213" s="8" t="s">
        <v>1189</v>
      </c>
      <c r="F213">
        <v>12100200249</v>
      </c>
      <c r="G213" s="8" t="s">
        <v>1190</v>
      </c>
      <c r="H213" t="s">
        <v>47</v>
      </c>
      <c r="I213" s="11">
        <v>0</v>
      </c>
      <c r="J213" s="11">
        <v>0</v>
      </c>
      <c r="K213" s="11">
        <v>241128725.83000001</v>
      </c>
      <c r="L213" s="11">
        <v>0</v>
      </c>
      <c r="M213" s="11">
        <v>241128725.83000001</v>
      </c>
      <c r="N213" s="11">
        <v>241128725.83000001</v>
      </c>
      <c r="O213" s="11">
        <v>0</v>
      </c>
      <c r="P213" s="11">
        <v>241128725.83000001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241128725.83000001</v>
      </c>
      <c r="X213" s="11">
        <v>0</v>
      </c>
      <c r="Y213" s="17">
        <v>241128725.83000001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241128725.83000001</v>
      </c>
      <c r="AG213" s="11">
        <v>0</v>
      </c>
      <c r="AH213" s="12">
        <v>241128725.83000001</v>
      </c>
      <c r="AI213" s="11">
        <v>241128725.83000001</v>
      </c>
      <c r="AJ213" s="11">
        <v>241128725.83000001</v>
      </c>
      <c r="AK213" s="11">
        <v>241128725.83000001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t="s">
        <v>527</v>
      </c>
      <c r="AS213" s="4" t="str">
        <f t="shared" si="84"/>
        <v>Superávit Impuesto al Registro Proyecta</v>
      </c>
      <c r="AT213" t="str">
        <f t="shared" si="81"/>
        <v>129Superávit Impuesto al Registro Proyecta241128725,83</v>
      </c>
      <c r="AU213" t="str">
        <f>+_xlfn.XLOOKUP(AT213,CRUCE!J:J,CRUCE!M:M)</f>
        <v>READY</v>
      </c>
      <c r="AV213" t="s">
        <v>1907</v>
      </c>
      <c r="AW213" s="23">
        <f>+SUMIFS(CRUCE!D:D,CRUCE!A:A,'2022'!D213,CRUCE!B:B,'2022'!AS213)/COUNTIFS(D:D,D213,AS:AS,AS213)</f>
        <v>241128725.83000001</v>
      </c>
      <c r="AX213" s="23">
        <f t="shared" si="82"/>
        <v>241128725.83000001</v>
      </c>
      <c r="AY213" s="23">
        <f t="shared" si="83"/>
        <v>0</v>
      </c>
    </row>
    <row r="214" spans="1:51" x14ac:dyDescent="0.3">
      <c r="A214">
        <v>2022</v>
      </c>
      <c r="B214">
        <v>307</v>
      </c>
      <c r="C214">
        <v>12100200251</v>
      </c>
      <c r="D214" s="5">
        <v>213</v>
      </c>
      <c r="E214" s="8" t="s">
        <v>1191</v>
      </c>
      <c r="F214">
        <v>12100200251</v>
      </c>
      <c r="G214" s="8" t="s">
        <v>1192</v>
      </c>
      <c r="H214" t="s">
        <v>47</v>
      </c>
      <c r="I214" s="11">
        <v>0</v>
      </c>
      <c r="J214" s="11">
        <v>0</v>
      </c>
      <c r="K214" s="11">
        <v>108238766.06</v>
      </c>
      <c r="L214" s="11">
        <v>0</v>
      </c>
      <c r="M214" s="11">
        <v>108238766.06</v>
      </c>
      <c r="N214" s="11">
        <v>108238766.06</v>
      </c>
      <c r="O214" s="11">
        <v>0</v>
      </c>
      <c r="P214" s="11">
        <v>108238766.06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108238766.06</v>
      </c>
      <c r="X214" s="11">
        <v>0</v>
      </c>
      <c r="Y214" s="17">
        <v>108238766.06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108238766.06</v>
      </c>
      <c r="AG214" s="11">
        <v>0</v>
      </c>
      <c r="AH214" s="12">
        <v>108238766.06</v>
      </c>
      <c r="AI214" s="11">
        <v>108238766.06</v>
      </c>
      <c r="AJ214" s="11">
        <v>108238766.06</v>
      </c>
      <c r="AK214" s="11">
        <v>108238766.06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t="s">
        <v>1193</v>
      </c>
      <c r="AS214" s="4" t="str">
        <f t="shared" si="84"/>
        <v>Superávit estampilla Procultura 10% Bibliotecas</v>
      </c>
      <c r="AT214" t="str">
        <f t="shared" si="81"/>
        <v>213Superávit estampilla Procultura 10% Bibliotecas108238766,06</v>
      </c>
      <c r="AU214" t="str">
        <f>+_xlfn.XLOOKUP(AT214,CRUCE!J:J,CRUCE!M:M)</f>
        <v>READY</v>
      </c>
      <c r="AV214" t="s">
        <v>1907</v>
      </c>
      <c r="AW214" s="23">
        <f>+SUMIFS(CRUCE!D:D,CRUCE!A:A,'2022'!D214,CRUCE!B:B,'2022'!AS214)/COUNTIFS(D:D,D214,AS:AS,AS214)</f>
        <v>108238766.06</v>
      </c>
      <c r="AX214" s="23">
        <f t="shared" si="82"/>
        <v>108238766.06</v>
      </c>
      <c r="AY214" s="23">
        <f t="shared" si="83"/>
        <v>0</v>
      </c>
    </row>
    <row r="215" spans="1:51" x14ac:dyDescent="0.3">
      <c r="A215">
        <v>2022</v>
      </c>
      <c r="B215">
        <v>307</v>
      </c>
      <c r="C215">
        <v>12100200252</v>
      </c>
      <c r="D215" s="5">
        <v>212</v>
      </c>
      <c r="E215" s="8" t="s">
        <v>1194</v>
      </c>
      <c r="F215">
        <v>12100200252</v>
      </c>
      <c r="G215" s="8" t="s">
        <v>1195</v>
      </c>
      <c r="H215" t="s">
        <v>47</v>
      </c>
      <c r="I215" s="11">
        <v>0</v>
      </c>
      <c r="J215" s="11">
        <v>0</v>
      </c>
      <c r="K215" s="11">
        <v>252294235.72999999</v>
      </c>
      <c r="L215" s="11">
        <v>0</v>
      </c>
      <c r="M215" s="11">
        <v>252294235.72999999</v>
      </c>
      <c r="N215" s="11">
        <v>252294235.72999999</v>
      </c>
      <c r="O215" s="11">
        <v>0</v>
      </c>
      <c r="P215" s="11">
        <v>252294235.72999999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252294235.72999999</v>
      </c>
      <c r="X215" s="11">
        <v>0</v>
      </c>
      <c r="Y215" s="17">
        <v>252294235.72999999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252294235.72999999</v>
      </c>
      <c r="AG215" s="11">
        <v>0</v>
      </c>
      <c r="AH215" s="12">
        <v>252294235.72999999</v>
      </c>
      <c r="AI215" s="11">
        <v>252294235.72999999</v>
      </c>
      <c r="AJ215" s="11">
        <v>252294235.72999999</v>
      </c>
      <c r="AK215" s="11">
        <v>252294235.72999999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t="s">
        <v>1196</v>
      </c>
      <c r="AS215" s="4" t="str">
        <f t="shared" si="84"/>
        <v>Superávit estampilla Procultura 10% Seguridad Social</v>
      </c>
      <c r="AT215" t="str">
        <f t="shared" si="81"/>
        <v>212Superávit estampilla Procultura 10% Seguridad Social252294235,73</v>
      </c>
      <c r="AU215" t="str">
        <f>+_xlfn.XLOOKUP(AT215,CRUCE!J:J,CRUCE!M:M)</f>
        <v>READY</v>
      </c>
      <c r="AV215" t="s">
        <v>1907</v>
      </c>
      <c r="AW215" s="23">
        <f>+SUMIFS(CRUCE!D:D,CRUCE!A:A,'2022'!D215,CRUCE!B:B,'2022'!AS215)/COUNTIFS(D:D,D215,AS:AS,AS215)</f>
        <v>252294235.72999999</v>
      </c>
      <c r="AX215" s="23">
        <f t="shared" si="82"/>
        <v>252294235.72999999</v>
      </c>
      <c r="AY215" s="23">
        <f t="shared" si="83"/>
        <v>0</v>
      </c>
    </row>
    <row r="216" spans="1:51" x14ac:dyDescent="0.3">
      <c r="A216">
        <v>2022</v>
      </c>
      <c r="B216">
        <v>307</v>
      </c>
      <c r="C216">
        <v>12100200253</v>
      </c>
      <c r="D216" s="5">
        <v>214</v>
      </c>
      <c r="E216" s="8" t="s">
        <v>1197</v>
      </c>
      <c r="F216">
        <v>12100200253</v>
      </c>
      <c r="G216" s="8" t="s">
        <v>1198</v>
      </c>
      <c r="H216" t="s">
        <v>47</v>
      </c>
      <c r="I216" s="11">
        <v>0</v>
      </c>
      <c r="J216" s="11">
        <v>0</v>
      </c>
      <c r="K216" s="11">
        <v>67688898.989999995</v>
      </c>
      <c r="L216" s="11">
        <v>0</v>
      </c>
      <c r="M216" s="11">
        <v>67688898.989999995</v>
      </c>
      <c r="N216" s="11">
        <v>67688898.989999995</v>
      </c>
      <c r="O216" s="11">
        <v>0</v>
      </c>
      <c r="P216" s="11">
        <v>67688898.989999995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67688898.989999995</v>
      </c>
      <c r="X216" s="11">
        <v>0</v>
      </c>
      <c r="Y216" s="17">
        <v>67688898.989999995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67688898.989999995</v>
      </c>
      <c r="AG216" s="11">
        <v>0</v>
      </c>
      <c r="AH216" s="12">
        <v>67688898.989999995</v>
      </c>
      <c r="AI216" s="11">
        <v>67688898.989999995</v>
      </c>
      <c r="AJ216" s="11">
        <v>67688898.989999995</v>
      </c>
      <c r="AK216" s="11">
        <v>67688898.989999995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t="s">
        <v>1199</v>
      </c>
      <c r="AS216" s="4" t="str">
        <f t="shared" si="84"/>
        <v>Superávit estampilla Procultura 50% Concertación</v>
      </c>
      <c r="AT216" t="str">
        <f t="shared" si="81"/>
        <v>214Superávit estampilla Procultura 50% Concertación67688898,99</v>
      </c>
      <c r="AU216" t="str">
        <f>+_xlfn.XLOOKUP(AT216,CRUCE!J:J,CRUCE!M:M)</f>
        <v>READY</v>
      </c>
      <c r="AV216" t="s">
        <v>1907</v>
      </c>
      <c r="AW216" s="23">
        <f>+SUMIFS(CRUCE!D:D,CRUCE!A:A,'2022'!D216,CRUCE!B:B,'2022'!AS216)/COUNTIFS(D:D,D216,AS:AS,AS216)</f>
        <v>67688898.989999995</v>
      </c>
      <c r="AX216" s="23">
        <f t="shared" si="82"/>
        <v>67688898.989999995</v>
      </c>
      <c r="AY216" s="23">
        <f t="shared" si="83"/>
        <v>0</v>
      </c>
    </row>
    <row r="217" spans="1:51" x14ac:dyDescent="0.3">
      <c r="A217">
        <v>2022</v>
      </c>
      <c r="B217">
        <v>307</v>
      </c>
      <c r="C217">
        <v>12100200254</v>
      </c>
      <c r="D217" s="5">
        <v>215</v>
      </c>
      <c r="E217" s="8" t="s">
        <v>1200</v>
      </c>
      <c r="F217">
        <v>12100200254</v>
      </c>
      <c r="G217" s="8" t="s">
        <v>1201</v>
      </c>
      <c r="H217" t="s">
        <v>47</v>
      </c>
      <c r="I217" s="11">
        <v>0</v>
      </c>
      <c r="J217" s="11">
        <v>0</v>
      </c>
      <c r="K217" s="11">
        <v>16044780.800000001</v>
      </c>
      <c r="L217" s="11">
        <v>0</v>
      </c>
      <c r="M217" s="11">
        <v>16044780.800000001</v>
      </c>
      <c r="N217" s="11">
        <v>16044780.800000001</v>
      </c>
      <c r="O217" s="11">
        <v>0</v>
      </c>
      <c r="P217" s="11">
        <v>16044780.800000001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16044780.800000001</v>
      </c>
      <c r="X217" s="11">
        <v>0</v>
      </c>
      <c r="Y217" s="17">
        <v>16044780.800000001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16044780.800000001</v>
      </c>
      <c r="AG217" s="11">
        <v>0</v>
      </c>
      <c r="AH217" s="12">
        <v>16044780.800000001</v>
      </c>
      <c r="AI217" s="11">
        <v>16044780.800000001</v>
      </c>
      <c r="AJ217" s="11">
        <v>16044780.800000001</v>
      </c>
      <c r="AK217" s="11">
        <v>16044780.800000001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t="s">
        <v>1202</v>
      </c>
      <c r="AS217" s="4" t="str">
        <f t="shared" si="84"/>
        <v>Superávit estampilla Procultura 10% Estimulos</v>
      </c>
      <c r="AT217" t="str">
        <f t="shared" si="81"/>
        <v>215Superávit estampilla Procultura 10% Estimulos16044780,8</v>
      </c>
      <c r="AU217" t="str">
        <f>+_xlfn.XLOOKUP(AT217,CRUCE!J:J,CRUCE!M:M)</f>
        <v>READY</v>
      </c>
      <c r="AV217" t="s">
        <v>1907</v>
      </c>
      <c r="AW217" s="23">
        <f>+SUMIFS(CRUCE!D:D,CRUCE!A:A,'2022'!D217,CRUCE!B:B,'2022'!AS217)/COUNTIFS(D:D,D217,AS:AS,AS217)</f>
        <v>16044780.800000001</v>
      </c>
      <c r="AX217" s="23">
        <f t="shared" si="82"/>
        <v>16044780.800000001</v>
      </c>
      <c r="AY217" s="23">
        <f t="shared" si="83"/>
        <v>0</v>
      </c>
    </row>
    <row r="218" spans="1:51" hidden="1" x14ac:dyDescent="0.3">
      <c r="A218">
        <v>2022</v>
      </c>
      <c r="B218">
        <v>307</v>
      </c>
      <c r="C218">
        <v>1212</v>
      </c>
      <c r="D218" s="5" t="s">
        <v>44</v>
      </c>
      <c r="E218" s="8" t="s">
        <v>539</v>
      </c>
      <c r="F218">
        <v>1212</v>
      </c>
      <c r="G218" s="8" t="s">
        <v>540</v>
      </c>
      <c r="H218" t="s">
        <v>47</v>
      </c>
      <c r="I218" s="11">
        <v>7263266657</v>
      </c>
      <c r="J218" s="11">
        <v>7263266657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7263266657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8257203322</v>
      </c>
      <c r="X218" s="11">
        <v>0</v>
      </c>
      <c r="Y218" s="17">
        <v>8257203322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8257203322</v>
      </c>
      <c r="AG218" s="11">
        <v>0</v>
      </c>
      <c r="AH218" s="12">
        <v>8257203322</v>
      </c>
      <c r="AI218" s="11">
        <v>8257203322</v>
      </c>
      <c r="AJ218" s="11">
        <v>0</v>
      </c>
      <c r="AK218" s="11">
        <v>0</v>
      </c>
      <c r="AL218" s="11">
        <v>8257203322</v>
      </c>
      <c r="AM218" s="11">
        <v>8257203322</v>
      </c>
      <c r="AN218" s="11">
        <v>0</v>
      </c>
      <c r="AO218" s="11">
        <v>8257203322</v>
      </c>
      <c r="AP218" s="11">
        <v>0</v>
      </c>
      <c r="AQ218" s="11">
        <v>0</v>
      </c>
      <c r="AR218" t="s">
        <v>48</v>
      </c>
      <c r="AS218"/>
      <c r="AW218"/>
      <c r="AX218"/>
      <c r="AY218"/>
    </row>
    <row r="219" spans="1:51" hidden="1" x14ac:dyDescent="0.3">
      <c r="A219">
        <v>2022</v>
      </c>
      <c r="B219">
        <v>307</v>
      </c>
      <c r="C219">
        <v>121201</v>
      </c>
      <c r="D219" s="5" t="s">
        <v>44</v>
      </c>
      <c r="E219" s="8" t="s">
        <v>541</v>
      </c>
      <c r="F219">
        <v>121201</v>
      </c>
      <c r="G219" s="8" t="s">
        <v>542</v>
      </c>
      <c r="H219" t="s">
        <v>47</v>
      </c>
      <c r="I219" s="11">
        <v>7263266657</v>
      </c>
      <c r="J219" s="11">
        <v>7263266657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7263266657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8257203322</v>
      </c>
      <c r="X219" s="11">
        <v>0</v>
      </c>
      <c r="Y219" s="17">
        <v>8257203322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8257203322</v>
      </c>
      <c r="AG219" s="11">
        <v>0</v>
      </c>
      <c r="AH219" s="12">
        <v>8257203322</v>
      </c>
      <c r="AI219" s="11">
        <v>8257203322</v>
      </c>
      <c r="AJ219" s="11">
        <v>0</v>
      </c>
      <c r="AK219" s="11">
        <v>0</v>
      </c>
      <c r="AL219" s="11">
        <v>8257203322</v>
      </c>
      <c r="AM219" s="11">
        <v>8257203322</v>
      </c>
      <c r="AN219" s="11">
        <v>0</v>
      </c>
      <c r="AO219" s="11">
        <v>8257203322</v>
      </c>
      <c r="AP219" s="11">
        <v>0</v>
      </c>
      <c r="AQ219" s="11">
        <v>0</v>
      </c>
      <c r="AR219" t="s">
        <v>48</v>
      </c>
      <c r="AS219"/>
      <c r="AW219"/>
      <c r="AX219"/>
      <c r="AY219"/>
    </row>
    <row r="220" spans="1:51" x14ac:dyDescent="0.3">
      <c r="A220">
        <v>2022</v>
      </c>
      <c r="B220">
        <v>307</v>
      </c>
      <c r="C220">
        <v>121201003</v>
      </c>
      <c r="D220" s="5">
        <v>135</v>
      </c>
      <c r="E220" s="8" t="s">
        <v>1203</v>
      </c>
      <c r="F220">
        <v>121201003</v>
      </c>
      <c r="G220" s="8" t="s">
        <v>544</v>
      </c>
      <c r="H220" t="s">
        <v>47</v>
      </c>
      <c r="I220" s="11">
        <v>7263266657</v>
      </c>
      <c r="J220" s="11">
        <v>7263266657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7263266657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8257203322</v>
      </c>
      <c r="X220" s="11">
        <v>0</v>
      </c>
      <c r="Y220" s="17">
        <v>8257203322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8257203322</v>
      </c>
      <c r="AG220" s="11">
        <v>0</v>
      </c>
      <c r="AH220" s="12">
        <v>8257203322</v>
      </c>
      <c r="AI220" s="11">
        <v>8257203322</v>
      </c>
      <c r="AJ220" s="11">
        <v>0</v>
      </c>
      <c r="AK220" s="11">
        <v>0</v>
      </c>
      <c r="AL220" s="11">
        <v>8257203322</v>
      </c>
      <c r="AM220" s="11">
        <v>8257203322</v>
      </c>
      <c r="AN220" s="11">
        <v>0</v>
      </c>
      <c r="AO220" s="11">
        <v>8257203322</v>
      </c>
      <c r="AP220" s="11">
        <v>0</v>
      </c>
      <c r="AQ220" s="11">
        <v>0</v>
      </c>
      <c r="AR220" t="s">
        <v>1140</v>
      </c>
      <c r="AS220" s="4" t="str">
        <f>+G220</f>
        <v>Para el pago del pasivo pensional corriente</v>
      </c>
      <c r="AT220" t="str">
        <f>+D220&amp;AS220&amp;Y220</f>
        <v>135Para el pago del pasivo pensional corriente8257203322</v>
      </c>
      <c r="AU220" t="str">
        <f>+_xlfn.XLOOKUP(AT220,CRUCE!J:J,CRUCE!M:M)</f>
        <v>READY</v>
      </c>
      <c r="AV220" t="s">
        <v>1907</v>
      </c>
      <c r="AW220" s="23">
        <f>+SUMIFS(CRUCE!D:D,CRUCE!A:A,'2022'!D220,CRUCE!B:B,'2022'!AS220)/COUNTIFS(D:D,D220,AS:AS,AS220)</f>
        <v>8257203322</v>
      </c>
      <c r="AX220" s="23">
        <f>+SUMIFS(Y:Y,D:D,D220,AS:AS,AS220)/COUNTIFS(D:D,D220,AS:AS,AS220)</f>
        <v>8257203322</v>
      </c>
      <c r="AY220" s="23">
        <f>+AW220-AX220</f>
        <v>0</v>
      </c>
    </row>
    <row r="221" spans="1:51" hidden="1" x14ac:dyDescent="0.3">
      <c r="A221">
        <v>2022</v>
      </c>
      <c r="B221">
        <v>307</v>
      </c>
      <c r="C221">
        <v>1213</v>
      </c>
      <c r="D221" s="5" t="s">
        <v>44</v>
      </c>
      <c r="E221" s="8" t="s">
        <v>545</v>
      </c>
      <c r="F221">
        <v>1213</v>
      </c>
      <c r="G221" s="8" t="s">
        <v>546</v>
      </c>
      <c r="H221" t="s">
        <v>47</v>
      </c>
      <c r="I221" s="11">
        <v>10000000</v>
      </c>
      <c r="J221" s="11">
        <v>10000000</v>
      </c>
      <c r="K221" s="11">
        <v>1479555993.5899999</v>
      </c>
      <c r="L221" s="11">
        <v>0</v>
      </c>
      <c r="M221" s="11">
        <v>1479555993.5899999</v>
      </c>
      <c r="N221" s="11">
        <v>1479555993.5899999</v>
      </c>
      <c r="O221" s="11">
        <v>0</v>
      </c>
      <c r="P221" s="11">
        <v>1489555993.5899999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3141708036.9699998</v>
      </c>
      <c r="X221" s="11">
        <v>1498909340.8900001</v>
      </c>
      <c r="Y221" s="17">
        <v>1642798696.0799999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3141708036.9699998</v>
      </c>
      <c r="AG221" s="11">
        <v>1498909340.8900001</v>
      </c>
      <c r="AH221" s="12">
        <v>1642798696.0799999</v>
      </c>
      <c r="AI221" s="11">
        <v>1642798696.0799999</v>
      </c>
      <c r="AJ221" s="11">
        <v>0</v>
      </c>
      <c r="AK221" s="11">
        <v>0</v>
      </c>
      <c r="AL221" s="11">
        <v>1642798696.0799999</v>
      </c>
      <c r="AM221" s="11">
        <v>1645562043.0799999</v>
      </c>
      <c r="AN221" s="11">
        <v>2763347</v>
      </c>
      <c r="AO221" s="11">
        <v>1645562043.0799999</v>
      </c>
      <c r="AP221" s="11">
        <v>0</v>
      </c>
      <c r="AQ221" s="11">
        <v>2763347</v>
      </c>
      <c r="AR221" t="s">
        <v>48</v>
      </c>
      <c r="AS221"/>
      <c r="AW221"/>
      <c r="AX221"/>
      <c r="AY221"/>
    </row>
    <row r="222" spans="1:51" x14ac:dyDescent="0.3">
      <c r="A222">
        <v>2022</v>
      </c>
      <c r="B222">
        <v>307</v>
      </c>
      <c r="C222">
        <v>121301</v>
      </c>
      <c r="D222" s="5">
        <v>6</v>
      </c>
      <c r="E222" s="8" t="s">
        <v>549</v>
      </c>
      <c r="F222">
        <v>121301</v>
      </c>
      <c r="G222" s="8" t="s">
        <v>459</v>
      </c>
      <c r="H222" t="s">
        <v>47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1496145993.8900001</v>
      </c>
      <c r="X222" s="11">
        <v>1496145993.8900001</v>
      </c>
      <c r="Y222" s="17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1496145993.8900001</v>
      </c>
      <c r="AG222" s="11">
        <v>1496145993.8900001</v>
      </c>
      <c r="AH222" s="12">
        <v>0</v>
      </c>
      <c r="AI222" s="11">
        <v>0</v>
      </c>
      <c r="AJ222" s="11">
        <v>-1496145993.8900001</v>
      </c>
      <c r="AK222" s="11">
        <v>-1496145993.8900001</v>
      </c>
      <c r="AL222" s="11">
        <v>1496145993.8900001</v>
      </c>
      <c r="AM222" s="11">
        <v>1496145993.8900001</v>
      </c>
      <c r="AN222" s="11">
        <v>0</v>
      </c>
      <c r="AO222" s="11">
        <v>1496145993.8900001</v>
      </c>
      <c r="AP222" s="11">
        <v>0</v>
      </c>
      <c r="AQ222" s="11">
        <v>0</v>
      </c>
      <c r="AR222" t="s">
        <v>120</v>
      </c>
      <c r="AS222" s="4" t="str">
        <f t="shared" ref="AS222:AS228" si="85">+G222</f>
        <v>Reintegros</v>
      </c>
      <c r="AT222" t="str">
        <f t="shared" ref="AT222:AT228" si="86">+D222&amp;AS222&amp;Y222</f>
        <v>6Reintegros0</v>
      </c>
      <c r="AU222" t="str">
        <f>+_xlfn.XLOOKUP(AT222,CRUCE!J:J,CRUCE!M:M)</f>
        <v>READY</v>
      </c>
      <c r="AV222" t="s">
        <v>1907</v>
      </c>
      <c r="AW222" s="23">
        <f>+SUMIFS(CRUCE!D:D,CRUCE!A:A,'2022'!D222,CRUCE!B:B,'2022'!AS222)/COUNTIFS(D:D,D222,AS:AS,AS222)</f>
        <v>0</v>
      </c>
      <c r="AX222" s="23">
        <f t="shared" ref="AX222:AX228" si="87">+SUMIFS(Y:Y,D:D,D222,AS:AS,AS222)/COUNTIFS(D:D,D222,AS:AS,AS222)</f>
        <v>0</v>
      </c>
      <c r="AY222" s="23">
        <f t="shared" ref="AY222:AY228" si="88">+AW222-AX222</f>
        <v>0</v>
      </c>
    </row>
    <row r="223" spans="1:51" x14ac:dyDescent="0.3">
      <c r="A223">
        <v>2022</v>
      </c>
      <c r="B223">
        <v>307</v>
      </c>
      <c r="C223">
        <v>121301</v>
      </c>
      <c r="D223" s="5">
        <v>135</v>
      </c>
      <c r="E223" s="8" t="s">
        <v>1204</v>
      </c>
      <c r="F223">
        <v>121301</v>
      </c>
      <c r="G223" s="8" t="s">
        <v>459</v>
      </c>
      <c r="H223" t="s">
        <v>47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7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2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t="s">
        <v>1140</v>
      </c>
      <c r="AS223" s="4" t="str">
        <f t="shared" si="85"/>
        <v>Reintegros</v>
      </c>
      <c r="AT223" t="str">
        <f t="shared" si="86"/>
        <v>135Reintegros0</v>
      </c>
      <c r="AU223" t="str">
        <f>+_xlfn.XLOOKUP(AT223,CRUCE!J:J,CRUCE!M:M)</f>
        <v>READY</v>
      </c>
      <c r="AV223" t="s">
        <v>1907</v>
      </c>
      <c r="AW223" s="23">
        <f>+SUMIFS(CRUCE!D:D,CRUCE!A:A,'2022'!D223,CRUCE!B:B,'2022'!AS223)/COUNTIFS(D:D,D223,AS:AS,AS223)</f>
        <v>0</v>
      </c>
      <c r="AX223" s="23">
        <f t="shared" si="87"/>
        <v>0</v>
      </c>
      <c r="AY223" s="23">
        <f t="shared" si="88"/>
        <v>0</v>
      </c>
    </row>
    <row r="224" spans="1:51" x14ac:dyDescent="0.3">
      <c r="A224">
        <v>2022</v>
      </c>
      <c r="B224">
        <v>307</v>
      </c>
      <c r="C224">
        <v>121301</v>
      </c>
      <c r="D224" s="5">
        <v>20</v>
      </c>
      <c r="E224" s="8" t="s">
        <v>552</v>
      </c>
      <c r="F224">
        <v>121301</v>
      </c>
      <c r="G224" s="8" t="s">
        <v>459</v>
      </c>
      <c r="H224" t="s">
        <v>47</v>
      </c>
      <c r="I224" s="11">
        <v>10000000</v>
      </c>
      <c r="J224" s="11">
        <v>10000000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10000000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103168804.84</v>
      </c>
      <c r="X224" s="11">
        <v>2763347</v>
      </c>
      <c r="Y224" s="17">
        <v>100405457.84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103168804.84</v>
      </c>
      <c r="AG224" s="11">
        <v>2763347</v>
      </c>
      <c r="AH224" s="12">
        <v>100405457.84</v>
      </c>
      <c r="AI224" s="11">
        <v>100405457.84</v>
      </c>
      <c r="AJ224" s="11">
        <v>0</v>
      </c>
      <c r="AK224" s="11">
        <v>0</v>
      </c>
      <c r="AL224" s="11">
        <v>100405457.84</v>
      </c>
      <c r="AM224" s="11">
        <v>103168804.84</v>
      </c>
      <c r="AN224" s="11">
        <v>2763347</v>
      </c>
      <c r="AO224" s="11">
        <v>103168804.84</v>
      </c>
      <c r="AP224" s="11">
        <v>0</v>
      </c>
      <c r="AQ224" s="11">
        <v>2763347</v>
      </c>
      <c r="AR224" t="s">
        <v>57</v>
      </c>
      <c r="AS224" s="4" t="str">
        <f t="shared" si="85"/>
        <v>Reintegros</v>
      </c>
      <c r="AT224" t="str">
        <f t="shared" si="86"/>
        <v>20Reintegros100405457,84</v>
      </c>
      <c r="AU224" t="str">
        <f>+_xlfn.XLOOKUP(AT224,CRUCE!J:J,CRUCE!M:M)</f>
        <v>READY</v>
      </c>
      <c r="AV224" t="s">
        <v>1907</v>
      </c>
      <c r="AW224" s="23">
        <f>+SUMIFS(CRUCE!D:D,CRUCE!A:A,'2022'!D224,CRUCE!B:B,'2022'!AS224)/COUNTIFS(D:D,D224,AS:AS,AS224)</f>
        <v>100405457.84</v>
      </c>
      <c r="AX224" s="23">
        <f t="shared" si="87"/>
        <v>100405457.84</v>
      </c>
      <c r="AY224" s="23">
        <f t="shared" si="88"/>
        <v>0</v>
      </c>
    </row>
    <row r="225" spans="1:51" x14ac:dyDescent="0.3">
      <c r="A225">
        <v>2022</v>
      </c>
      <c r="B225">
        <v>307</v>
      </c>
      <c r="C225">
        <v>121301</v>
      </c>
      <c r="D225" s="5">
        <v>202</v>
      </c>
      <c r="E225" s="8" t="s">
        <v>1205</v>
      </c>
      <c r="F225">
        <v>121301</v>
      </c>
      <c r="G225" s="8" t="s">
        <v>459</v>
      </c>
      <c r="H225" t="s">
        <v>47</v>
      </c>
      <c r="I225" s="11">
        <v>0</v>
      </c>
      <c r="J225" s="11">
        <v>0</v>
      </c>
      <c r="K225" s="11">
        <v>1479555993.5899999</v>
      </c>
      <c r="L225" s="11">
        <v>0</v>
      </c>
      <c r="M225" s="11">
        <v>1479555993.5899999</v>
      </c>
      <c r="N225" s="11">
        <v>1479555993.5899999</v>
      </c>
      <c r="O225" s="11">
        <v>0</v>
      </c>
      <c r="P225" s="11">
        <v>1479555993.5899999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1496145993.8900001</v>
      </c>
      <c r="X225" s="11">
        <v>0</v>
      </c>
      <c r="Y225" s="17">
        <v>1496145993.8900001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1496145993.8900001</v>
      </c>
      <c r="AG225" s="11">
        <v>0</v>
      </c>
      <c r="AH225" s="12">
        <v>1496145993.8900001</v>
      </c>
      <c r="AI225" s="11">
        <v>1496145993.8900001</v>
      </c>
      <c r="AJ225" s="11">
        <v>1496145993.8900001</v>
      </c>
      <c r="AK225" s="11">
        <v>1496145993.8900001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t="s">
        <v>467</v>
      </c>
      <c r="AS225" s="4" t="str">
        <f t="shared" si="85"/>
        <v>Reintegros</v>
      </c>
      <c r="AT225" t="str">
        <f t="shared" si="86"/>
        <v>202Reintegros1496145993,89</v>
      </c>
      <c r="AU225" t="str">
        <f>+_xlfn.XLOOKUP(AT225,CRUCE!J:J,CRUCE!M:M)</f>
        <v>READY</v>
      </c>
      <c r="AV225" t="s">
        <v>1907</v>
      </c>
      <c r="AW225" s="23">
        <f>+SUMIFS(CRUCE!D:D,CRUCE!A:A,'2022'!D225,CRUCE!B:B,'2022'!AS225)/COUNTIFS(D:D,D225,AS:AS,AS225)</f>
        <v>1496145993.8900001</v>
      </c>
      <c r="AX225" s="23">
        <f t="shared" si="87"/>
        <v>1496145993.8900001</v>
      </c>
      <c r="AY225" s="23">
        <f t="shared" si="88"/>
        <v>0</v>
      </c>
    </row>
    <row r="226" spans="1:51" x14ac:dyDescent="0.3">
      <c r="A226">
        <v>2022</v>
      </c>
      <c r="B226">
        <v>307</v>
      </c>
      <c r="C226">
        <v>121301</v>
      </c>
      <c r="D226" s="5">
        <v>84</v>
      </c>
      <c r="E226" s="8" t="s">
        <v>1206</v>
      </c>
      <c r="F226">
        <v>121301</v>
      </c>
      <c r="G226" s="8" t="s">
        <v>459</v>
      </c>
      <c r="H226" t="s">
        <v>47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7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2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t="s">
        <v>506</v>
      </c>
      <c r="AS226" s="4" t="str">
        <f t="shared" si="85"/>
        <v>Reintegros</v>
      </c>
      <c r="AT226" t="str">
        <f t="shared" si="86"/>
        <v>84Reintegros0</v>
      </c>
      <c r="AU226" t="str">
        <f>+_xlfn.XLOOKUP(AT226,CRUCE!J:J,CRUCE!M:M)</f>
        <v>READY</v>
      </c>
      <c r="AV226" t="s">
        <v>1907</v>
      </c>
      <c r="AW226" s="23">
        <f>+SUMIFS(CRUCE!D:D,CRUCE!A:A,'2022'!D226,CRUCE!B:B,'2022'!AS226)/COUNTIFS(D:D,D226,AS:AS,AS226)</f>
        <v>0</v>
      </c>
      <c r="AX226" s="23">
        <f t="shared" si="87"/>
        <v>0</v>
      </c>
      <c r="AY226" s="23">
        <f t="shared" si="88"/>
        <v>0</v>
      </c>
    </row>
    <row r="227" spans="1:51" x14ac:dyDescent="0.3">
      <c r="A227">
        <v>2022</v>
      </c>
      <c r="B227">
        <v>307</v>
      </c>
      <c r="C227">
        <v>121301</v>
      </c>
      <c r="D227" s="5">
        <v>88</v>
      </c>
      <c r="E227" s="8" t="s">
        <v>555</v>
      </c>
      <c r="F227">
        <v>121301</v>
      </c>
      <c r="G227" s="8" t="s">
        <v>459</v>
      </c>
      <c r="H227" t="s">
        <v>47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46247244.350000001</v>
      </c>
      <c r="X227" s="11">
        <v>0</v>
      </c>
      <c r="Y227" s="17">
        <v>46247244.350000001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46247244.350000001</v>
      </c>
      <c r="AG227" s="11">
        <v>0</v>
      </c>
      <c r="AH227" s="12">
        <v>46247244.350000001</v>
      </c>
      <c r="AI227" s="11">
        <v>46247244.350000001</v>
      </c>
      <c r="AJ227" s="11">
        <v>0</v>
      </c>
      <c r="AK227" s="11">
        <v>0</v>
      </c>
      <c r="AL227" s="11">
        <v>46247244.350000001</v>
      </c>
      <c r="AM227" s="11">
        <v>46247244.350000001</v>
      </c>
      <c r="AN227" s="11">
        <v>0</v>
      </c>
      <c r="AO227" s="11">
        <v>46247244.350000001</v>
      </c>
      <c r="AP227" s="11">
        <v>0</v>
      </c>
      <c r="AQ227" s="11">
        <v>0</v>
      </c>
      <c r="AR227" t="s">
        <v>471</v>
      </c>
      <c r="AS227" s="4" t="str">
        <f t="shared" si="85"/>
        <v>Reintegros</v>
      </c>
      <c r="AT227" t="str">
        <f t="shared" si="86"/>
        <v>88Reintegros46247244,35</v>
      </c>
      <c r="AU227" t="str">
        <f>+_xlfn.XLOOKUP(AT227,CRUCE!J:J,CRUCE!M:M)</f>
        <v>READY</v>
      </c>
      <c r="AV227" t="s">
        <v>1907</v>
      </c>
      <c r="AW227" s="23">
        <f>+SUMIFS(CRUCE!D:D,CRUCE!A:A,'2022'!D227,CRUCE!B:B,'2022'!AS227)/COUNTIFS(D:D,D227,AS:AS,AS227)</f>
        <v>46247244.350000001</v>
      </c>
      <c r="AX227" s="23">
        <f t="shared" si="87"/>
        <v>46247244.350000001</v>
      </c>
      <c r="AY227" s="23">
        <f t="shared" si="88"/>
        <v>0</v>
      </c>
    </row>
    <row r="228" spans="1:51" x14ac:dyDescent="0.3">
      <c r="A228">
        <v>2022</v>
      </c>
      <c r="B228">
        <v>307</v>
      </c>
      <c r="C228">
        <v>121302</v>
      </c>
      <c r="D228" s="5">
        <v>20</v>
      </c>
      <c r="E228" s="8" t="s">
        <v>1207</v>
      </c>
      <c r="F228">
        <v>121302</v>
      </c>
      <c r="G228" s="8" t="s">
        <v>1208</v>
      </c>
      <c r="H228" t="s">
        <v>47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7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2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t="s">
        <v>57</v>
      </c>
      <c r="AS228" s="4" t="str">
        <f t="shared" si="85"/>
        <v>Recursos no apropiados</v>
      </c>
      <c r="AT228" t="str">
        <f t="shared" si="86"/>
        <v>20Recursos no apropiados0</v>
      </c>
      <c r="AU228" t="str">
        <f>+_xlfn.XLOOKUP(AT228,CRUCE!J:J,CRUCE!M:M)</f>
        <v>READY</v>
      </c>
      <c r="AV228" t="s">
        <v>1907</v>
      </c>
      <c r="AW228" s="23">
        <f>+SUMIFS(CRUCE!D:D,CRUCE!A:A,'2022'!D228,CRUCE!B:B,'2022'!AS228)/COUNTIFS(D:D,D228,AS:AS,AS228)</f>
        <v>0</v>
      </c>
      <c r="AX228" s="23">
        <f t="shared" si="87"/>
        <v>0</v>
      </c>
      <c r="AY228" s="23">
        <f t="shared" si="88"/>
        <v>0</v>
      </c>
    </row>
    <row r="229" spans="1:51" hidden="1" x14ac:dyDescent="0.3">
      <c r="A229">
        <v>2022</v>
      </c>
      <c r="B229">
        <v>314</v>
      </c>
      <c r="C229">
        <v>1</v>
      </c>
      <c r="D229" s="5" t="s">
        <v>44</v>
      </c>
      <c r="E229" s="8" t="s">
        <v>557</v>
      </c>
      <c r="F229">
        <v>1</v>
      </c>
      <c r="G229" s="8" t="s">
        <v>46</v>
      </c>
      <c r="H229" t="s">
        <v>558</v>
      </c>
      <c r="I229" s="11">
        <v>190482000000</v>
      </c>
      <c r="J229" s="11">
        <v>190482000000</v>
      </c>
      <c r="K229" s="11">
        <v>5001374668.2200003</v>
      </c>
      <c r="L229" s="11">
        <v>15191182012.73</v>
      </c>
      <c r="M229" s="11">
        <v>-10189807344.51</v>
      </c>
      <c r="N229" s="11">
        <v>5001374668.2200003</v>
      </c>
      <c r="O229" s="11">
        <v>15191182012.73</v>
      </c>
      <c r="P229" s="11">
        <v>180292192655.48999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201555051099.26001</v>
      </c>
      <c r="X229" s="11">
        <v>21165786704.360001</v>
      </c>
      <c r="Y229" s="17">
        <v>180389264394.89999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201555051099.26001</v>
      </c>
      <c r="AG229" s="11">
        <v>21165786704.360001</v>
      </c>
      <c r="AH229" s="12">
        <v>180389264394.89999</v>
      </c>
      <c r="AI229" s="11">
        <v>180389264394.89999</v>
      </c>
      <c r="AJ229" s="11">
        <v>24470473214.98</v>
      </c>
      <c r="AK229" s="11">
        <v>24470473214.98</v>
      </c>
      <c r="AL229" s="11">
        <v>156116514082.07001</v>
      </c>
      <c r="AM229" s="11">
        <v>176468805110.54999</v>
      </c>
      <c r="AN229" s="11">
        <v>20352291028.48</v>
      </c>
      <c r="AO229" s="11">
        <v>176468805110.54999</v>
      </c>
      <c r="AP229" s="11">
        <v>0</v>
      </c>
      <c r="AQ229" s="11">
        <v>20352291028.48</v>
      </c>
      <c r="AR229" t="s">
        <v>48</v>
      </c>
      <c r="AS229"/>
      <c r="AW229"/>
      <c r="AX229"/>
      <c r="AY229"/>
    </row>
    <row r="230" spans="1:51" hidden="1" x14ac:dyDescent="0.3">
      <c r="A230">
        <v>2022</v>
      </c>
      <c r="B230">
        <v>314</v>
      </c>
      <c r="C230">
        <v>11</v>
      </c>
      <c r="D230" s="5" t="s">
        <v>44</v>
      </c>
      <c r="E230" s="8" t="s">
        <v>559</v>
      </c>
      <c r="F230">
        <v>11</v>
      </c>
      <c r="G230" s="8" t="s">
        <v>50</v>
      </c>
      <c r="H230" t="s">
        <v>558</v>
      </c>
      <c r="I230" s="11">
        <v>190387000000</v>
      </c>
      <c r="J230" s="11">
        <v>190387000000</v>
      </c>
      <c r="K230" s="11">
        <v>981465045</v>
      </c>
      <c r="L230" s="11">
        <v>15177806495</v>
      </c>
      <c r="M230" s="11">
        <v>-14196341450</v>
      </c>
      <c r="N230" s="11">
        <v>981465045</v>
      </c>
      <c r="O230" s="11">
        <v>15177806495</v>
      </c>
      <c r="P230" s="11">
        <v>176190658550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197119142740</v>
      </c>
      <c r="X230" s="11">
        <v>20928484190</v>
      </c>
      <c r="Y230" s="17">
        <v>176190658550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197119142740</v>
      </c>
      <c r="AG230" s="11">
        <v>20928484190</v>
      </c>
      <c r="AH230" s="12">
        <v>176190658550</v>
      </c>
      <c r="AI230" s="11">
        <v>176190658550</v>
      </c>
      <c r="AJ230" s="11">
        <v>20731219763</v>
      </c>
      <c r="AK230" s="11">
        <v>20731219763</v>
      </c>
      <c r="AL230" s="11">
        <v>155459438787</v>
      </c>
      <c r="AM230" s="11">
        <v>175775453853</v>
      </c>
      <c r="AN230" s="11">
        <v>20316015066</v>
      </c>
      <c r="AO230" s="11">
        <v>175775453853</v>
      </c>
      <c r="AP230" s="11">
        <v>0</v>
      </c>
      <c r="AQ230" s="11">
        <v>20316015066</v>
      </c>
      <c r="AR230" t="s">
        <v>48</v>
      </c>
      <c r="AS230"/>
      <c r="AW230"/>
      <c r="AX230"/>
      <c r="AY230"/>
    </row>
    <row r="231" spans="1:51" hidden="1" x14ac:dyDescent="0.3">
      <c r="A231">
        <v>2022</v>
      </c>
      <c r="B231">
        <v>314</v>
      </c>
      <c r="C231">
        <v>1102</v>
      </c>
      <c r="D231" s="5" t="s">
        <v>44</v>
      </c>
      <c r="E231" s="8" t="s">
        <v>560</v>
      </c>
      <c r="F231">
        <v>1102</v>
      </c>
      <c r="G231" s="8" t="s">
        <v>145</v>
      </c>
      <c r="H231" t="s">
        <v>558</v>
      </c>
      <c r="I231" s="11">
        <v>190387000000</v>
      </c>
      <c r="J231" s="11">
        <v>190387000000</v>
      </c>
      <c r="K231" s="11">
        <v>981465045</v>
      </c>
      <c r="L231" s="11">
        <v>15177806495</v>
      </c>
      <c r="M231" s="11">
        <v>-14196341450</v>
      </c>
      <c r="N231" s="11">
        <v>981465045</v>
      </c>
      <c r="O231" s="11">
        <v>15177806495</v>
      </c>
      <c r="P231" s="11">
        <v>176190658550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197119142740</v>
      </c>
      <c r="X231" s="11">
        <v>20928484190</v>
      </c>
      <c r="Y231" s="17">
        <v>176190658550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197119142740</v>
      </c>
      <c r="AG231" s="11">
        <v>20928484190</v>
      </c>
      <c r="AH231" s="12">
        <v>176190658550</v>
      </c>
      <c r="AI231" s="11">
        <v>176190658550</v>
      </c>
      <c r="AJ231" s="11">
        <v>20731219763</v>
      </c>
      <c r="AK231" s="11">
        <v>20731219763</v>
      </c>
      <c r="AL231" s="11">
        <v>155459438787</v>
      </c>
      <c r="AM231" s="11">
        <v>175775453853</v>
      </c>
      <c r="AN231" s="11">
        <v>20316015066</v>
      </c>
      <c r="AO231" s="11">
        <v>175775453853</v>
      </c>
      <c r="AP231" s="11">
        <v>0</v>
      </c>
      <c r="AQ231" s="11">
        <v>20316015066</v>
      </c>
      <c r="AR231" t="s">
        <v>48</v>
      </c>
      <c r="AS231"/>
      <c r="AW231"/>
      <c r="AX231"/>
      <c r="AY231"/>
    </row>
    <row r="232" spans="1:51" hidden="1" x14ac:dyDescent="0.3">
      <c r="A232">
        <v>2022</v>
      </c>
      <c r="B232">
        <v>314</v>
      </c>
      <c r="C232">
        <v>110206</v>
      </c>
      <c r="D232" s="5" t="s">
        <v>44</v>
      </c>
      <c r="E232" s="8" t="s">
        <v>561</v>
      </c>
      <c r="F232">
        <v>110206</v>
      </c>
      <c r="G232" s="8" t="s">
        <v>242</v>
      </c>
      <c r="H232" t="s">
        <v>558</v>
      </c>
      <c r="I232" s="11">
        <v>190387000000</v>
      </c>
      <c r="J232" s="11">
        <v>190387000000</v>
      </c>
      <c r="K232" s="11">
        <v>981465045</v>
      </c>
      <c r="L232" s="11">
        <v>15177806495</v>
      </c>
      <c r="M232" s="11">
        <v>-14196341450</v>
      </c>
      <c r="N232" s="11">
        <v>981465045</v>
      </c>
      <c r="O232" s="11">
        <v>15177806495</v>
      </c>
      <c r="P232" s="11">
        <v>176190658550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197119142740</v>
      </c>
      <c r="X232" s="11">
        <v>20928484190</v>
      </c>
      <c r="Y232" s="17">
        <v>176190658550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197119142740</v>
      </c>
      <c r="AG232" s="11">
        <v>20928484190</v>
      </c>
      <c r="AH232" s="12">
        <v>176190658550</v>
      </c>
      <c r="AI232" s="11">
        <v>176190658550</v>
      </c>
      <c r="AJ232" s="11">
        <v>20731219763</v>
      </c>
      <c r="AK232" s="11">
        <v>20731219763</v>
      </c>
      <c r="AL232" s="11">
        <v>155459438787</v>
      </c>
      <c r="AM232" s="11">
        <v>175775453853</v>
      </c>
      <c r="AN232" s="11">
        <v>20316015066</v>
      </c>
      <c r="AO232" s="11">
        <v>175775453853</v>
      </c>
      <c r="AP232" s="11">
        <v>0</v>
      </c>
      <c r="AQ232" s="11">
        <v>20316015066</v>
      </c>
      <c r="AR232" t="s">
        <v>48</v>
      </c>
      <c r="AS232"/>
      <c r="AW232"/>
      <c r="AX232"/>
      <c r="AY232"/>
    </row>
    <row r="233" spans="1:51" hidden="1" x14ac:dyDescent="0.3">
      <c r="A233">
        <v>2022</v>
      </c>
      <c r="B233">
        <v>314</v>
      </c>
      <c r="C233">
        <v>110206001</v>
      </c>
      <c r="D233" s="5" t="s">
        <v>44</v>
      </c>
      <c r="E233" s="8" t="s">
        <v>562</v>
      </c>
      <c r="F233">
        <v>110206001</v>
      </c>
      <c r="G233" s="8" t="s">
        <v>244</v>
      </c>
      <c r="H233" t="s">
        <v>558</v>
      </c>
      <c r="I233" s="11">
        <v>179387000000</v>
      </c>
      <c r="J233" s="11">
        <v>179387000000</v>
      </c>
      <c r="K233" s="11">
        <v>615778490</v>
      </c>
      <c r="L233" s="11">
        <v>13145281262</v>
      </c>
      <c r="M233" s="11">
        <v>-12529502772</v>
      </c>
      <c r="N233" s="11">
        <v>615778490</v>
      </c>
      <c r="O233" s="11">
        <v>13145281262</v>
      </c>
      <c r="P233" s="11">
        <v>166857497228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187785981418</v>
      </c>
      <c r="X233" s="11">
        <v>20928484190</v>
      </c>
      <c r="Y233" s="17">
        <v>166857497228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187785981418</v>
      </c>
      <c r="AG233" s="11">
        <v>20928484190</v>
      </c>
      <c r="AH233" s="12">
        <v>166857497228</v>
      </c>
      <c r="AI233" s="11">
        <v>166857497228</v>
      </c>
      <c r="AJ233" s="11">
        <v>20731219763</v>
      </c>
      <c r="AK233" s="11">
        <v>20731219763</v>
      </c>
      <c r="AL233" s="11">
        <v>146126277465</v>
      </c>
      <c r="AM233" s="11">
        <v>166442292531</v>
      </c>
      <c r="AN233" s="11">
        <v>20316015066</v>
      </c>
      <c r="AO233" s="11">
        <v>166442292531</v>
      </c>
      <c r="AP233" s="11">
        <v>0</v>
      </c>
      <c r="AQ233" s="11">
        <v>20316015066</v>
      </c>
      <c r="AR233" t="s">
        <v>48</v>
      </c>
      <c r="AS233"/>
      <c r="AW233"/>
      <c r="AX233"/>
      <c r="AY233"/>
    </row>
    <row r="234" spans="1:51" hidden="1" x14ac:dyDescent="0.3">
      <c r="A234">
        <v>2022</v>
      </c>
      <c r="B234">
        <v>314</v>
      </c>
      <c r="C234">
        <v>11020600101</v>
      </c>
      <c r="D234" s="5" t="s">
        <v>44</v>
      </c>
      <c r="E234" s="8" t="s">
        <v>563</v>
      </c>
      <c r="F234">
        <v>11020600101</v>
      </c>
      <c r="G234" s="8" t="s">
        <v>564</v>
      </c>
      <c r="H234" t="s">
        <v>558</v>
      </c>
      <c r="I234" s="11">
        <v>179387000000</v>
      </c>
      <c r="J234" s="11">
        <v>179387000000</v>
      </c>
      <c r="K234" s="11">
        <v>615778490</v>
      </c>
      <c r="L234" s="11">
        <v>13145281262</v>
      </c>
      <c r="M234" s="11">
        <v>-12529502772</v>
      </c>
      <c r="N234" s="11">
        <v>615778490</v>
      </c>
      <c r="O234" s="11">
        <v>13145281262</v>
      </c>
      <c r="P234" s="11">
        <v>166857497228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187785981418</v>
      </c>
      <c r="X234" s="11">
        <v>20928484190</v>
      </c>
      <c r="Y234" s="17">
        <v>166857497228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187785981418</v>
      </c>
      <c r="AG234" s="11">
        <v>20928484190</v>
      </c>
      <c r="AH234" s="12">
        <v>166857497228</v>
      </c>
      <c r="AI234" s="11">
        <v>166857497228</v>
      </c>
      <c r="AJ234" s="11">
        <v>20731219763</v>
      </c>
      <c r="AK234" s="11">
        <v>20731219763</v>
      </c>
      <c r="AL234" s="11">
        <v>146126277465</v>
      </c>
      <c r="AM234" s="11">
        <v>166442292531</v>
      </c>
      <c r="AN234" s="11">
        <v>20316015066</v>
      </c>
      <c r="AO234" s="11">
        <v>166442292531</v>
      </c>
      <c r="AP234" s="11">
        <v>0</v>
      </c>
      <c r="AQ234" s="11">
        <v>20316015066</v>
      </c>
      <c r="AR234" t="s">
        <v>48</v>
      </c>
      <c r="AS234"/>
      <c r="AW234"/>
      <c r="AX234"/>
      <c r="AY234"/>
    </row>
    <row r="235" spans="1:51" x14ac:dyDescent="0.3">
      <c r="A235">
        <v>2022</v>
      </c>
      <c r="B235">
        <v>314</v>
      </c>
      <c r="C235">
        <v>1102060010101</v>
      </c>
      <c r="D235" s="5">
        <v>25</v>
      </c>
      <c r="E235" s="8" t="s">
        <v>565</v>
      </c>
      <c r="F235">
        <v>1102060010101</v>
      </c>
      <c r="G235" s="8" t="s">
        <v>566</v>
      </c>
      <c r="H235" t="s">
        <v>558</v>
      </c>
      <c r="I235" s="11">
        <v>150387000000</v>
      </c>
      <c r="J235" s="11">
        <v>150387000000</v>
      </c>
      <c r="K235" s="11">
        <v>615778490</v>
      </c>
      <c r="L235" s="11">
        <v>4876501025</v>
      </c>
      <c r="M235" s="11">
        <v>-4260722535</v>
      </c>
      <c r="N235" s="11">
        <v>615778490</v>
      </c>
      <c r="O235" s="11">
        <v>4876501025</v>
      </c>
      <c r="P235" s="11">
        <v>146126277465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166442292531</v>
      </c>
      <c r="X235" s="11">
        <v>20316015066</v>
      </c>
      <c r="Y235" s="17">
        <v>146126277465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166442292531</v>
      </c>
      <c r="AG235" s="11">
        <v>20316015066</v>
      </c>
      <c r="AH235" s="12">
        <v>146126277465</v>
      </c>
      <c r="AI235" s="11">
        <v>146126277465</v>
      </c>
      <c r="AJ235" s="11">
        <v>0</v>
      </c>
      <c r="AK235" s="11">
        <v>0</v>
      </c>
      <c r="AL235" s="11">
        <v>146126277465</v>
      </c>
      <c r="AM235" s="11">
        <v>166442292531</v>
      </c>
      <c r="AN235" s="11">
        <v>20316015066</v>
      </c>
      <c r="AO235" s="11">
        <v>166442292531</v>
      </c>
      <c r="AP235" s="11">
        <v>0</v>
      </c>
      <c r="AQ235" s="11">
        <v>20316015066</v>
      </c>
      <c r="AR235" t="s">
        <v>567</v>
      </c>
      <c r="AS235" s="4" t="str">
        <f t="shared" ref="AS235:AS236" si="89">+G235</f>
        <v>Prestación de servicio educativo</v>
      </c>
      <c r="AT235" t="str">
        <f t="shared" ref="AT235:AT236" si="90">+D235&amp;AS235&amp;Y235</f>
        <v>25Prestación de servicio educativo146126277465</v>
      </c>
      <c r="AU235" t="str">
        <f>+_xlfn.XLOOKUP(AT235,CRUCE!J:J,CRUCE!M:M)</f>
        <v>READY</v>
      </c>
      <c r="AV235" t="s">
        <v>1907</v>
      </c>
      <c r="AW235" s="23">
        <f>+SUMIFS(CRUCE!D:D,CRUCE!A:A,'2022'!D235,CRUCE!B:B,'2022'!AS235)/COUNTIFS(D:D,D235,AS:AS,AS235)</f>
        <v>146126277465</v>
      </c>
      <c r="AX235" s="23">
        <f t="shared" ref="AX235:AX236" si="91">+SUMIFS(Y:Y,D:D,D235,AS:AS,AS235)/COUNTIFS(D:D,D235,AS:AS,AS235)</f>
        <v>146126277465</v>
      </c>
      <c r="AY235" s="23">
        <f t="shared" ref="AY235:AY236" si="92">+AW235-AX235</f>
        <v>0</v>
      </c>
    </row>
    <row r="236" spans="1:51" x14ac:dyDescent="0.3">
      <c r="A236">
        <v>2022</v>
      </c>
      <c r="B236">
        <v>314</v>
      </c>
      <c r="C236">
        <v>1102060010101</v>
      </c>
      <c r="D236" s="5">
        <v>26</v>
      </c>
      <c r="E236" s="8" t="s">
        <v>568</v>
      </c>
      <c r="F236">
        <v>1102060010101</v>
      </c>
      <c r="G236" s="8" t="s">
        <v>566</v>
      </c>
      <c r="H236" t="s">
        <v>558</v>
      </c>
      <c r="I236" s="11">
        <v>29000000000</v>
      </c>
      <c r="J236" s="11">
        <v>29000000000</v>
      </c>
      <c r="K236" s="11">
        <v>0</v>
      </c>
      <c r="L236" s="11">
        <v>8268780237</v>
      </c>
      <c r="M236" s="11">
        <v>-8268780237</v>
      </c>
      <c r="N236" s="11">
        <v>0</v>
      </c>
      <c r="O236" s="11">
        <v>8268780237</v>
      </c>
      <c r="P236" s="11">
        <v>20731219763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21343688887</v>
      </c>
      <c r="X236" s="11">
        <v>612469124</v>
      </c>
      <c r="Y236" s="17">
        <v>20731219763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21343688887</v>
      </c>
      <c r="AG236" s="11">
        <v>612469124</v>
      </c>
      <c r="AH236" s="12">
        <v>20731219763</v>
      </c>
      <c r="AI236" s="11">
        <v>20731219763</v>
      </c>
      <c r="AJ236" s="11">
        <v>20731219763</v>
      </c>
      <c r="AK236" s="11">
        <v>20731219763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t="s">
        <v>569</v>
      </c>
      <c r="AS236" s="4" t="str">
        <f t="shared" si="89"/>
        <v>Prestación de servicio educativo</v>
      </c>
      <c r="AT236" t="str">
        <f t="shared" si="90"/>
        <v>26Prestación de servicio educativo20731219763</v>
      </c>
      <c r="AU236" t="str">
        <f>+_xlfn.XLOOKUP(AT236,CRUCE!J:J,CRUCE!M:M)</f>
        <v>READY</v>
      </c>
      <c r="AV236" t="s">
        <v>1907</v>
      </c>
      <c r="AW236" s="23">
        <f>+SUMIFS(CRUCE!D:D,CRUCE!A:A,'2022'!D236,CRUCE!B:B,'2022'!AS236)/COUNTIFS(D:D,D236,AS:AS,AS236)</f>
        <v>20731219763</v>
      </c>
      <c r="AX236" s="23">
        <f t="shared" si="91"/>
        <v>20731219763</v>
      </c>
      <c r="AY236" s="23">
        <f t="shared" si="92"/>
        <v>0</v>
      </c>
    </row>
    <row r="237" spans="1:51" hidden="1" x14ac:dyDescent="0.3">
      <c r="A237">
        <v>2022</v>
      </c>
      <c r="B237">
        <v>314</v>
      </c>
      <c r="C237">
        <v>110206006</v>
      </c>
      <c r="D237" s="5" t="s">
        <v>44</v>
      </c>
      <c r="E237" s="8" t="s">
        <v>570</v>
      </c>
      <c r="F237">
        <v>110206006</v>
      </c>
      <c r="G237" s="8" t="s">
        <v>267</v>
      </c>
      <c r="H237" t="s">
        <v>558</v>
      </c>
      <c r="I237" s="11">
        <v>11000000000</v>
      </c>
      <c r="J237" s="11">
        <v>11000000000</v>
      </c>
      <c r="K237" s="11">
        <v>365686555</v>
      </c>
      <c r="L237" s="11">
        <v>2032525233</v>
      </c>
      <c r="M237" s="11">
        <v>-1666838678</v>
      </c>
      <c r="N237" s="11">
        <v>365686555</v>
      </c>
      <c r="O237" s="11">
        <v>2032525233</v>
      </c>
      <c r="P237" s="11">
        <v>9333161322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9333161322</v>
      </c>
      <c r="X237" s="11">
        <v>0</v>
      </c>
      <c r="Y237" s="17">
        <v>9333161322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9333161322</v>
      </c>
      <c r="AG237" s="11">
        <v>0</v>
      </c>
      <c r="AH237" s="12">
        <v>9333161322</v>
      </c>
      <c r="AI237" s="11">
        <v>9333161322</v>
      </c>
      <c r="AJ237" s="11">
        <v>0</v>
      </c>
      <c r="AK237" s="11">
        <v>0</v>
      </c>
      <c r="AL237" s="11">
        <v>9333161322</v>
      </c>
      <c r="AM237" s="11">
        <v>9333161322</v>
      </c>
      <c r="AN237" s="11">
        <v>0</v>
      </c>
      <c r="AO237" s="11">
        <v>9333161322</v>
      </c>
      <c r="AP237" s="11">
        <v>0</v>
      </c>
      <c r="AQ237" s="11">
        <v>0</v>
      </c>
      <c r="AR237" t="s">
        <v>48</v>
      </c>
      <c r="AS237"/>
      <c r="AW237"/>
      <c r="AX237"/>
      <c r="AY237"/>
    </row>
    <row r="238" spans="1:51" hidden="1" x14ac:dyDescent="0.3">
      <c r="A238">
        <v>2022</v>
      </c>
      <c r="B238">
        <v>314</v>
      </c>
      <c r="C238">
        <v>11020600606</v>
      </c>
      <c r="D238" s="5" t="s">
        <v>44</v>
      </c>
      <c r="E238" s="8" t="s">
        <v>571</v>
      </c>
      <c r="F238">
        <v>11020600606</v>
      </c>
      <c r="G238" s="8" t="s">
        <v>269</v>
      </c>
      <c r="H238" t="s">
        <v>558</v>
      </c>
      <c r="I238" s="11">
        <v>11000000000</v>
      </c>
      <c r="J238" s="11">
        <v>11000000000</v>
      </c>
      <c r="K238" s="11">
        <v>365686555</v>
      </c>
      <c r="L238" s="11">
        <v>2032525233</v>
      </c>
      <c r="M238" s="11">
        <v>-1666838678</v>
      </c>
      <c r="N238" s="11">
        <v>365686555</v>
      </c>
      <c r="O238" s="11">
        <v>2032525233</v>
      </c>
      <c r="P238" s="11">
        <v>9333161322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9333161322</v>
      </c>
      <c r="X238" s="11">
        <v>0</v>
      </c>
      <c r="Y238" s="17">
        <v>9333161322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v>9333161322</v>
      </c>
      <c r="AG238" s="11">
        <v>0</v>
      </c>
      <c r="AH238" s="12">
        <v>9333161322</v>
      </c>
      <c r="AI238" s="11">
        <v>9333161322</v>
      </c>
      <c r="AJ238" s="11">
        <v>0</v>
      </c>
      <c r="AK238" s="11">
        <v>0</v>
      </c>
      <c r="AL238" s="11">
        <v>9333161322</v>
      </c>
      <c r="AM238" s="11">
        <v>9333161322</v>
      </c>
      <c r="AN238" s="11">
        <v>0</v>
      </c>
      <c r="AO238" s="11">
        <v>9333161322</v>
      </c>
      <c r="AP238" s="11">
        <v>0</v>
      </c>
      <c r="AQ238" s="11">
        <v>0</v>
      </c>
      <c r="AR238" t="s">
        <v>48</v>
      </c>
      <c r="AS238"/>
      <c r="AW238"/>
      <c r="AX238"/>
      <c r="AY238"/>
    </row>
    <row r="239" spans="1:51" hidden="1" x14ac:dyDescent="0.3">
      <c r="A239">
        <v>2022</v>
      </c>
      <c r="B239">
        <v>314</v>
      </c>
      <c r="C239">
        <v>1102060060600</v>
      </c>
      <c r="D239" s="5" t="s">
        <v>44</v>
      </c>
      <c r="E239" s="8" t="s">
        <v>572</v>
      </c>
      <c r="F239">
        <v>1102060060600</v>
      </c>
      <c r="G239" s="8" t="s">
        <v>269</v>
      </c>
      <c r="H239" t="s">
        <v>558</v>
      </c>
      <c r="I239" s="11">
        <v>11000000000</v>
      </c>
      <c r="J239" s="11">
        <v>11000000000</v>
      </c>
      <c r="K239" s="11">
        <v>365686555</v>
      </c>
      <c r="L239" s="11">
        <v>2032525233</v>
      </c>
      <c r="M239" s="11">
        <v>-1666838678</v>
      </c>
      <c r="N239" s="11">
        <v>365686555</v>
      </c>
      <c r="O239" s="11">
        <v>2032525233</v>
      </c>
      <c r="P239" s="11">
        <v>9333161322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9333161322</v>
      </c>
      <c r="X239" s="11">
        <v>0</v>
      </c>
      <c r="Y239" s="17">
        <v>9333161322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9333161322</v>
      </c>
      <c r="AG239" s="11">
        <v>0</v>
      </c>
      <c r="AH239" s="12">
        <v>9333161322</v>
      </c>
      <c r="AI239" s="11">
        <v>9333161322</v>
      </c>
      <c r="AJ239" s="11">
        <v>0</v>
      </c>
      <c r="AK239" s="11">
        <v>0</v>
      </c>
      <c r="AL239" s="11">
        <v>9333161322</v>
      </c>
      <c r="AM239" s="11">
        <v>9333161322</v>
      </c>
      <c r="AN239" s="11">
        <v>0</v>
      </c>
      <c r="AO239" s="11">
        <v>9333161322</v>
      </c>
      <c r="AP239" s="11">
        <v>0</v>
      </c>
      <c r="AQ239" s="11">
        <v>0</v>
      </c>
      <c r="AR239" t="s">
        <v>48</v>
      </c>
      <c r="AS239"/>
      <c r="AW239"/>
      <c r="AX239"/>
      <c r="AY239"/>
    </row>
    <row r="240" spans="1:51" hidden="1" x14ac:dyDescent="0.3">
      <c r="A240">
        <v>2022</v>
      </c>
      <c r="B240">
        <v>314</v>
      </c>
      <c r="C240">
        <v>110206006060000</v>
      </c>
      <c r="D240" s="5" t="s">
        <v>44</v>
      </c>
      <c r="E240" s="8" t="s">
        <v>573</v>
      </c>
      <c r="F240">
        <v>110206006060000</v>
      </c>
      <c r="G240" s="8" t="s">
        <v>269</v>
      </c>
      <c r="H240" t="s">
        <v>558</v>
      </c>
      <c r="I240" s="11">
        <v>11000000000</v>
      </c>
      <c r="J240" s="11">
        <v>11000000000</v>
      </c>
      <c r="K240" s="11">
        <v>365686555</v>
      </c>
      <c r="L240" s="11">
        <v>2032525233</v>
      </c>
      <c r="M240" s="11">
        <v>-1666838678</v>
      </c>
      <c r="N240" s="11">
        <v>365686555</v>
      </c>
      <c r="O240" s="11">
        <v>2032525233</v>
      </c>
      <c r="P240" s="11">
        <v>9333161322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9333161322</v>
      </c>
      <c r="X240" s="11">
        <v>0</v>
      </c>
      <c r="Y240" s="17">
        <v>9333161322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9333161322</v>
      </c>
      <c r="AG240" s="11">
        <v>0</v>
      </c>
      <c r="AH240" s="12">
        <v>9333161322</v>
      </c>
      <c r="AI240" s="11">
        <v>9333161322</v>
      </c>
      <c r="AJ240" s="11">
        <v>0</v>
      </c>
      <c r="AK240" s="11">
        <v>0</v>
      </c>
      <c r="AL240" s="11">
        <v>9333161322</v>
      </c>
      <c r="AM240" s="11">
        <v>9333161322</v>
      </c>
      <c r="AN240" s="11">
        <v>0</v>
      </c>
      <c r="AO240" s="11">
        <v>9333161322</v>
      </c>
      <c r="AP240" s="11">
        <v>0</v>
      </c>
      <c r="AQ240" s="11">
        <v>0</v>
      </c>
      <c r="AR240" t="s">
        <v>48</v>
      </c>
      <c r="AS240"/>
      <c r="AW240"/>
      <c r="AX240"/>
      <c r="AY240"/>
    </row>
    <row r="241" spans="1:51" hidden="1" x14ac:dyDescent="0.3">
      <c r="A241">
        <v>2022</v>
      </c>
      <c r="B241">
        <v>314</v>
      </c>
      <c r="C241">
        <v>1.1020600606E+17</v>
      </c>
      <c r="D241" s="5" t="s">
        <v>44</v>
      </c>
      <c r="E241" s="8" t="s">
        <v>1209</v>
      </c>
      <c r="F241">
        <v>1.1020600606E+17</v>
      </c>
      <c r="G241" s="8" t="s">
        <v>269</v>
      </c>
      <c r="H241" t="s">
        <v>558</v>
      </c>
      <c r="I241" s="11">
        <v>11000000000</v>
      </c>
      <c r="J241" s="11">
        <v>11000000000</v>
      </c>
      <c r="K241" s="11">
        <v>365686555</v>
      </c>
      <c r="L241" s="11">
        <v>2032525233</v>
      </c>
      <c r="M241" s="11">
        <v>-1666838678</v>
      </c>
      <c r="N241" s="11">
        <v>365686555</v>
      </c>
      <c r="O241" s="11">
        <v>2032525233</v>
      </c>
      <c r="P241" s="11">
        <v>9333161322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9333161322</v>
      </c>
      <c r="X241" s="11">
        <v>0</v>
      </c>
      <c r="Y241" s="17">
        <v>9333161322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9333161322</v>
      </c>
      <c r="AG241" s="11">
        <v>0</v>
      </c>
      <c r="AH241" s="12">
        <v>9333161322</v>
      </c>
      <c r="AI241" s="11">
        <v>9333161322</v>
      </c>
      <c r="AJ241" s="11">
        <v>0</v>
      </c>
      <c r="AK241" s="11">
        <v>0</v>
      </c>
      <c r="AL241" s="11">
        <v>9333161322</v>
      </c>
      <c r="AM241" s="11">
        <v>9333161322</v>
      </c>
      <c r="AN241" s="11">
        <v>0</v>
      </c>
      <c r="AO241" s="11">
        <v>9333161322</v>
      </c>
      <c r="AP241" s="11">
        <v>0</v>
      </c>
      <c r="AQ241" s="11">
        <v>0</v>
      </c>
      <c r="AR241" t="s">
        <v>48</v>
      </c>
      <c r="AS241"/>
      <c r="AW241"/>
      <c r="AX241"/>
      <c r="AY241"/>
    </row>
    <row r="242" spans="1:51" hidden="1" x14ac:dyDescent="0.3">
      <c r="A242">
        <v>2022</v>
      </c>
      <c r="B242">
        <v>314</v>
      </c>
      <c r="C242">
        <v>1.1020600606E+20</v>
      </c>
      <c r="D242" s="5" t="s">
        <v>44</v>
      </c>
      <c r="E242" s="8" t="s">
        <v>1210</v>
      </c>
      <c r="F242">
        <v>1.1020600606E+20</v>
      </c>
      <c r="G242" s="8" t="s">
        <v>269</v>
      </c>
      <c r="H242" t="s">
        <v>558</v>
      </c>
      <c r="I242" s="11">
        <v>11000000000</v>
      </c>
      <c r="J242" s="11">
        <v>11000000000</v>
      </c>
      <c r="K242" s="11">
        <v>365686555</v>
      </c>
      <c r="L242" s="11">
        <v>2032525233</v>
      </c>
      <c r="M242" s="11">
        <v>-1666838678</v>
      </c>
      <c r="N242" s="11">
        <v>365686555</v>
      </c>
      <c r="O242" s="11">
        <v>2032525233</v>
      </c>
      <c r="P242" s="11">
        <v>9333161322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9333161322</v>
      </c>
      <c r="X242" s="11">
        <v>0</v>
      </c>
      <c r="Y242" s="17">
        <v>9333161322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9333161322</v>
      </c>
      <c r="AG242" s="11">
        <v>0</v>
      </c>
      <c r="AH242" s="12">
        <v>9333161322</v>
      </c>
      <c r="AI242" s="11">
        <v>9333161322</v>
      </c>
      <c r="AJ242" s="11">
        <v>0</v>
      </c>
      <c r="AK242" s="11">
        <v>0</v>
      </c>
      <c r="AL242" s="11">
        <v>9333161322</v>
      </c>
      <c r="AM242" s="11">
        <v>9333161322</v>
      </c>
      <c r="AN242" s="11">
        <v>0</v>
      </c>
      <c r="AO242" s="11">
        <v>9333161322</v>
      </c>
      <c r="AP242" s="11">
        <v>0</v>
      </c>
      <c r="AQ242" s="11">
        <v>0</v>
      </c>
      <c r="AR242" t="s">
        <v>48</v>
      </c>
      <c r="AS242"/>
      <c r="AW242"/>
      <c r="AX242"/>
      <c r="AY242"/>
    </row>
    <row r="243" spans="1:51" x14ac:dyDescent="0.3">
      <c r="A243">
        <v>2022</v>
      </c>
      <c r="B243">
        <v>314</v>
      </c>
      <c r="C243">
        <v>1.1020600605999999E+35</v>
      </c>
      <c r="D243" s="5">
        <v>81</v>
      </c>
      <c r="E243" s="8" t="s">
        <v>579</v>
      </c>
      <c r="F243">
        <v>1.1020600605999999E+35</v>
      </c>
      <c r="G243" s="8" t="s">
        <v>580</v>
      </c>
      <c r="H243" t="s">
        <v>558</v>
      </c>
      <c r="I243" s="11">
        <v>11000000000</v>
      </c>
      <c r="J243" s="11">
        <v>11000000000</v>
      </c>
      <c r="K243" s="11">
        <v>365686555</v>
      </c>
      <c r="L243" s="11">
        <v>2032525233</v>
      </c>
      <c r="M243" s="11">
        <v>-1666838678</v>
      </c>
      <c r="N243" s="11">
        <v>365686555</v>
      </c>
      <c r="O243" s="11">
        <v>2032525233</v>
      </c>
      <c r="P243" s="11">
        <v>9333161322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9333161322</v>
      </c>
      <c r="X243" s="11">
        <v>0</v>
      </c>
      <c r="Y243" s="17">
        <v>9333161322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9333161322</v>
      </c>
      <c r="AG243" s="11">
        <v>0</v>
      </c>
      <c r="AH243" s="12">
        <v>9333161322</v>
      </c>
      <c r="AI243" s="11">
        <v>9333161322</v>
      </c>
      <c r="AJ243" s="11">
        <v>0</v>
      </c>
      <c r="AK243" s="11">
        <v>0</v>
      </c>
      <c r="AL243" s="11">
        <v>9333161322</v>
      </c>
      <c r="AM243" s="11">
        <v>9333161322</v>
      </c>
      <c r="AN243" s="11">
        <v>0</v>
      </c>
      <c r="AO243" s="11">
        <v>9333161322</v>
      </c>
      <c r="AP243" s="11">
        <v>0</v>
      </c>
      <c r="AQ243" s="11">
        <v>0</v>
      </c>
      <c r="AR243" t="s">
        <v>581</v>
      </c>
      <c r="AS243" s="4" t="str">
        <f>+G243</f>
        <v>U.A.E. de Alimentación Escolar - Alimentos para Aprender (UAPA)</v>
      </c>
      <c r="AT243" t="str">
        <f>+D243&amp;AS243&amp;Y243</f>
        <v>81U.A.E. de Alimentación Escolar - Alimentos para Aprender (UAPA)9333161322</v>
      </c>
      <c r="AU243" t="str">
        <f>+_xlfn.XLOOKUP(AT243,CRUCE!J:J,CRUCE!M:M)</f>
        <v>READY</v>
      </c>
      <c r="AV243" t="s">
        <v>1907</v>
      </c>
      <c r="AW243" s="23">
        <f>+SUMIFS(CRUCE!D:D,CRUCE!A:A,'2022'!D243,CRUCE!B:B,'2022'!AS243)/COUNTIFS(D:D,D243,AS:AS,AS243)</f>
        <v>9333161322</v>
      </c>
      <c r="AX243" s="23">
        <f>+SUMIFS(Y:Y,D:D,D243,AS:AS,AS243)/COUNTIFS(D:D,D243,AS:AS,AS243)</f>
        <v>9333161322</v>
      </c>
      <c r="AY243" s="23">
        <f>+AW243-AX243</f>
        <v>0</v>
      </c>
    </row>
    <row r="244" spans="1:51" hidden="1" x14ac:dyDescent="0.3">
      <c r="A244">
        <v>2022</v>
      </c>
      <c r="B244">
        <v>314</v>
      </c>
      <c r="C244">
        <v>12</v>
      </c>
      <c r="D244" s="5" t="s">
        <v>44</v>
      </c>
      <c r="E244" s="8" t="s">
        <v>599</v>
      </c>
      <c r="F244">
        <v>12</v>
      </c>
      <c r="G244" s="8" t="s">
        <v>367</v>
      </c>
      <c r="H244" t="s">
        <v>558</v>
      </c>
      <c r="I244" s="11">
        <v>95000000</v>
      </c>
      <c r="J244" s="11">
        <v>95000000</v>
      </c>
      <c r="K244" s="11">
        <v>4019909623.2199998</v>
      </c>
      <c r="L244" s="11">
        <v>13375517.73</v>
      </c>
      <c r="M244" s="11">
        <v>4006534105.4899998</v>
      </c>
      <c r="N244" s="11">
        <v>4019909623.2199998</v>
      </c>
      <c r="O244" s="11">
        <v>13375517.73</v>
      </c>
      <c r="P244" s="11">
        <v>4101534105.4899998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4435908359.2600002</v>
      </c>
      <c r="X244" s="11">
        <v>237302514.36000001</v>
      </c>
      <c r="Y244" s="17">
        <v>4198605844.9000001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4435908359.2600002</v>
      </c>
      <c r="AG244" s="11">
        <v>237302514.36000001</v>
      </c>
      <c r="AH244" s="12">
        <v>4198605844.9000001</v>
      </c>
      <c r="AI244" s="11">
        <v>4198605844.9000001</v>
      </c>
      <c r="AJ244" s="11">
        <v>3739253451.98</v>
      </c>
      <c r="AK244" s="11">
        <v>3739253451.98</v>
      </c>
      <c r="AL244" s="11">
        <v>657075295.07000005</v>
      </c>
      <c r="AM244" s="11">
        <v>693351257.54999995</v>
      </c>
      <c r="AN244" s="11">
        <v>36275962.479999997</v>
      </c>
      <c r="AO244" s="11">
        <v>693351257.54999995</v>
      </c>
      <c r="AP244" s="11">
        <v>0</v>
      </c>
      <c r="AQ244" s="11">
        <v>36275962.479999997</v>
      </c>
      <c r="AR244" t="s">
        <v>48</v>
      </c>
      <c r="AS244"/>
      <c r="AW244"/>
      <c r="AX244"/>
      <c r="AY244"/>
    </row>
    <row r="245" spans="1:51" hidden="1" x14ac:dyDescent="0.3">
      <c r="A245">
        <v>2022</v>
      </c>
      <c r="B245">
        <v>314</v>
      </c>
      <c r="C245">
        <v>1205</v>
      </c>
      <c r="D245" s="5" t="s">
        <v>44</v>
      </c>
      <c r="E245" s="8" t="s">
        <v>600</v>
      </c>
      <c r="F245">
        <v>1205</v>
      </c>
      <c r="G245" s="8" t="s">
        <v>379</v>
      </c>
      <c r="H245" t="s">
        <v>558</v>
      </c>
      <c r="I245" s="11">
        <v>15000000</v>
      </c>
      <c r="J245" s="11">
        <v>15000000</v>
      </c>
      <c r="K245" s="11">
        <v>84496423.359999999</v>
      </c>
      <c r="L245" s="11">
        <v>10000000</v>
      </c>
      <c r="M245" s="11">
        <v>74496423.359999999</v>
      </c>
      <c r="N245" s="11">
        <v>84496423.359999999</v>
      </c>
      <c r="O245" s="11">
        <v>10000000</v>
      </c>
      <c r="P245" s="11">
        <v>89496423.359999999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274760680.25</v>
      </c>
      <c r="X245" s="11">
        <v>33030400.48</v>
      </c>
      <c r="Y245" s="17">
        <v>241730279.77000001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274760680.25</v>
      </c>
      <c r="AG245" s="11">
        <v>33030400.48</v>
      </c>
      <c r="AH245" s="12">
        <v>241730279.77000001</v>
      </c>
      <c r="AI245" s="11">
        <v>241730279.77000001</v>
      </c>
      <c r="AJ245" s="11">
        <v>0</v>
      </c>
      <c r="AK245" s="11">
        <v>0</v>
      </c>
      <c r="AL245" s="11">
        <v>241730279.77000001</v>
      </c>
      <c r="AM245" s="11">
        <v>274760680.25</v>
      </c>
      <c r="AN245" s="11">
        <v>33030400.48</v>
      </c>
      <c r="AO245" s="11">
        <v>274760680.25</v>
      </c>
      <c r="AP245" s="11">
        <v>0</v>
      </c>
      <c r="AQ245" s="11">
        <v>33030400.48</v>
      </c>
      <c r="AR245" t="s">
        <v>48</v>
      </c>
      <c r="AS245"/>
      <c r="AW245"/>
      <c r="AX245"/>
      <c r="AY245"/>
    </row>
    <row r="246" spans="1:51" hidden="1" x14ac:dyDescent="0.3">
      <c r="A246">
        <v>2022</v>
      </c>
      <c r="B246">
        <v>314</v>
      </c>
      <c r="C246">
        <v>120502</v>
      </c>
      <c r="D246" s="5" t="s">
        <v>44</v>
      </c>
      <c r="E246" s="8" t="s">
        <v>601</v>
      </c>
      <c r="F246">
        <v>120502</v>
      </c>
      <c r="G246" s="8" t="s">
        <v>381</v>
      </c>
      <c r="H246" t="s">
        <v>558</v>
      </c>
      <c r="I246" s="11">
        <v>15000000</v>
      </c>
      <c r="J246" s="11">
        <v>15000000</v>
      </c>
      <c r="K246" s="11">
        <v>84496423.359999999</v>
      </c>
      <c r="L246" s="11">
        <v>10000000</v>
      </c>
      <c r="M246" s="11">
        <v>74496423.359999999</v>
      </c>
      <c r="N246" s="11">
        <v>84496423.359999999</v>
      </c>
      <c r="O246" s="11">
        <v>10000000</v>
      </c>
      <c r="P246" s="11">
        <v>89496423.359999999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274760680.25</v>
      </c>
      <c r="X246" s="11">
        <v>33030400.48</v>
      </c>
      <c r="Y246" s="17">
        <v>241730279.77000001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274760680.25</v>
      </c>
      <c r="AG246" s="11">
        <v>33030400.48</v>
      </c>
      <c r="AH246" s="12">
        <v>241730279.77000001</v>
      </c>
      <c r="AI246" s="11">
        <v>241730279.77000001</v>
      </c>
      <c r="AJ246" s="11">
        <v>0</v>
      </c>
      <c r="AK246" s="11">
        <v>0</v>
      </c>
      <c r="AL246" s="11">
        <v>241730279.77000001</v>
      </c>
      <c r="AM246" s="11">
        <v>274760680.25</v>
      </c>
      <c r="AN246" s="11">
        <v>33030400.48</v>
      </c>
      <c r="AO246" s="11">
        <v>274760680.25</v>
      </c>
      <c r="AP246" s="11">
        <v>0</v>
      </c>
      <c r="AQ246" s="11">
        <v>33030400.48</v>
      </c>
      <c r="AR246" t="s">
        <v>48</v>
      </c>
      <c r="AS246"/>
      <c r="AW246"/>
      <c r="AX246"/>
      <c r="AY246"/>
    </row>
    <row r="247" spans="1:51" hidden="1" x14ac:dyDescent="0.3">
      <c r="A247">
        <v>2022</v>
      </c>
      <c r="B247">
        <v>314</v>
      </c>
      <c r="C247">
        <v>120502001</v>
      </c>
      <c r="D247" s="5" t="s">
        <v>44</v>
      </c>
      <c r="E247" s="8" t="s">
        <v>602</v>
      </c>
      <c r="F247">
        <v>120502001</v>
      </c>
      <c r="G247" s="8" t="s">
        <v>46</v>
      </c>
      <c r="H247" t="s">
        <v>558</v>
      </c>
      <c r="I247" s="11">
        <v>15000000</v>
      </c>
      <c r="J247" s="11">
        <v>15000000</v>
      </c>
      <c r="K247" s="11">
        <v>84496423.359999999</v>
      </c>
      <c r="L247" s="11">
        <v>10000000</v>
      </c>
      <c r="M247" s="11">
        <v>74496423.359999999</v>
      </c>
      <c r="N247" s="11">
        <v>84496423.359999999</v>
      </c>
      <c r="O247" s="11">
        <v>10000000</v>
      </c>
      <c r="P247" s="11">
        <v>89496423.359999999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274760680.25</v>
      </c>
      <c r="X247" s="11">
        <v>33030400.48</v>
      </c>
      <c r="Y247" s="17">
        <v>241730279.77000001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274760680.25</v>
      </c>
      <c r="AG247" s="11">
        <v>33030400.48</v>
      </c>
      <c r="AH247" s="12">
        <v>241730279.77000001</v>
      </c>
      <c r="AI247" s="11">
        <v>241730279.77000001</v>
      </c>
      <c r="AJ247" s="11">
        <v>0</v>
      </c>
      <c r="AK247" s="11">
        <v>0</v>
      </c>
      <c r="AL247" s="11">
        <v>241730279.77000001</v>
      </c>
      <c r="AM247" s="11">
        <v>274760680.25</v>
      </c>
      <c r="AN247" s="11">
        <v>33030400.48</v>
      </c>
      <c r="AO247" s="11">
        <v>274760680.25</v>
      </c>
      <c r="AP247" s="11">
        <v>0</v>
      </c>
      <c r="AQ247" s="11">
        <v>33030400.48</v>
      </c>
      <c r="AR247" t="s">
        <v>48</v>
      </c>
      <c r="AS247"/>
      <c r="AW247"/>
      <c r="AX247"/>
      <c r="AY247"/>
    </row>
    <row r="248" spans="1:51" hidden="1" x14ac:dyDescent="0.3">
      <c r="A248">
        <v>2022</v>
      </c>
      <c r="B248">
        <v>314</v>
      </c>
      <c r="C248">
        <v>12050200101</v>
      </c>
      <c r="D248" s="5" t="s">
        <v>44</v>
      </c>
      <c r="E248" s="8" t="s">
        <v>603</v>
      </c>
      <c r="F248">
        <v>12050200101</v>
      </c>
      <c r="G248" s="8" t="s">
        <v>50</v>
      </c>
      <c r="H248" t="s">
        <v>558</v>
      </c>
      <c r="I248" s="11">
        <v>15000000</v>
      </c>
      <c r="J248" s="11">
        <v>15000000</v>
      </c>
      <c r="K248" s="11">
        <v>84496423.359999999</v>
      </c>
      <c r="L248" s="11">
        <v>10000000</v>
      </c>
      <c r="M248" s="11">
        <v>74496423.359999999</v>
      </c>
      <c r="N248" s="11">
        <v>84496423.359999999</v>
      </c>
      <c r="O248" s="11">
        <v>10000000</v>
      </c>
      <c r="P248" s="11">
        <v>89496423.359999999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274760680.25</v>
      </c>
      <c r="X248" s="11">
        <v>33030400.48</v>
      </c>
      <c r="Y248" s="17">
        <v>241730279.77000001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274760680.25</v>
      </c>
      <c r="AG248" s="11">
        <v>33030400.48</v>
      </c>
      <c r="AH248" s="12">
        <v>241730279.77000001</v>
      </c>
      <c r="AI248" s="11">
        <v>241730279.77000001</v>
      </c>
      <c r="AJ248" s="11">
        <v>0</v>
      </c>
      <c r="AK248" s="11">
        <v>0</v>
      </c>
      <c r="AL248" s="11">
        <v>241730279.77000001</v>
      </c>
      <c r="AM248" s="11">
        <v>274760680.25</v>
      </c>
      <c r="AN248" s="11">
        <v>33030400.48</v>
      </c>
      <c r="AO248" s="11">
        <v>274760680.25</v>
      </c>
      <c r="AP248" s="11">
        <v>0</v>
      </c>
      <c r="AQ248" s="11">
        <v>33030400.48</v>
      </c>
      <c r="AR248" t="s">
        <v>48</v>
      </c>
      <c r="AS248"/>
      <c r="AW248"/>
      <c r="AX248"/>
      <c r="AY248"/>
    </row>
    <row r="249" spans="1:51" hidden="1" x14ac:dyDescent="0.3">
      <c r="A249">
        <v>2022</v>
      </c>
      <c r="B249">
        <v>314</v>
      </c>
      <c r="C249">
        <v>1205020010102</v>
      </c>
      <c r="D249" s="5" t="s">
        <v>44</v>
      </c>
      <c r="E249" s="8" t="s">
        <v>604</v>
      </c>
      <c r="F249">
        <v>1205020010102</v>
      </c>
      <c r="G249" s="8" t="s">
        <v>145</v>
      </c>
      <c r="H249" t="s">
        <v>558</v>
      </c>
      <c r="I249" s="11">
        <v>15000000</v>
      </c>
      <c r="J249" s="11">
        <v>15000000</v>
      </c>
      <c r="K249" s="11">
        <v>84496423.359999999</v>
      </c>
      <c r="L249" s="11">
        <v>10000000</v>
      </c>
      <c r="M249" s="11">
        <v>74496423.359999999</v>
      </c>
      <c r="N249" s="11">
        <v>84496423.359999999</v>
      </c>
      <c r="O249" s="11">
        <v>10000000</v>
      </c>
      <c r="P249" s="11">
        <v>89496423.359999999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274760680.25</v>
      </c>
      <c r="X249" s="11">
        <v>33030400.48</v>
      </c>
      <c r="Y249" s="17">
        <v>241730279.77000001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274760680.25</v>
      </c>
      <c r="AG249" s="11">
        <v>33030400.48</v>
      </c>
      <c r="AH249" s="12">
        <v>241730279.77000001</v>
      </c>
      <c r="AI249" s="11">
        <v>241730279.77000001</v>
      </c>
      <c r="AJ249" s="11">
        <v>0</v>
      </c>
      <c r="AK249" s="11">
        <v>0</v>
      </c>
      <c r="AL249" s="11">
        <v>241730279.77000001</v>
      </c>
      <c r="AM249" s="11">
        <v>274760680.25</v>
      </c>
      <c r="AN249" s="11">
        <v>33030400.48</v>
      </c>
      <c r="AO249" s="11">
        <v>274760680.25</v>
      </c>
      <c r="AP249" s="11">
        <v>0</v>
      </c>
      <c r="AQ249" s="11">
        <v>33030400.48</v>
      </c>
      <c r="AR249" t="s">
        <v>48</v>
      </c>
      <c r="AS249"/>
      <c r="AW249"/>
      <c r="AX249"/>
      <c r="AY249"/>
    </row>
    <row r="250" spans="1:51" hidden="1" x14ac:dyDescent="0.3">
      <c r="A250">
        <v>2022</v>
      </c>
      <c r="B250">
        <v>314</v>
      </c>
      <c r="C250">
        <v>120502001010206</v>
      </c>
      <c r="D250" s="5" t="s">
        <v>44</v>
      </c>
      <c r="E250" s="8" t="s">
        <v>605</v>
      </c>
      <c r="F250">
        <v>120502001010206</v>
      </c>
      <c r="G250" s="8" t="s">
        <v>242</v>
      </c>
      <c r="H250" t="s">
        <v>558</v>
      </c>
      <c r="I250" s="11">
        <v>15000000</v>
      </c>
      <c r="J250" s="11">
        <v>15000000</v>
      </c>
      <c r="K250" s="11">
        <v>84496423.359999999</v>
      </c>
      <c r="L250" s="11">
        <v>10000000</v>
      </c>
      <c r="M250" s="11">
        <v>74496423.359999999</v>
      </c>
      <c r="N250" s="11">
        <v>84496423.359999999</v>
      </c>
      <c r="O250" s="11">
        <v>10000000</v>
      </c>
      <c r="P250" s="11">
        <v>89496423.359999999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274760680.25</v>
      </c>
      <c r="X250" s="11">
        <v>33030400.48</v>
      </c>
      <c r="Y250" s="17">
        <v>241730279.77000001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274760680.25</v>
      </c>
      <c r="AG250" s="11">
        <v>33030400.48</v>
      </c>
      <c r="AH250" s="12">
        <v>241730279.77000001</v>
      </c>
      <c r="AI250" s="11">
        <v>241730279.77000001</v>
      </c>
      <c r="AJ250" s="11">
        <v>0</v>
      </c>
      <c r="AK250" s="11">
        <v>0</v>
      </c>
      <c r="AL250" s="11">
        <v>241730279.77000001</v>
      </c>
      <c r="AM250" s="11">
        <v>274760680.25</v>
      </c>
      <c r="AN250" s="11">
        <v>33030400.48</v>
      </c>
      <c r="AO250" s="11">
        <v>274760680.25</v>
      </c>
      <c r="AP250" s="11">
        <v>0</v>
      </c>
      <c r="AQ250" s="11">
        <v>33030400.48</v>
      </c>
      <c r="AR250" t="s">
        <v>48</v>
      </c>
      <c r="AS250"/>
      <c r="AW250"/>
      <c r="AX250"/>
      <c r="AY250"/>
    </row>
    <row r="251" spans="1:51" hidden="1" x14ac:dyDescent="0.3">
      <c r="A251">
        <v>2022</v>
      </c>
      <c r="B251">
        <v>314</v>
      </c>
      <c r="C251">
        <v>1.20502001010206E+17</v>
      </c>
      <c r="D251" s="5" t="s">
        <v>44</v>
      </c>
      <c r="E251" s="8" t="s">
        <v>1211</v>
      </c>
      <c r="F251">
        <v>1.20502001010206E+17</v>
      </c>
      <c r="G251" s="8" t="s">
        <v>244</v>
      </c>
      <c r="H251" t="s">
        <v>558</v>
      </c>
      <c r="I251" s="11">
        <v>15000000</v>
      </c>
      <c r="J251" s="11">
        <v>15000000</v>
      </c>
      <c r="K251" s="11">
        <v>74496423.359999999</v>
      </c>
      <c r="L251" s="11">
        <v>10000000</v>
      </c>
      <c r="M251" s="11">
        <v>64496423.359999999</v>
      </c>
      <c r="N251" s="11">
        <v>74496423.359999999</v>
      </c>
      <c r="O251" s="11">
        <v>10000000</v>
      </c>
      <c r="P251" s="11">
        <v>79496423.359999999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266249398.25999999</v>
      </c>
      <c r="X251" s="11">
        <v>32138097.84</v>
      </c>
      <c r="Y251" s="17">
        <v>234111300.41999999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266249398.25999999</v>
      </c>
      <c r="AG251" s="11">
        <v>32138097.84</v>
      </c>
      <c r="AH251" s="12">
        <v>234111300.41999999</v>
      </c>
      <c r="AI251" s="11">
        <v>234111300.41999999</v>
      </c>
      <c r="AJ251" s="11">
        <v>0</v>
      </c>
      <c r="AK251" s="11">
        <v>0</v>
      </c>
      <c r="AL251" s="11">
        <v>234111300.41999999</v>
      </c>
      <c r="AM251" s="11">
        <v>266249398.25999999</v>
      </c>
      <c r="AN251" s="11">
        <v>32138097.84</v>
      </c>
      <c r="AO251" s="11">
        <v>266249398.25999999</v>
      </c>
      <c r="AP251" s="11">
        <v>0</v>
      </c>
      <c r="AQ251" s="11">
        <v>32138097.84</v>
      </c>
      <c r="AR251" t="s">
        <v>48</v>
      </c>
      <c r="AS251"/>
      <c r="AW251"/>
      <c r="AX251"/>
      <c r="AY251"/>
    </row>
    <row r="252" spans="1:51" x14ac:dyDescent="0.3">
      <c r="A252">
        <v>2022</v>
      </c>
      <c r="B252">
        <v>314</v>
      </c>
      <c r="C252">
        <v>1.20502001010206E+20</v>
      </c>
      <c r="D252" s="5">
        <v>21</v>
      </c>
      <c r="E252" s="8" t="s">
        <v>1212</v>
      </c>
      <c r="F252">
        <v>1.20502001010206E+20</v>
      </c>
      <c r="G252" s="8" t="s">
        <v>608</v>
      </c>
      <c r="H252" t="s">
        <v>558</v>
      </c>
      <c r="I252" s="11">
        <v>5000000</v>
      </c>
      <c r="J252" s="11">
        <v>5000000</v>
      </c>
      <c r="K252" s="11">
        <v>74496423.359999999</v>
      </c>
      <c r="L252" s="11">
        <v>0</v>
      </c>
      <c r="M252" s="11">
        <v>74496423.359999999</v>
      </c>
      <c r="N252" s="11">
        <v>74496423.359999999</v>
      </c>
      <c r="O252" s="11">
        <v>0</v>
      </c>
      <c r="P252" s="11">
        <v>79496423.359999999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266249398.25999999</v>
      </c>
      <c r="X252" s="11">
        <v>32138097.84</v>
      </c>
      <c r="Y252" s="17">
        <v>234111300.41999999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266249398.25999999</v>
      </c>
      <c r="AG252" s="11">
        <v>32138097.84</v>
      </c>
      <c r="AH252" s="12">
        <v>234111300.41999999</v>
      </c>
      <c r="AI252" s="11">
        <v>234111300.41999999</v>
      </c>
      <c r="AJ252" s="11">
        <v>0</v>
      </c>
      <c r="AK252" s="11">
        <v>0</v>
      </c>
      <c r="AL252" s="11">
        <v>234111300.41999999</v>
      </c>
      <c r="AM252" s="11">
        <v>266249398.25999999</v>
      </c>
      <c r="AN252" s="11">
        <v>32138097.84</v>
      </c>
      <c r="AO252" s="11">
        <v>266249398.25999999</v>
      </c>
      <c r="AP252" s="11">
        <v>0</v>
      </c>
      <c r="AQ252" s="11">
        <v>32138097.84</v>
      </c>
      <c r="AR252" t="s">
        <v>609</v>
      </c>
      <c r="AS252" s="4" t="str">
        <f t="shared" ref="AS252:AS253" si="93">+G252</f>
        <v>Rendimientos Prestacion de Servicio educativo</v>
      </c>
      <c r="AT252" t="str">
        <f t="shared" ref="AT252:AT253" si="94">+D252&amp;AS252&amp;Y252</f>
        <v>21Rendimientos Prestacion de Servicio educativo234111300,42</v>
      </c>
      <c r="AU252" t="str">
        <f>+_xlfn.XLOOKUP(AT252,CRUCE!J:J,CRUCE!M:M)</f>
        <v>READY</v>
      </c>
      <c r="AV252" t="s">
        <v>1907</v>
      </c>
      <c r="AW252" s="23">
        <f>+SUMIFS(CRUCE!D:D,CRUCE!A:A,'2022'!D252,CRUCE!B:B,'2022'!AS252)/COUNTIFS(D:D,D252,AS:AS,AS252)</f>
        <v>234111300.41999999</v>
      </c>
      <c r="AX252" s="23">
        <f t="shared" ref="AX252:AX253" si="95">+SUMIFS(Y:Y,D:D,D252,AS:AS,AS252)/COUNTIFS(D:D,D252,AS:AS,AS252)</f>
        <v>234111300.41999999</v>
      </c>
      <c r="AY252" s="23">
        <f t="shared" ref="AY252:AY253" si="96">+AW252-AX252</f>
        <v>0</v>
      </c>
    </row>
    <row r="253" spans="1:51" x14ac:dyDescent="0.3">
      <c r="A253">
        <v>2022</v>
      </c>
      <c r="B253">
        <v>314</v>
      </c>
      <c r="C253">
        <v>1.20502001010206E+20</v>
      </c>
      <c r="D253" s="5">
        <v>81</v>
      </c>
      <c r="E253" s="8" t="s">
        <v>1213</v>
      </c>
      <c r="F253">
        <v>1.20502001010206E+20</v>
      </c>
      <c r="G253" s="8" t="s">
        <v>611</v>
      </c>
      <c r="H253" t="s">
        <v>558</v>
      </c>
      <c r="I253" s="11">
        <v>10000000</v>
      </c>
      <c r="J253" s="11">
        <v>10000000</v>
      </c>
      <c r="K253" s="11">
        <v>0</v>
      </c>
      <c r="L253" s="11">
        <v>10000000</v>
      </c>
      <c r="M253" s="11">
        <v>-10000000</v>
      </c>
      <c r="N253" s="11">
        <v>0</v>
      </c>
      <c r="O253" s="11">
        <v>10000000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7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2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1">
        <v>0</v>
      </c>
      <c r="AP253" s="11">
        <v>0</v>
      </c>
      <c r="AQ253" s="11">
        <v>0</v>
      </c>
      <c r="AR253" t="s">
        <v>581</v>
      </c>
      <c r="AS253" s="4" t="str">
        <f t="shared" si="93"/>
        <v>Rendimientos PAE</v>
      </c>
      <c r="AT253" t="str">
        <f t="shared" si="94"/>
        <v>81Rendimientos PAE0</v>
      </c>
      <c r="AU253" t="str">
        <f>+_xlfn.XLOOKUP(AT253,CRUCE!J:J,CRUCE!M:M)</f>
        <v>READY</v>
      </c>
      <c r="AV253" t="s">
        <v>1907</v>
      </c>
      <c r="AW253" s="23">
        <f>+SUMIFS(CRUCE!D:D,CRUCE!A:A,'2022'!D253,CRUCE!B:B,'2022'!AS253)/COUNTIFS(D:D,D253,AS:AS,AS253)</f>
        <v>0</v>
      </c>
      <c r="AX253" s="23">
        <f t="shared" si="95"/>
        <v>0</v>
      </c>
      <c r="AY253" s="23">
        <f t="shared" si="96"/>
        <v>0</v>
      </c>
    </row>
    <row r="254" spans="1:51" hidden="1" x14ac:dyDescent="0.3">
      <c r="A254">
        <v>2022</v>
      </c>
      <c r="B254">
        <v>314</v>
      </c>
      <c r="C254">
        <v>1.20502001010206E+17</v>
      </c>
      <c r="D254" s="5" t="s">
        <v>44</v>
      </c>
      <c r="E254" s="8" t="s">
        <v>1214</v>
      </c>
      <c r="F254">
        <v>1.20502001010206E+17</v>
      </c>
      <c r="G254" s="8" t="s">
        <v>267</v>
      </c>
      <c r="H254" t="s">
        <v>558</v>
      </c>
      <c r="I254" s="11">
        <v>0</v>
      </c>
      <c r="J254" s="11">
        <v>0</v>
      </c>
      <c r="K254" s="11">
        <v>10000000</v>
      </c>
      <c r="L254" s="11">
        <v>0</v>
      </c>
      <c r="M254" s="11">
        <v>10000000</v>
      </c>
      <c r="N254" s="11">
        <v>10000000</v>
      </c>
      <c r="O254" s="11">
        <v>0</v>
      </c>
      <c r="P254" s="11">
        <v>10000000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8511281.9900000002</v>
      </c>
      <c r="X254" s="11">
        <v>892302.64</v>
      </c>
      <c r="Y254" s="17">
        <v>7618979.3499999996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8511281.9900000002</v>
      </c>
      <c r="AG254" s="11">
        <v>892302.64</v>
      </c>
      <c r="AH254" s="12">
        <v>7618979.3499999996</v>
      </c>
      <c r="AI254" s="11">
        <v>7618979.3499999996</v>
      </c>
      <c r="AJ254" s="11">
        <v>0</v>
      </c>
      <c r="AK254" s="11">
        <v>0</v>
      </c>
      <c r="AL254" s="11">
        <v>7618979.3499999996</v>
      </c>
      <c r="AM254" s="11">
        <v>8511281.9900000002</v>
      </c>
      <c r="AN254" s="11">
        <v>892302.64</v>
      </c>
      <c r="AO254" s="11">
        <v>8511281.9900000002</v>
      </c>
      <c r="AP254" s="11">
        <v>0</v>
      </c>
      <c r="AQ254" s="11">
        <v>892302.64</v>
      </c>
      <c r="AR254" t="s">
        <v>48</v>
      </c>
      <c r="AS254"/>
      <c r="AW254"/>
      <c r="AX254"/>
      <c r="AY254"/>
    </row>
    <row r="255" spans="1:51" hidden="1" x14ac:dyDescent="0.3">
      <c r="A255">
        <v>2022</v>
      </c>
      <c r="B255">
        <v>314</v>
      </c>
      <c r="C255">
        <v>1.20502001010206E+20</v>
      </c>
      <c r="D255" s="5" t="s">
        <v>44</v>
      </c>
      <c r="E255" s="8" t="s">
        <v>613</v>
      </c>
      <c r="F255">
        <v>1.20502001010206E+20</v>
      </c>
      <c r="G255" s="8" t="s">
        <v>614</v>
      </c>
      <c r="H255" t="s">
        <v>558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187036.63</v>
      </c>
      <c r="X255" s="11">
        <v>0</v>
      </c>
      <c r="Y255" s="17">
        <v>187036.63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187036.63</v>
      </c>
      <c r="AG255" s="11">
        <v>0</v>
      </c>
      <c r="AH255" s="12">
        <v>187036.63</v>
      </c>
      <c r="AI255" s="11">
        <v>187036.63</v>
      </c>
      <c r="AJ255" s="11">
        <v>0</v>
      </c>
      <c r="AK255" s="11">
        <v>0</v>
      </c>
      <c r="AL255" s="11">
        <v>187036.63</v>
      </c>
      <c r="AM255" s="11">
        <v>187036.63</v>
      </c>
      <c r="AN255" s="11">
        <v>0</v>
      </c>
      <c r="AO255" s="11">
        <v>187036.63</v>
      </c>
      <c r="AP255" s="11">
        <v>0</v>
      </c>
      <c r="AQ255" s="11">
        <v>0</v>
      </c>
      <c r="AR255" t="s">
        <v>48</v>
      </c>
      <c r="AS255"/>
      <c r="AW255"/>
      <c r="AX255"/>
      <c r="AY255"/>
    </row>
    <row r="256" spans="1:51" x14ac:dyDescent="0.3">
      <c r="A256">
        <v>2022</v>
      </c>
      <c r="B256">
        <v>314</v>
      </c>
      <c r="C256">
        <v>1.20502001010206E+35</v>
      </c>
      <c r="D256" s="5">
        <v>173</v>
      </c>
      <c r="E256" s="8" t="s">
        <v>615</v>
      </c>
      <c r="F256">
        <v>1.20502001010206E+35</v>
      </c>
      <c r="G256" s="8" t="s">
        <v>616</v>
      </c>
      <c r="H256" t="s">
        <v>558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187036.63</v>
      </c>
      <c r="X256" s="11">
        <v>0</v>
      </c>
      <c r="Y256" s="17">
        <v>187036.63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187036.63</v>
      </c>
      <c r="AG256" s="11">
        <v>0</v>
      </c>
      <c r="AH256" s="12">
        <v>187036.63</v>
      </c>
      <c r="AI256" s="11">
        <v>187036.63</v>
      </c>
      <c r="AJ256" s="11">
        <v>0</v>
      </c>
      <c r="AK256" s="11">
        <v>0</v>
      </c>
      <c r="AL256" s="11">
        <v>187036.63</v>
      </c>
      <c r="AM256" s="11">
        <v>187036.63</v>
      </c>
      <c r="AN256" s="11">
        <v>0</v>
      </c>
      <c r="AO256" s="11">
        <v>187036.63</v>
      </c>
      <c r="AP256" s="11">
        <v>0</v>
      </c>
      <c r="AQ256" s="11">
        <v>0</v>
      </c>
      <c r="AR256" t="s">
        <v>578</v>
      </c>
      <c r="AS256" s="4" t="str">
        <f>+G256</f>
        <v>Rendimientos Financieros FOME</v>
      </c>
      <c r="AT256" t="str">
        <f>+D256&amp;AS256&amp;Y256</f>
        <v>173Rendimientos Financieros FOME187036,63</v>
      </c>
      <c r="AU256" t="str">
        <f>+_xlfn.XLOOKUP(AT256,CRUCE!J:J,CRUCE!M:M)</f>
        <v>READY</v>
      </c>
      <c r="AV256" t="s">
        <v>1907</v>
      </c>
      <c r="AW256" s="23">
        <f>+SUMIFS(CRUCE!D:D,CRUCE!A:A,'2022'!D256,CRUCE!B:B,'2022'!AS256)/COUNTIFS(D:D,D256,AS:AS,AS256)</f>
        <v>187036.63</v>
      </c>
      <c r="AX256" s="23">
        <f>+SUMIFS(Y:Y,D:D,D256,AS:AS,AS256)/COUNTIFS(D:D,D256,AS:AS,AS256)</f>
        <v>187036.63</v>
      </c>
      <c r="AY256" s="23">
        <f>+AW256-AX256</f>
        <v>0</v>
      </c>
    </row>
    <row r="257" spans="1:51" hidden="1" x14ac:dyDescent="0.3">
      <c r="A257">
        <v>2022</v>
      </c>
      <c r="B257">
        <v>314</v>
      </c>
      <c r="C257">
        <v>1.20502001010206E+20</v>
      </c>
      <c r="D257" s="5" t="s">
        <v>44</v>
      </c>
      <c r="E257" s="8" t="s">
        <v>1215</v>
      </c>
      <c r="F257">
        <v>1.20502001010206E+20</v>
      </c>
      <c r="G257" s="8" t="s">
        <v>269</v>
      </c>
      <c r="H257" t="s">
        <v>558</v>
      </c>
      <c r="I257" s="11">
        <v>0</v>
      </c>
      <c r="J257" s="11">
        <v>0</v>
      </c>
      <c r="K257" s="11">
        <v>10000000</v>
      </c>
      <c r="L257" s="11">
        <v>0</v>
      </c>
      <c r="M257" s="11">
        <v>10000000</v>
      </c>
      <c r="N257" s="11">
        <v>10000000</v>
      </c>
      <c r="O257" s="11">
        <v>0</v>
      </c>
      <c r="P257" s="11">
        <v>10000000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8324245.3600000003</v>
      </c>
      <c r="X257" s="11">
        <v>892302.64</v>
      </c>
      <c r="Y257" s="17">
        <v>7431942.7199999997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v>8324245.3600000003</v>
      </c>
      <c r="AG257" s="11">
        <v>892302.64</v>
      </c>
      <c r="AH257" s="12">
        <v>7431942.7199999997</v>
      </c>
      <c r="AI257" s="11">
        <v>7431942.7199999997</v>
      </c>
      <c r="AJ257" s="11">
        <v>0</v>
      </c>
      <c r="AK257" s="11">
        <v>0</v>
      </c>
      <c r="AL257" s="11">
        <v>7431942.7199999997</v>
      </c>
      <c r="AM257" s="11">
        <v>8324245.3600000003</v>
      </c>
      <c r="AN257" s="11">
        <v>892302.64</v>
      </c>
      <c r="AO257" s="11">
        <v>8324245.3600000003</v>
      </c>
      <c r="AP257" s="11">
        <v>0</v>
      </c>
      <c r="AQ257" s="11">
        <v>892302.64</v>
      </c>
      <c r="AR257" t="s">
        <v>48</v>
      </c>
      <c r="AS257"/>
      <c r="AW257"/>
      <c r="AX257"/>
      <c r="AY257"/>
    </row>
    <row r="258" spans="1:51" x14ac:dyDescent="0.3">
      <c r="A258">
        <v>2022</v>
      </c>
      <c r="B258">
        <v>314</v>
      </c>
      <c r="C258">
        <v>1.20502001010206E+35</v>
      </c>
      <c r="D258" s="5">
        <v>81</v>
      </c>
      <c r="E258" s="8" t="s">
        <v>618</v>
      </c>
      <c r="F258">
        <v>1.20502001010206E+35</v>
      </c>
      <c r="G258" s="8" t="s">
        <v>619</v>
      </c>
      <c r="H258" t="s">
        <v>558</v>
      </c>
      <c r="I258" s="11">
        <v>0</v>
      </c>
      <c r="J258" s="11">
        <v>0</v>
      </c>
      <c r="K258" s="11">
        <v>10000000</v>
      </c>
      <c r="L258" s="11">
        <v>0</v>
      </c>
      <c r="M258" s="11">
        <v>10000000</v>
      </c>
      <c r="N258" s="11">
        <v>10000000</v>
      </c>
      <c r="O258" s="11">
        <v>0</v>
      </c>
      <c r="P258" s="11">
        <v>10000000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8324245.3600000003</v>
      </c>
      <c r="X258" s="11">
        <v>892302.64</v>
      </c>
      <c r="Y258" s="17">
        <v>7431942.7199999997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8324245.3600000003</v>
      </c>
      <c r="AG258" s="11">
        <v>892302.64</v>
      </c>
      <c r="AH258" s="12">
        <v>7431942.7199999997</v>
      </c>
      <c r="AI258" s="11">
        <v>7431942.7199999997</v>
      </c>
      <c r="AJ258" s="11">
        <v>0</v>
      </c>
      <c r="AK258" s="11">
        <v>0</v>
      </c>
      <c r="AL258" s="11">
        <v>7431942.7199999997</v>
      </c>
      <c r="AM258" s="11">
        <v>8324245.3600000003</v>
      </c>
      <c r="AN258" s="11">
        <v>892302.64</v>
      </c>
      <c r="AO258" s="11">
        <v>8324245.3600000003</v>
      </c>
      <c r="AP258" s="11">
        <v>0</v>
      </c>
      <c r="AQ258" s="11">
        <v>892302.64</v>
      </c>
      <c r="AR258" t="s">
        <v>581</v>
      </c>
      <c r="AS258" s="4" t="str">
        <f>+G258</f>
        <v>Rendimientos Financieros PAE</v>
      </c>
      <c r="AT258" t="str">
        <f>+D258&amp;AS258&amp;Y258</f>
        <v>81Rendimientos Financieros PAE7431942,72</v>
      </c>
      <c r="AU258" t="str">
        <f>+_xlfn.XLOOKUP(AT258,CRUCE!J:J,CRUCE!M:M)</f>
        <v>READY</v>
      </c>
      <c r="AV258" t="s">
        <v>1907</v>
      </c>
      <c r="AW258" s="23">
        <f>+SUMIFS(CRUCE!D:D,CRUCE!A:A,'2022'!D258,CRUCE!B:B,'2022'!AS258)/COUNTIFS(D:D,D258,AS:AS,AS258)</f>
        <v>7431942.7199999997</v>
      </c>
      <c r="AX258" s="23">
        <f>+SUMIFS(Y:Y,D:D,D258,AS:AS,AS258)/COUNTIFS(D:D,D258,AS:AS,AS258)</f>
        <v>7431942.7199999997</v>
      </c>
      <c r="AY258" s="23">
        <f>+AW258-AX258</f>
        <v>0</v>
      </c>
    </row>
    <row r="259" spans="1:51" hidden="1" x14ac:dyDescent="0.3">
      <c r="A259">
        <v>2022</v>
      </c>
      <c r="B259">
        <v>314</v>
      </c>
      <c r="C259">
        <v>1210</v>
      </c>
      <c r="D259" s="5" t="s">
        <v>44</v>
      </c>
      <c r="E259" s="8" t="s">
        <v>620</v>
      </c>
      <c r="F259">
        <v>1210</v>
      </c>
      <c r="G259" s="8" t="s">
        <v>474</v>
      </c>
      <c r="H259" t="s">
        <v>558</v>
      </c>
      <c r="I259" s="11">
        <v>0</v>
      </c>
      <c r="J259" s="11">
        <v>0</v>
      </c>
      <c r="K259" s="11">
        <v>3935413199.8600001</v>
      </c>
      <c r="L259" s="11">
        <v>3375517.73</v>
      </c>
      <c r="M259" s="11">
        <v>3932037682.1300001</v>
      </c>
      <c r="N259" s="11">
        <v>3935413199.8600001</v>
      </c>
      <c r="O259" s="11">
        <v>3375517.73</v>
      </c>
      <c r="P259" s="11">
        <v>3932037682.1300001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3935341331.8600001</v>
      </c>
      <c r="X259" s="11">
        <v>3303649.73</v>
      </c>
      <c r="Y259" s="17">
        <v>3932037682.1300001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3935341331.8600001</v>
      </c>
      <c r="AG259" s="11">
        <v>3303649.73</v>
      </c>
      <c r="AH259" s="12">
        <v>3932037682.1300001</v>
      </c>
      <c r="AI259" s="11">
        <v>3932037682.1300001</v>
      </c>
      <c r="AJ259" s="11">
        <v>3739253451.98</v>
      </c>
      <c r="AK259" s="11">
        <v>3739253451.98</v>
      </c>
      <c r="AL259" s="11">
        <v>192784230.15000001</v>
      </c>
      <c r="AM259" s="11">
        <v>192784230.15000001</v>
      </c>
      <c r="AN259" s="11">
        <v>0</v>
      </c>
      <c r="AO259" s="11">
        <v>192784230.15000001</v>
      </c>
      <c r="AP259" s="11">
        <v>0</v>
      </c>
      <c r="AQ259" s="11">
        <v>0</v>
      </c>
      <c r="AR259" t="s">
        <v>48</v>
      </c>
      <c r="AS259"/>
      <c r="AW259"/>
      <c r="AX259"/>
      <c r="AY259"/>
    </row>
    <row r="260" spans="1:51" hidden="1" x14ac:dyDescent="0.3">
      <c r="A260">
        <v>2022</v>
      </c>
      <c r="B260">
        <v>314</v>
      </c>
      <c r="C260">
        <v>121002</v>
      </c>
      <c r="D260" s="5" t="s">
        <v>44</v>
      </c>
      <c r="E260" s="8" t="s">
        <v>621</v>
      </c>
      <c r="F260">
        <v>121002</v>
      </c>
      <c r="G260" s="8" t="s">
        <v>476</v>
      </c>
      <c r="H260" t="s">
        <v>558</v>
      </c>
      <c r="I260" s="11">
        <v>0</v>
      </c>
      <c r="J260" s="11">
        <v>0</v>
      </c>
      <c r="K260" s="11">
        <v>3935413199.8600001</v>
      </c>
      <c r="L260" s="11">
        <v>3375517.73</v>
      </c>
      <c r="M260" s="11">
        <v>3932037682.1300001</v>
      </c>
      <c r="N260" s="11">
        <v>3935413199.8600001</v>
      </c>
      <c r="O260" s="11">
        <v>3375517.73</v>
      </c>
      <c r="P260" s="11">
        <v>3932037682.1300001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3935341331.8600001</v>
      </c>
      <c r="X260" s="11">
        <v>3303649.73</v>
      </c>
      <c r="Y260" s="17">
        <v>3932037682.1300001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3935341331.8600001</v>
      </c>
      <c r="AG260" s="11">
        <v>3303649.73</v>
      </c>
      <c r="AH260" s="12">
        <v>3932037682.1300001</v>
      </c>
      <c r="AI260" s="11">
        <v>3932037682.1300001</v>
      </c>
      <c r="AJ260" s="11">
        <v>3739253451.98</v>
      </c>
      <c r="AK260" s="11">
        <v>3739253451.98</v>
      </c>
      <c r="AL260" s="11">
        <v>192784230.15000001</v>
      </c>
      <c r="AM260" s="11">
        <v>192784230.15000001</v>
      </c>
      <c r="AN260" s="11">
        <v>0</v>
      </c>
      <c r="AO260" s="11">
        <v>192784230.15000001</v>
      </c>
      <c r="AP260" s="11">
        <v>0</v>
      </c>
      <c r="AQ260" s="11">
        <v>0</v>
      </c>
      <c r="AR260" t="s">
        <v>48</v>
      </c>
      <c r="AS260"/>
      <c r="AW260"/>
      <c r="AX260"/>
      <c r="AY260"/>
    </row>
    <row r="261" spans="1:51" hidden="1" x14ac:dyDescent="0.3">
      <c r="A261">
        <v>2022</v>
      </c>
      <c r="B261">
        <v>314</v>
      </c>
      <c r="C261">
        <v>121002002</v>
      </c>
      <c r="D261" s="5" t="s">
        <v>44</v>
      </c>
      <c r="E261" s="8" t="s">
        <v>622</v>
      </c>
      <c r="F261">
        <v>121002002</v>
      </c>
      <c r="G261" s="8" t="s">
        <v>482</v>
      </c>
      <c r="H261" t="s">
        <v>558</v>
      </c>
      <c r="I261" s="11">
        <v>0</v>
      </c>
      <c r="J261" s="11">
        <v>0</v>
      </c>
      <c r="K261" s="11">
        <v>3935413199.8600001</v>
      </c>
      <c r="L261" s="11">
        <v>3375517.73</v>
      </c>
      <c r="M261" s="11">
        <v>3932037682.1300001</v>
      </c>
      <c r="N261" s="11">
        <v>3935413199.8600001</v>
      </c>
      <c r="O261" s="11">
        <v>3375517.73</v>
      </c>
      <c r="P261" s="11">
        <v>3932037682.1300001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3935341331.8600001</v>
      </c>
      <c r="X261" s="11">
        <v>3303649.73</v>
      </c>
      <c r="Y261" s="17">
        <v>3932037682.1300001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3935341331.8600001</v>
      </c>
      <c r="AG261" s="11">
        <v>3303649.73</v>
      </c>
      <c r="AH261" s="12">
        <v>3932037682.1300001</v>
      </c>
      <c r="AI261" s="11">
        <v>3932037682.1300001</v>
      </c>
      <c r="AJ261" s="11">
        <v>3739253451.98</v>
      </c>
      <c r="AK261" s="11">
        <v>3739253451.98</v>
      </c>
      <c r="AL261" s="11">
        <v>192784230.15000001</v>
      </c>
      <c r="AM261" s="11">
        <v>192784230.15000001</v>
      </c>
      <c r="AN261" s="11">
        <v>0</v>
      </c>
      <c r="AO261" s="11">
        <v>192784230.15000001</v>
      </c>
      <c r="AP261" s="11">
        <v>0</v>
      </c>
      <c r="AQ261" s="11">
        <v>0</v>
      </c>
      <c r="AR261" t="s">
        <v>48</v>
      </c>
      <c r="AS261"/>
      <c r="AW261"/>
      <c r="AX261"/>
      <c r="AY261"/>
    </row>
    <row r="262" spans="1:51" x14ac:dyDescent="0.3">
      <c r="A262">
        <v>2022</v>
      </c>
      <c r="B262">
        <v>314</v>
      </c>
      <c r="C262">
        <v>12100200205</v>
      </c>
      <c r="D262" s="5">
        <v>9</v>
      </c>
      <c r="E262" s="8" t="s">
        <v>623</v>
      </c>
      <c r="F262">
        <v>12100200205</v>
      </c>
      <c r="G262" s="8" t="s">
        <v>624</v>
      </c>
      <c r="H262" t="s">
        <v>558</v>
      </c>
      <c r="I262" s="11">
        <v>0</v>
      </c>
      <c r="J262" s="11">
        <v>0</v>
      </c>
      <c r="K262" s="11">
        <v>1635757493.6700001</v>
      </c>
      <c r="L262" s="11">
        <v>3303649.73</v>
      </c>
      <c r="M262" s="11">
        <v>1632453843.9400001</v>
      </c>
      <c r="N262" s="11">
        <v>1635757493.6700001</v>
      </c>
      <c r="O262" s="11">
        <v>3303649.73</v>
      </c>
      <c r="P262" s="11">
        <v>1632453843.9400001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1635757493.6700001</v>
      </c>
      <c r="X262" s="11">
        <v>3303649.73</v>
      </c>
      <c r="Y262" s="17">
        <v>1632453843.9400001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1635757493.6700001</v>
      </c>
      <c r="AG262" s="11">
        <v>3303649.73</v>
      </c>
      <c r="AH262" s="12">
        <v>1632453843.9400001</v>
      </c>
      <c r="AI262" s="11">
        <v>1632453843.9400001</v>
      </c>
      <c r="AJ262" s="11">
        <v>1444682285.79</v>
      </c>
      <c r="AK262" s="11">
        <v>1444682285.79</v>
      </c>
      <c r="AL262" s="11">
        <v>187771558.15000001</v>
      </c>
      <c r="AM262" s="11">
        <v>187771558.15000001</v>
      </c>
      <c r="AN262" s="11">
        <v>0</v>
      </c>
      <c r="AO262" s="11">
        <v>187771558.15000001</v>
      </c>
      <c r="AP262" s="11">
        <v>0</v>
      </c>
      <c r="AQ262" s="11">
        <v>0</v>
      </c>
      <c r="AR262" t="s">
        <v>625</v>
      </c>
      <c r="AS262" s="4" t="str">
        <f t="shared" ref="AS262:AS267" si="97">+G262</f>
        <v>Superávit S.G.P. Educación</v>
      </c>
      <c r="AT262" t="str">
        <f t="shared" ref="AT262:AT267" si="98">+D262&amp;AS262&amp;Y262</f>
        <v>9Superávit S.G.P. Educación1632453843,94</v>
      </c>
      <c r="AU262" t="str">
        <f>+_xlfn.XLOOKUP(AT262,CRUCE!J:J,CRUCE!M:M)</f>
        <v>READY</v>
      </c>
      <c r="AV262" t="s">
        <v>1907</v>
      </c>
      <c r="AW262" s="23">
        <f>+SUMIFS(CRUCE!D:D,CRUCE!A:A,'2022'!D262,CRUCE!B:B,'2022'!AS262)/COUNTIFS(D:D,D262,AS:AS,AS262)</f>
        <v>1632453843.9400001</v>
      </c>
      <c r="AX262" s="23">
        <f t="shared" ref="AX262:AX267" si="99">+SUMIFS(Y:Y,D:D,D262,AS:AS,AS262)/COUNTIFS(D:D,D262,AS:AS,AS262)</f>
        <v>1632453843.9400001</v>
      </c>
      <c r="AY262" s="23">
        <f t="shared" ref="AY262:AY267" si="100">+AW262-AX262</f>
        <v>0</v>
      </c>
    </row>
    <row r="263" spans="1:51" x14ac:dyDescent="0.3">
      <c r="A263">
        <v>2022</v>
      </c>
      <c r="B263">
        <v>314</v>
      </c>
      <c r="C263">
        <v>12100200210</v>
      </c>
      <c r="D263" s="5">
        <v>137</v>
      </c>
      <c r="E263" s="8" t="s">
        <v>626</v>
      </c>
      <c r="F263">
        <v>12100200210</v>
      </c>
      <c r="G263" s="8" t="s">
        <v>627</v>
      </c>
      <c r="H263" t="s">
        <v>558</v>
      </c>
      <c r="I263" s="11">
        <v>0</v>
      </c>
      <c r="J263" s="11">
        <v>0</v>
      </c>
      <c r="K263" s="11">
        <v>1454512150.53</v>
      </c>
      <c r="L263" s="11">
        <v>0</v>
      </c>
      <c r="M263" s="11">
        <v>1454512150.53</v>
      </c>
      <c r="N263" s="11">
        <v>1454512150.53</v>
      </c>
      <c r="O263" s="11">
        <v>0</v>
      </c>
      <c r="P263" s="11">
        <v>1454512150.53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1454512150.53</v>
      </c>
      <c r="X263" s="11">
        <v>0</v>
      </c>
      <c r="Y263" s="17">
        <v>1454512150.53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1454512150.53</v>
      </c>
      <c r="AG263" s="11">
        <v>0</v>
      </c>
      <c r="AH263" s="12">
        <v>1454512150.53</v>
      </c>
      <c r="AI263" s="11">
        <v>1454512150.53</v>
      </c>
      <c r="AJ263" s="11">
        <v>1454512150.53</v>
      </c>
      <c r="AK263" s="11">
        <v>1454512150.53</v>
      </c>
      <c r="AL263" s="11">
        <v>0</v>
      </c>
      <c r="AM263" s="11">
        <v>0</v>
      </c>
      <c r="AN263" s="11">
        <v>0</v>
      </c>
      <c r="AO263" s="11">
        <v>0</v>
      </c>
      <c r="AP263" s="11">
        <v>0</v>
      </c>
      <c r="AQ263" s="11">
        <v>0</v>
      </c>
      <c r="AR263" t="s">
        <v>628</v>
      </c>
      <c r="AS263" s="4" t="str">
        <f t="shared" si="97"/>
        <v>Superávit PAE Educación</v>
      </c>
      <c r="AT263" t="str">
        <f t="shared" si="98"/>
        <v>137Superávit PAE Educación1454512150,53</v>
      </c>
      <c r="AU263" t="str">
        <f>+_xlfn.XLOOKUP(AT263,CRUCE!J:J,CRUCE!M:M)</f>
        <v>READY</v>
      </c>
      <c r="AV263" t="s">
        <v>1907</v>
      </c>
      <c r="AW263" s="23">
        <f>+SUMIFS(CRUCE!D:D,CRUCE!A:A,'2022'!D263,CRUCE!B:B,'2022'!AS263)/COUNTIFS(D:D,D263,AS:AS,AS263)</f>
        <v>1454512150.53</v>
      </c>
      <c r="AX263" s="23">
        <f t="shared" si="99"/>
        <v>1454512150.53</v>
      </c>
      <c r="AY263" s="23">
        <f t="shared" si="100"/>
        <v>0</v>
      </c>
    </row>
    <row r="264" spans="1:51" x14ac:dyDescent="0.3">
      <c r="A264">
        <v>2022</v>
      </c>
      <c r="B264">
        <v>314</v>
      </c>
      <c r="C264">
        <v>12100200211</v>
      </c>
      <c r="D264" s="5">
        <v>183</v>
      </c>
      <c r="E264" s="8" t="s">
        <v>1216</v>
      </c>
      <c r="F264">
        <v>12100200211</v>
      </c>
      <c r="G264" s="8" t="s">
        <v>1017</v>
      </c>
      <c r="H264" t="s">
        <v>558</v>
      </c>
      <c r="I264" s="11">
        <v>0</v>
      </c>
      <c r="J264" s="11">
        <v>0</v>
      </c>
      <c r="K264" s="11">
        <v>433811595.39999998</v>
      </c>
      <c r="L264" s="11">
        <v>0</v>
      </c>
      <c r="M264" s="11">
        <v>433811595.39999998</v>
      </c>
      <c r="N264" s="11">
        <v>433811595.39999998</v>
      </c>
      <c r="O264" s="11">
        <v>0</v>
      </c>
      <c r="P264" s="11">
        <v>433811595.39999998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433811595.39999998</v>
      </c>
      <c r="X264" s="11">
        <v>0</v>
      </c>
      <c r="Y264" s="17">
        <v>433811595.39999998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433811595.39999998</v>
      </c>
      <c r="AG264" s="11">
        <v>0</v>
      </c>
      <c r="AH264" s="12">
        <v>433811595.39999998</v>
      </c>
      <c r="AI264" s="11">
        <v>433811595.39999998</v>
      </c>
      <c r="AJ264" s="11">
        <v>433811595.39999998</v>
      </c>
      <c r="AK264" s="11">
        <v>433811595.39999998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t="s">
        <v>1018</v>
      </c>
      <c r="AS264" s="4" t="str">
        <f t="shared" si="97"/>
        <v>Superávit Cofinanciación Municipios Pae</v>
      </c>
      <c r="AT264" t="str">
        <f t="shared" si="98"/>
        <v>183Superávit Cofinanciación Municipios Pae433811595,4</v>
      </c>
      <c r="AU264" t="str">
        <f>+_xlfn.XLOOKUP(AT264,CRUCE!J:J,CRUCE!M:M)</f>
        <v>READY</v>
      </c>
      <c r="AV264" t="s">
        <v>1907</v>
      </c>
      <c r="AW264" s="23">
        <f>+SUMIFS(CRUCE!D:D,CRUCE!A:A,'2022'!D264,CRUCE!B:B,'2022'!AS264)/COUNTIFS(D:D,D264,AS:AS,AS264)</f>
        <v>433811595.39999998</v>
      </c>
      <c r="AX264" s="23">
        <f t="shared" si="99"/>
        <v>433811595.39999998</v>
      </c>
      <c r="AY264" s="23">
        <f t="shared" si="100"/>
        <v>0</v>
      </c>
    </row>
    <row r="265" spans="1:51" x14ac:dyDescent="0.3">
      <c r="A265">
        <v>2022</v>
      </c>
      <c r="B265">
        <v>314</v>
      </c>
      <c r="C265">
        <v>12100200216</v>
      </c>
      <c r="D265" s="5">
        <v>189</v>
      </c>
      <c r="E265" s="8" t="s">
        <v>635</v>
      </c>
      <c r="F265">
        <v>12100200216</v>
      </c>
      <c r="G265" s="8" t="s">
        <v>636</v>
      </c>
      <c r="H265" t="s">
        <v>558</v>
      </c>
      <c r="I265" s="11">
        <v>0</v>
      </c>
      <c r="J265" s="11">
        <v>0</v>
      </c>
      <c r="K265" s="11">
        <v>3303649.73</v>
      </c>
      <c r="L265" s="11">
        <v>0</v>
      </c>
      <c r="M265" s="11">
        <v>3303649.73</v>
      </c>
      <c r="N265" s="11">
        <v>3303649.73</v>
      </c>
      <c r="O265" s="11">
        <v>0</v>
      </c>
      <c r="P265" s="11">
        <v>3303649.73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3303649.73</v>
      </c>
      <c r="X265" s="11">
        <v>0</v>
      </c>
      <c r="Y265" s="17">
        <v>3303649.73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3303649.73</v>
      </c>
      <c r="AG265" s="11">
        <v>0</v>
      </c>
      <c r="AH265" s="12">
        <v>3303649.73</v>
      </c>
      <c r="AI265" s="11">
        <v>3303649.73</v>
      </c>
      <c r="AJ265" s="11">
        <v>3303649.73</v>
      </c>
      <c r="AK265" s="11">
        <v>3303649.73</v>
      </c>
      <c r="AL265" s="11">
        <v>0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t="s">
        <v>637</v>
      </c>
      <c r="AS265" s="4" t="str">
        <f t="shared" si="97"/>
        <v>Superávit Rendimientos Financieros S.G.P. Educación</v>
      </c>
      <c r="AT265" t="str">
        <f t="shared" si="98"/>
        <v>189Superávit Rendimientos Financieros S.G.P. Educación3303649,73</v>
      </c>
      <c r="AU265" t="str">
        <f>+_xlfn.XLOOKUP(AT265,CRUCE!J:J,CRUCE!M:M)</f>
        <v>READY</v>
      </c>
      <c r="AV265" t="s">
        <v>1907</v>
      </c>
      <c r="AW265" s="23">
        <f>+SUMIFS(CRUCE!D:D,CRUCE!A:A,'2022'!D265,CRUCE!B:B,'2022'!AS265)/COUNTIFS(D:D,D265,AS:AS,AS265)</f>
        <v>3303649.73</v>
      </c>
      <c r="AX265" s="23">
        <f t="shared" si="99"/>
        <v>3303649.73</v>
      </c>
      <c r="AY265" s="23">
        <f t="shared" si="100"/>
        <v>0</v>
      </c>
    </row>
    <row r="266" spans="1:51" x14ac:dyDescent="0.3">
      <c r="A266">
        <v>2022</v>
      </c>
      <c r="B266">
        <v>314</v>
      </c>
      <c r="C266">
        <v>12100200250</v>
      </c>
      <c r="D266" s="5">
        <v>187</v>
      </c>
      <c r="E266" s="8" t="s">
        <v>1217</v>
      </c>
      <c r="F266">
        <v>12100200250</v>
      </c>
      <c r="G266" s="8" t="s">
        <v>1218</v>
      </c>
      <c r="H266" t="s">
        <v>558</v>
      </c>
      <c r="I266" s="11">
        <v>0</v>
      </c>
      <c r="J266" s="11">
        <v>0</v>
      </c>
      <c r="K266" s="11">
        <v>318992344.52999997</v>
      </c>
      <c r="L266" s="11">
        <v>0</v>
      </c>
      <c r="M266" s="11">
        <v>318992344.52999997</v>
      </c>
      <c r="N266" s="11">
        <v>318992344.52999997</v>
      </c>
      <c r="O266" s="11">
        <v>0</v>
      </c>
      <c r="P266" s="11">
        <v>318992344.52999997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318992344.52999997</v>
      </c>
      <c r="X266" s="11">
        <v>0</v>
      </c>
      <c r="Y266" s="17">
        <v>318992344.52999997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318992344.52999997</v>
      </c>
      <c r="AG266" s="11">
        <v>0</v>
      </c>
      <c r="AH266" s="12">
        <v>318992344.52999997</v>
      </c>
      <c r="AI266" s="11">
        <v>318992344.52999997</v>
      </c>
      <c r="AJ266" s="11">
        <v>318992344.52999997</v>
      </c>
      <c r="AK266" s="11">
        <v>318992344.52999997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t="s">
        <v>634</v>
      </c>
      <c r="AS266" s="4" t="str">
        <f t="shared" si="97"/>
        <v>Superávit  Transferencias Nacion FOME</v>
      </c>
      <c r="AT266" t="str">
        <f t="shared" si="98"/>
        <v>187Superávit  Transferencias Nacion FOME318992344,53</v>
      </c>
      <c r="AU266" t="str">
        <f>+_xlfn.XLOOKUP(AT266,CRUCE!J:J,CRUCE!M:M)</f>
        <v>READY</v>
      </c>
      <c r="AV266" t="s">
        <v>1907</v>
      </c>
      <c r="AW266" s="23">
        <f>+SUMIFS(CRUCE!D:D,CRUCE!A:A,'2022'!D266,CRUCE!B:B,'2022'!AS266)/COUNTIFS(D:D,D266,AS:AS,AS266)</f>
        <v>318992344.52999997</v>
      </c>
      <c r="AX266" s="23">
        <f t="shared" si="99"/>
        <v>318992344.52999997</v>
      </c>
      <c r="AY266" s="23">
        <f t="shared" si="100"/>
        <v>0</v>
      </c>
    </row>
    <row r="267" spans="1:51" x14ac:dyDescent="0.3">
      <c r="A267">
        <v>2022</v>
      </c>
      <c r="B267">
        <v>314</v>
      </c>
      <c r="C267">
        <v>12100200255</v>
      </c>
      <c r="D267" s="5">
        <v>220</v>
      </c>
      <c r="E267" s="8" t="s">
        <v>1219</v>
      </c>
      <c r="F267">
        <v>12100200255</v>
      </c>
      <c r="G267" s="8" t="s">
        <v>1220</v>
      </c>
      <c r="H267" t="s">
        <v>558</v>
      </c>
      <c r="I267" s="11">
        <v>0</v>
      </c>
      <c r="J267" s="11">
        <v>0</v>
      </c>
      <c r="K267" s="11">
        <v>89035966</v>
      </c>
      <c r="L267" s="11">
        <v>71868</v>
      </c>
      <c r="M267" s="11">
        <v>88964098</v>
      </c>
      <c r="N267" s="11">
        <v>89035966</v>
      </c>
      <c r="O267" s="11">
        <v>71868</v>
      </c>
      <c r="P267" s="11">
        <v>88964098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88964098</v>
      </c>
      <c r="X267" s="11">
        <v>0</v>
      </c>
      <c r="Y267" s="17">
        <v>88964098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88964098</v>
      </c>
      <c r="AG267" s="11">
        <v>0</v>
      </c>
      <c r="AH267" s="12">
        <v>88964098</v>
      </c>
      <c r="AI267" s="11">
        <v>88964098</v>
      </c>
      <c r="AJ267" s="11">
        <v>83951426</v>
      </c>
      <c r="AK267" s="11">
        <v>83951426</v>
      </c>
      <c r="AL267" s="11">
        <v>5012672</v>
      </c>
      <c r="AM267" s="11">
        <v>5012672</v>
      </c>
      <c r="AN267" s="11">
        <v>0</v>
      </c>
      <c r="AO267" s="11">
        <v>5012672</v>
      </c>
      <c r="AP267" s="11">
        <v>0</v>
      </c>
      <c r="AQ267" s="11">
        <v>0</v>
      </c>
      <c r="AR267" t="s">
        <v>1221</v>
      </c>
      <c r="AS267" s="4" t="str">
        <f t="shared" si="97"/>
        <v xml:space="preserve">Superávit Reintegro Cuentas Por pagar </v>
      </c>
      <c r="AT267" t="str">
        <f t="shared" si="98"/>
        <v>220Superávit Reintegro Cuentas Por pagar 88964098</v>
      </c>
      <c r="AU267" t="str">
        <f>+_xlfn.XLOOKUP(AT267,CRUCE!J:J,CRUCE!M:M)</f>
        <v>READY</v>
      </c>
      <c r="AV267" t="s">
        <v>1907</v>
      </c>
      <c r="AW267" s="23">
        <f>+SUMIFS(CRUCE!D:D,CRUCE!A:A,'2022'!D267,CRUCE!B:B,'2022'!AS267)/COUNTIFS(D:D,D267,AS:AS,AS267)</f>
        <v>44482049</v>
      </c>
      <c r="AX267" s="23">
        <f t="shared" si="99"/>
        <v>44482049</v>
      </c>
      <c r="AY267" s="23">
        <f t="shared" si="100"/>
        <v>0</v>
      </c>
    </row>
    <row r="268" spans="1:51" hidden="1" x14ac:dyDescent="0.3">
      <c r="A268">
        <v>2022</v>
      </c>
      <c r="B268">
        <v>314</v>
      </c>
      <c r="C268">
        <v>1213</v>
      </c>
      <c r="D268" s="5" t="s">
        <v>44</v>
      </c>
      <c r="E268" s="8" t="s">
        <v>638</v>
      </c>
      <c r="F268">
        <v>1213</v>
      </c>
      <c r="G268" s="8" t="s">
        <v>546</v>
      </c>
      <c r="H268" t="s">
        <v>558</v>
      </c>
      <c r="I268" s="11">
        <v>80000000</v>
      </c>
      <c r="J268" s="11">
        <v>80000000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80000000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225806347.15000001</v>
      </c>
      <c r="X268" s="11">
        <v>200968464.15000001</v>
      </c>
      <c r="Y268" s="17">
        <v>24837883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11">
        <v>225806347.15000001</v>
      </c>
      <c r="AG268" s="11">
        <v>200968464.15000001</v>
      </c>
      <c r="AH268" s="12">
        <v>24837883</v>
      </c>
      <c r="AI268" s="11">
        <v>24837883</v>
      </c>
      <c r="AJ268" s="11">
        <v>0</v>
      </c>
      <c r="AK268" s="11">
        <v>0</v>
      </c>
      <c r="AL268" s="11">
        <v>222560785.15000001</v>
      </c>
      <c r="AM268" s="11">
        <v>225806347.15000001</v>
      </c>
      <c r="AN268" s="11">
        <v>3245562</v>
      </c>
      <c r="AO268" s="11">
        <v>225806347.15000001</v>
      </c>
      <c r="AP268" s="11">
        <v>0</v>
      </c>
      <c r="AQ268" s="11">
        <v>3245562</v>
      </c>
      <c r="AR268" t="s">
        <v>48</v>
      </c>
      <c r="AS268"/>
      <c r="AW268"/>
      <c r="AX268"/>
      <c r="AY268"/>
    </row>
    <row r="269" spans="1:51" x14ac:dyDescent="0.3">
      <c r="A269">
        <v>2022</v>
      </c>
      <c r="B269">
        <v>314</v>
      </c>
      <c r="C269">
        <v>121301</v>
      </c>
      <c r="D269" s="5">
        <v>204</v>
      </c>
      <c r="E269" s="8" t="s">
        <v>640</v>
      </c>
      <c r="F269">
        <v>121301</v>
      </c>
      <c r="G269" s="8" t="s">
        <v>459</v>
      </c>
      <c r="H269" t="s">
        <v>558</v>
      </c>
      <c r="I269" s="11">
        <v>80000000</v>
      </c>
      <c r="J269" s="11">
        <v>80000000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80000000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29585193</v>
      </c>
      <c r="X269" s="11">
        <v>6502356</v>
      </c>
      <c r="Y269" s="17">
        <v>23082837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29585193</v>
      </c>
      <c r="AG269" s="11">
        <v>6502356</v>
      </c>
      <c r="AH269" s="12">
        <v>23082837</v>
      </c>
      <c r="AI269" s="11">
        <v>23082837</v>
      </c>
      <c r="AJ269" s="11">
        <v>0</v>
      </c>
      <c r="AK269" s="11">
        <v>0</v>
      </c>
      <c r="AL269" s="11">
        <v>28058509</v>
      </c>
      <c r="AM269" s="11">
        <v>29585193</v>
      </c>
      <c r="AN269" s="11">
        <v>1526684</v>
      </c>
      <c r="AO269" s="11">
        <v>29585193</v>
      </c>
      <c r="AP269" s="11">
        <v>0</v>
      </c>
      <c r="AQ269" s="11">
        <v>1526684</v>
      </c>
      <c r="AR269" t="s">
        <v>641</v>
      </c>
      <c r="AS269" s="4" t="str">
        <f t="shared" ref="AS269:AS273" si="101">+G269</f>
        <v>Reintegros</v>
      </c>
      <c r="AT269" t="str">
        <f t="shared" ref="AT269:AT273" si="102">+D269&amp;AS269&amp;Y269</f>
        <v>204Reintegros23082837</v>
      </c>
      <c r="AU269" t="str">
        <f>+_xlfn.XLOOKUP(AT269,CRUCE!J:J,CRUCE!M:M)</f>
        <v>READY</v>
      </c>
      <c r="AV269" t="s">
        <v>1907</v>
      </c>
      <c r="AW269" s="23">
        <f>+SUMIFS(CRUCE!D:D,CRUCE!A:A,'2022'!D269,CRUCE!B:B,'2022'!AS269)/COUNTIFS(D:D,D269,AS:AS,AS269)</f>
        <v>23082837</v>
      </c>
      <c r="AX269" s="23">
        <f t="shared" ref="AX269:AX273" si="103">+SUMIFS(Y:Y,D:D,D269,AS:AS,AS269)/COUNTIFS(D:D,D269,AS:AS,AS269)</f>
        <v>23082837</v>
      </c>
      <c r="AY269" s="23">
        <f t="shared" ref="AY269:AY270" si="104">+AW269-AX269</f>
        <v>0</v>
      </c>
    </row>
    <row r="270" spans="1:51" x14ac:dyDescent="0.3">
      <c r="A270">
        <v>2022</v>
      </c>
      <c r="B270">
        <v>314</v>
      </c>
      <c r="C270">
        <v>121301</v>
      </c>
      <c r="D270" s="5">
        <v>220</v>
      </c>
      <c r="E270" s="8" t="s">
        <v>1222</v>
      </c>
      <c r="F270">
        <v>121301</v>
      </c>
      <c r="G270" s="8" t="s">
        <v>459</v>
      </c>
      <c r="H270" t="s">
        <v>558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4975672</v>
      </c>
      <c r="X270" s="11">
        <v>4975672</v>
      </c>
      <c r="Y270" s="17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4975672</v>
      </c>
      <c r="AG270" s="11">
        <v>4975672</v>
      </c>
      <c r="AH270" s="12">
        <v>0</v>
      </c>
      <c r="AI270" s="11">
        <v>0</v>
      </c>
      <c r="AJ270" s="11">
        <v>0</v>
      </c>
      <c r="AK270" s="11">
        <v>0</v>
      </c>
      <c r="AL270" s="11">
        <v>4975672</v>
      </c>
      <c r="AM270" s="11">
        <v>4975672</v>
      </c>
      <c r="AN270" s="11">
        <v>0</v>
      </c>
      <c r="AO270" s="11">
        <v>4975672</v>
      </c>
      <c r="AP270" s="11">
        <v>0</v>
      </c>
      <c r="AQ270" s="11">
        <v>0</v>
      </c>
      <c r="AR270" t="s">
        <v>1221</v>
      </c>
      <c r="AS270" s="4" t="str">
        <f t="shared" si="101"/>
        <v>Reintegros</v>
      </c>
      <c r="AT270" t="str">
        <f t="shared" si="102"/>
        <v>220Reintegros0</v>
      </c>
      <c r="AU270" t="str">
        <f>+_xlfn.XLOOKUP(AT270,CRUCE!J:J,CRUCE!M:M)</f>
        <v>READY</v>
      </c>
      <c r="AV270" t="s">
        <v>1907</v>
      </c>
      <c r="AW270" s="23">
        <f>+SUMIFS(CRUCE!D:D,CRUCE!A:A,'2022'!D270,CRUCE!B:B,'2022'!AS270)/COUNTIFS(D:D,D270,AS:AS,AS270)</f>
        <v>0</v>
      </c>
      <c r="AX270" s="23">
        <f t="shared" si="103"/>
        <v>0</v>
      </c>
      <c r="AY270" s="23">
        <f t="shared" si="104"/>
        <v>0</v>
      </c>
    </row>
    <row r="271" spans="1:51" x14ac:dyDescent="0.3">
      <c r="A271">
        <v>2022</v>
      </c>
      <c r="B271">
        <v>314</v>
      </c>
      <c r="C271">
        <v>121301</v>
      </c>
      <c r="D271" s="5">
        <v>223</v>
      </c>
      <c r="E271" s="8" t="s">
        <v>1223</v>
      </c>
      <c r="F271">
        <v>121301</v>
      </c>
      <c r="G271" s="8" t="s">
        <v>459</v>
      </c>
      <c r="H271" t="s">
        <v>558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189490436.15000001</v>
      </c>
      <c r="X271" s="11">
        <v>189490436.15000001</v>
      </c>
      <c r="Y271" s="17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189490436.15000001</v>
      </c>
      <c r="AG271" s="11">
        <v>189490436.15000001</v>
      </c>
      <c r="AH271" s="12">
        <v>0</v>
      </c>
      <c r="AI271" s="11">
        <v>0</v>
      </c>
      <c r="AJ271" s="11">
        <v>0</v>
      </c>
      <c r="AK271" s="11">
        <v>0</v>
      </c>
      <c r="AL271" s="11">
        <v>187771558.15000001</v>
      </c>
      <c r="AM271" s="11">
        <v>189490436.15000001</v>
      </c>
      <c r="AN271" s="11">
        <v>1718878</v>
      </c>
      <c r="AO271" s="11">
        <v>189490436.15000001</v>
      </c>
      <c r="AP271" s="11">
        <v>0</v>
      </c>
      <c r="AQ271" s="11">
        <v>1718878</v>
      </c>
      <c r="AR271" t="s">
        <v>1224</v>
      </c>
      <c r="AS271" s="4" t="str">
        <f t="shared" si="101"/>
        <v>Reintegros</v>
      </c>
      <c r="AT271" t="str">
        <f t="shared" si="102"/>
        <v>223Reintegros0</v>
      </c>
      <c r="AU271" t="str">
        <f>+_xlfn.XLOOKUP(AT271,CRUCE!J:J,CRUCE!M:M)</f>
        <v>READY</v>
      </c>
      <c r="AV271" t="s">
        <v>1907</v>
      </c>
      <c r="AW271" s="23">
        <f>+SUMIFS(CRUCE!D:D,CRUCE!A:A,'2022'!D271,CRUCE!B:B,'2022'!AS271)/COUNTIFS(D:D,D271,AS:AS,AS271)</f>
        <v>0</v>
      </c>
      <c r="AX271" s="23">
        <f t="shared" si="103"/>
        <v>0</v>
      </c>
      <c r="AY271" s="23">
        <f>+AW271-AX271</f>
        <v>0</v>
      </c>
    </row>
    <row r="272" spans="1:51" x14ac:dyDescent="0.3">
      <c r="A272">
        <v>2022</v>
      </c>
      <c r="B272">
        <v>314</v>
      </c>
      <c r="C272">
        <v>121301</v>
      </c>
      <c r="D272" s="5">
        <v>227</v>
      </c>
      <c r="E272" s="8" t="s">
        <v>1225</v>
      </c>
      <c r="F272">
        <v>121301</v>
      </c>
      <c r="G272" s="8" t="s">
        <v>459</v>
      </c>
      <c r="H272" t="s">
        <v>558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58724</v>
      </c>
      <c r="X272" s="11">
        <v>0</v>
      </c>
      <c r="Y272" s="17">
        <v>58724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58724</v>
      </c>
      <c r="AG272" s="11">
        <v>0</v>
      </c>
      <c r="AH272" s="12">
        <v>58724</v>
      </c>
      <c r="AI272" s="11">
        <v>58724</v>
      </c>
      <c r="AJ272" s="11">
        <v>0</v>
      </c>
      <c r="AK272" s="11">
        <v>0</v>
      </c>
      <c r="AL272" s="11">
        <v>58724</v>
      </c>
      <c r="AM272" s="11">
        <v>58724</v>
      </c>
      <c r="AN272" s="11">
        <v>0</v>
      </c>
      <c r="AO272" s="11">
        <v>58724</v>
      </c>
      <c r="AP272" s="11">
        <v>0</v>
      </c>
      <c r="AQ272" s="11">
        <v>0</v>
      </c>
      <c r="AR272" t="s">
        <v>1226</v>
      </c>
      <c r="AS272" s="4" t="str">
        <f t="shared" si="101"/>
        <v>Reintegros</v>
      </c>
      <c r="AT272" t="str">
        <f t="shared" si="102"/>
        <v>227Reintegros58724</v>
      </c>
      <c r="AU272" t="str">
        <f>+_xlfn.XLOOKUP(AT272,CRUCE!J:J,CRUCE!M:M)</f>
        <v>READY</v>
      </c>
      <c r="AV272" t="s">
        <v>1907</v>
      </c>
      <c r="AW272" s="23">
        <f>+SUMIFS(CRUCE!D:D,CRUCE!A:A,'2022'!D272,CRUCE!B:B,'2022'!AS272)/COUNTIFS(D:D,D272,AS:AS,AS272)</f>
        <v>58724</v>
      </c>
      <c r="AX272" s="23">
        <f t="shared" si="103"/>
        <v>58724</v>
      </c>
      <c r="AY272" s="23">
        <f t="shared" ref="AY272:AY273" si="105">+AW272-AX272</f>
        <v>0</v>
      </c>
    </row>
    <row r="273" spans="1:51" x14ac:dyDescent="0.3">
      <c r="A273">
        <v>2022</v>
      </c>
      <c r="B273">
        <v>314</v>
      </c>
      <c r="C273">
        <v>121301</v>
      </c>
      <c r="D273" s="5">
        <v>228</v>
      </c>
      <c r="E273" s="8" t="s">
        <v>1227</v>
      </c>
      <c r="F273">
        <v>121301</v>
      </c>
      <c r="G273" s="8" t="s">
        <v>459</v>
      </c>
      <c r="H273" t="s">
        <v>558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1696322</v>
      </c>
      <c r="X273" s="11">
        <v>0</v>
      </c>
      <c r="Y273" s="17">
        <v>1696322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1696322</v>
      </c>
      <c r="AG273" s="11">
        <v>0</v>
      </c>
      <c r="AH273" s="12">
        <v>1696322</v>
      </c>
      <c r="AI273" s="11">
        <v>1696322</v>
      </c>
      <c r="AJ273" s="11">
        <v>0</v>
      </c>
      <c r="AK273" s="11">
        <v>0</v>
      </c>
      <c r="AL273" s="11">
        <v>1696322</v>
      </c>
      <c r="AM273" s="11">
        <v>1696322</v>
      </c>
      <c r="AN273" s="11">
        <v>0</v>
      </c>
      <c r="AO273" s="11">
        <v>1696322</v>
      </c>
      <c r="AP273" s="11">
        <v>0</v>
      </c>
      <c r="AQ273" s="11">
        <v>0</v>
      </c>
      <c r="AR273" t="s">
        <v>1228</v>
      </c>
      <c r="AS273" s="4" t="str">
        <f t="shared" si="101"/>
        <v>Reintegros</v>
      </c>
      <c r="AT273" t="str">
        <f t="shared" si="102"/>
        <v>228Reintegros1696322</v>
      </c>
      <c r="AU273" t="str">
        <f>+_xlfn.XLOOKUP(AT273,CRUCE!J:J,CRUCE!M:M)</f>
        <v>READY</v>
      </c>
      <c r="AV273" t="s">
        <v>1907</v>
      </c>
      <c r="AW273" s="23">
        <f>+SUMIFS(CRUCE!D:D,CRUCE!A:A,'2022'!D273,CRUCE!B:B,'2022'!AS273)/COUNTIFS(D:D,D273,AS:AS,AS273)</f>
        <v>1696322</v>
      </c>
      <c r="AX273" s="23">
        <f t="shared" si="103"/>
        <v>1696322</v>
      </c>
      <c r="AY273" s="23">
        <f t="shared" si="105"/>
        <v>0</v>
      </c>
    </row>
    <row r="274" spans="1:51" hidden="1" x14ac:dyDescent="0.3">
      <c r="A274">
        <v>2022</v>
      </c>
      <c r="B274">
        <v>318</v>
      </c>
      <c r="C274">
        <v>1</v>
      </c>
      <c r="D274" s="5" t="s">
        <v>44</v>
      </c>
      <c r="E274" s="8" t="s">
        <v>642</v>
      </c>
      <c r="F274">
        <v>1</v>
      </c>
      <c r="G274" s="8" t="s">
        <v>46</v>
      </c>
      <c r="H274" t="s">
        <v>643</v>
      </c>
      <c r="I274" s="11">
        <v>47036328956</v>
      </c>
      <c r="J274" s="11">
        <v>47036328956</v>
      </c>
      <c r="K274" s="11">
        <v>33052337304.220001</v>
      </c>
      <c r="L274" s="11">
        <v>291752893</v>
      </c>
      <c r="M274" s="11">
        <v>32760584411.220001</v>
      </c>
      <c r="N274" s="11">
        <v>33052337304.220001</v>
      </c>
      <c r="O274" s="11">
        <v>291752893</v>
      </c>
      <c r="P274" s="11">
        <v>79796913367.220001</v>
      </c>
      <c r="Q274" s="11">
        <v>391134685.36000001</v>
      </c>
      <c r="R274" s="11">
        <v>5858570.0999999996</v>
      </c>
      <c r="S274" s="11">
        <v>385276115.25999999</v>
      </c>
      <c r="T274" s="11">
        <v>0</v>
      </c>
      <c r="U274" s="11">
        <v>0</v>
      </c>
      <c r="V274" s="11">
        <v>0</v>
      </c>
      <c r="W274" s="11">
        <v>83365371688.360001</v>
      </c>
      <c r="X274" s="11">
        <v>2053888952.8199999</v>
      </c>
      <c r="Y274" s="17">
        <v>81311482735.539993</v>
      </c>
      <c r="Z274" s="11">
        <v>391134685.36000001</v>
      </c>
      <c r="AA274" s="11">
        <v>5858570.0999999996</v>
      </c>
      <c r="AB274" s="11">
        <v>385276115.25999999</v>
      </c>
      <c r="AC274" s="11">
        <v>0</v>
      </c>
      <c r="AD274" s="11">
        <v>0</v>
      </c>
      <c r="AE274" s="11">
        <v>0</v>
      </c>
      <c r="AF274" s="11">
        <v>83365371688.360001</v>
      </c>
      <c r="AG274" s="11">
        <v>2053888952.8199999</v>
      </c>
      <c r="AH274" s="12">
        <v>81311482735.539993</v>
      </c>
      <c r="AI274" s="11">
        <v>81311482735.539993</v>
      </c>
      <c r="AJ274" s="11">
        <v>29644014615.93</v>
      </c>
      <c r="AK274" s="11">
        <v>29644014615.93</v>
      </c>
      <c r="AL274" s="11">
        <v>51667468119.610001</v>
      </c>
      <c r="AM274" s="11">
        <v>52887939473.959999</v>
      </c>
      <c r="AN274" s="11">
        <v>1220471354.3499999</v>
      </c>
      <c r="AO274" s="11">
        <v>52887939473.959999</v>
      </c>
      <c r="AP274" s="11">
        <v>0</v>
      </c>
      <c r="AQ274" s="11">
        <v>1220471354.3499999</v>
      </c>
      <c r="AR274" t="s">
        <v>48</v>
      </c>
      <c r="AS274"/>
      <c r="AW274"/>
      <c r="AX274"/>
      <c r="AY274"/>
    </row>
    <row r="275" spans="1:51" hidden="1" x14ac:dyDescent="0.3">
      <c r="A275">
        <v>2022</v>
      </c>
      <c r="B275">
        <v>318</v>
      </c>
      <c r="C275">
        <v>11</v>
      </c>
      <c r="D275" s="5" t="s">
        <v>44</v>
      </c>
      <c r="E275" s="8" t="s">
        <v>644</v>
      </c>
      <c r="F275">
        <v>11</v>
      </c>
      <c r="G275" s="8" t="s">
        <v>50</v>
      </c>
      <c r="H275" t="s">
        <v>643</v>
      </c>
      <c r="I275" s="11">
        <v>46635613520</v>
      </c>
      <c r="J275" s="11">
        <v>46635613520</v>
      </c>
      <c r="K275" s="11">
        <v>22636683828.02</v>
      </c>
      <c r="L275" s="11">
        <v>282689985</v>
      </c>
      <c r="M275" s="11">
        <v>22353993843.02</v>
      </c>
      <c r="N275" s="11">
        <v>22636683828.02</v>
      </c>
      <c r="O275" s="11">
        <v>282689985</v>
      </c>
      <c r="P275" s="11">
        <v>68989607363.020004</v>
      </c>
      <c r="Q275" s="11">
        <v>391134685.36000001</v>
      </c>
      <c r="R275" s="11">
        <v>5858570.0999999996</v>
      </c>
      <c r="S275" s="11">
        <v>385276115.25999999</v>
      </c>
      <c r="T275" s="11">
        <v>0</v>
      </c>
      <c r="U275" s="11">
        <v>0</v>
      </c>
      <c r="V275" s="11">
        <v>0</v>
      </c>
      <c r="W275" s="11">
        <v>71299447225.949997</v>
      </c>
      <c r="X275" s="11">
        <v>2040458885.4200001</v>
      </c>
      <c r="Y275" s="17">
        <v>69258988340.529999</v>
      </c>
      <c r="Z275" s="11">
        <v>391134685.36000001</v>
      </c>
      <c r="AA275" s="11">
        <v>5858570.0999999996</v>
      </c>
      <c r="AB275" s="11">
        <v>385276115.25999999</v>
      </c>
      <c r="AC275" s="11">
        <v>0</v>
      </c>
      <c r="AD275" s="11">
        <v>0</v>
      </c>
      <c r="AE275" s="11">
        <v>0</v>
      </c>
      <c r="AF275" s="11">
        <v>71299447225.949997</v>
      </c>
      <c r="AG275" s="11">
        <v>2040458885.4200001</v>
      </c>
      <c r="AH275" s="12">
        <v>69258988340.529999</v>
      </c>
      <c r="AI275" s="11">
        <v>69258988340.529999</v>
      </c>
      <c r="AJ275" s="11">
        <v>17814916911.41</v>
      </c>
      <c r="AK275" s="11">
        <v>17814916911.41</v>
      </c>
      <c r="AL275" s="11">
        <v>51444071429.120003</v>
      </c>
      <c r="AM275" s="11">
        <v>52651112716.07</v>
      </c>
      <c r="AN275" s="11">
        <v>1207041286.95</v>
      </c>
      <c r="AO275" s="11">
        <v>52651112716.07</v>
      </c>
      <c r="AP275" s="11">
        <v>0</v>
      </c>
      <c r="AQ275" s="11">
        <v>1207041286.95</v>
      </c>
      <c r="AR275" t="s">
        <v>48</v>
      </c>
      <c r="AS275"/>
      <c r="AW275"/>
      <c r="AX275"/>
      <c r="AY275"/>
    </row>
    <row r="276" spans="1:51" hidden="1" x14ac:dyDescent="0.3">
      <c r="A276">
        <v>2022</v>
      </c>
      <c r="B276">
        <v>318</v>
      </c>
      <c r="C276">
        <v>1101</v>
      </c>
      <c r="D276" s="5" t="s">
        <v>44</v>
      </c>
      <c r="E276" s="8" t="s">
        <v>645</v>
      </c>
      <c r="F276">
        <v>1101</v>
      </c>
      <c r="G276" s="8" t="s">
        <v>52</v>
      </c>
      <c r="H276" t="s">
        <v>643</v>
      </c>
      <c r="I276" s="11">
        <v>20627049272.790001</v>
      </c>
      <c r="J276" s="11">
        <v>20627049272.790001</v>
      </c>
      <c r="K276" s="11">
        <v>12316844813.99</v>
      </c>
      <c r="L276" s="11">
        <v>0</v>
      </c>
      <c r="M276" s="11">
        <v>12316844813.99</v>
      </c>
      <c r="N276" s="11">
        <v>12316844813.99</v>
      </c>
      <c r="O276" s="11">
        <v>0</v>
      </c>
      <c r="P276" s="11">
        <v>32943894086.779999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30217313609.619999</v>
      </c>
      <c r="X276" s="11">
        <v>339489221.25</v>
      </c>
      <c r="Y276" s="17">
        <v>29877824388.369999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30217313609.619999</v>
      </c>
      <c r="AG276" s="11">
        <v>339489221.25</v>
      </c>
      <c r="AH276" s="12">
        <v>29877824388.369999</v>
      </c>
      <c r="AI276" s="11">
        <v>29877824388.369999</v>
      </c>
      <c r="AJ276" s="11">
        <v>7851737463.75</v>
      </c>
      <c r="AK276" s="11">
        <v>7851737463.75</v>
      </c>
      <c r="AL276" s="11">
        <v>22026086924.619999</v>
      </c>
      <c r="AM276" s="11">
        <v>22365576145.869999</v>
      </c>
      <c r="AN276" s="11">
        <v>339489221.25</v>
      </c>
      <c r="AO276" s="11">
        <v>22365576145.869999</v>
      </c>
      <c r="AP276" s="11">
        <v>0</v>
      </c>
      <c r="AQ276" s="11">
        <v>339489221.25</v>
      </c>
      <c r="AR276" t="s">
        <v>48</v>
      </c>
      <c r="AS276"/>
      <c r="AW276"/>
      <c r="AX276"/>
      <c r="AY276"/>
    </row>
    <row r="277" spans="1:51" hidden="1" x14ac:dyDescent="0.3">
      <c r="A277">
        <v>2022</v>
      </c>
      <c r="B277">
        <v>318</v>
      </c>
      <c r="C277">
        <v>110101</v>
      </c>
      <c r="D277" s="5" t="s">
        <v>44</v>
      </c>
      <c r="E277" s="8" t="s">
        <v>646</v>
      </c>
      <c r="F277">
        <v>110101</v>
      </c>
      <c r="G277" s="8" t="s">
        <v>54</v>
      </c>
      <c r="H277" t="s">
        <v>643</v>
      </c>
      <c r="I277" s="11">
        <v>1092098811.71</v>
      </c>
      <c r="J277" s="11">
        <v>1092098811.71</v>
      </c>
      <c r="K277" s="11">
        <v>3411272927.25</v>
      </c>
      <c r="L277" s="11">
        <v>0</v>
      </c>
      <c r="M277" s="11">
        <v>3411272927.25</v>
      </c>
      <c r="N277" s="11">
        <v>3411272927.25</v>
      </c>
      <c r="O277" s="11">
        <v>0</v>
      </c>
      <c r="P277" s="11">
        <v>4503371738.96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875511590</v>
      </c>
      <c r="X277" s="11">
        <v>15206760</v>
      </c>
      <c r="Y277" s="17">
        <v>860304830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11">
        <v>875511590</v>
      </c>
      <c r="AG277" s="11">
        <v>15206760</v>
      </c>
      <c r="AH277" s="12">
        <v>860304830</v>
      </c>
      <c r="AI277" s="11">
        <v>860304830</v>
      </c>
      <c r="AJ277" s="11">
        <v>645227871</v>
      </c>
      <c r="AK277" s="11">
        <v>645227871</v>
      </c>
      <c r="AL277" s="11">
        <v>215076959</v>
      </c>
      <c r="AM277" s="11">
        <v>230283719</v>
      </c>
      <c r="AN277" s="11">
        <v>15206760</v>
      </c>
      <c r="AO277" s="11">
        <v>230283719</v>
      </c>
      <c r="AP277" s="11">
        <v>0</v>
      </c>
      <c r="AQ277" s="11">
        <v>15206760</v>
      </c>
      <c r="AR277" t="s">
        <v>48</v>
      </c>
      <c r="AS277"/>
      <c r="AW277"/>
      <c r="AX277"/>
      <c r="AY277"/>
    </row>
    <row r="278" spans="1:51" hidden="1" x14ac:dyDescent="0.3">
      <c r="A278">
        <v>2022</v>
      </c>
      <c r="B278">
        <v>318</v>
      </c>
      <c r="C278">
        <v>110101101</v>
      </c>
      <c r="D278" s="5" t="s">
        <v>44</v>
      </c>
      <c r="E278" s="8" t="s">
        <v>647</v>
      </c>
      <c r="F278">
        <v>110101101</v>
      </c>
      <c r="G278" s="8" t="s">
        <v>648</v>
      </c>
      <c r="H278" t="s">
        <v>643</v>
      </c>
      <c r="I278" s="11">
        <v>1092098811.71</v>
      </c>
      <c r="J278" s="11">
        <v>1092098811.71</v>
      </c>
      <c r="K278" s="11">
        <v>3411272927.25</v>
      </c>
      <c r="L278" s="11">
        <v>0</v>
      </c>
      <c r="M278" s="11">
        <v>3411272927.25</v>
      </c>
      <c r="N278" s="11">
        <v>3411272927.25</v>
      </c>
      <c r="O278" s="11">
        <v>0</v>
      </c>
      <c r="P278" s="11">
        <v>4503371738.96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875511590</v>
      </c>
      <c r="X278" s="11">
        <v>15206760</v>
      </c>
      <c r="Y278" s="17">
        <v>860304830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875511590</v>
      </c>
      <c r="AG278" s="11">
        <v>15206760</v>
      </c>
      <c r="AH278" s="12">
        <v>860304830</v>
      </c>
      <c r="AI278" s="11">
        <v>860304830</v>
      </c>
      <c r="AJ278" s="11">
        <v>645227871</v>
      </c>
      <c r="AK278" s="11">
        <v>645227871</v>
      </c>
      <c r="AL278" s="11">
        <v>215076959</v>
      </c>
      <c r="AM278" s="11">
        <v>230283719</v>
      </c>
      <c r="AN278" s="11">
        <v>15206760</v>
      </c>
      <c r="AO278" s="11">
        <v>230283719</v>
      </c>
      <c r="AP278" s="11">
        <v>0</v>
      </c>
      <c r="AQ278" s="11">
        <v>15206760</v>
      </c>
      <c r="AR278" t="s">
        <v>48</v>
      </c>
      <c r="AS278"/>
      <c r="AW278"/>
      <c r="AX278"/>
      <c r="AY278"/>
    </row>
    <row r="279" spans="1:51" x14ac:dyDescent="0.3">
      <c r="A279">
        <v>2022</v>
      </c>
      <c r="B279">
        <v>318</v>
      </c>
      <c r="C279">
        <v>11010110101</v>
      </c>
      <c r="D279" s="5">
        <v>154</v>
      </c>
      <c r="E279" s="8" t="s">
        <v>649</v>
      </c>
      <c r="F279">
        <v>11010110101</v>
      </c>
      <c r="G279" s="8" t="s">
        <v>650</v>
      </c>
      <c r="H279" t="s">
        <v>643</v>
      </c>
      <c r="I279" s="11">
        <v>76446916.340000004</v>
      </c>
      <c r="J279" s="11">
        <v>76446916.340000004</v>
      </c>
      <c r="K279" s="11">
        <v>1930160572.4000001</v>
      </c>
      <c r="L279" s="11">
        <v>0</v>
      </c>
      <c r="M279" s="11">
        <v>1930160572.4000001</v>
      </c>
      <c r="N279" s="11">
        <v>1930160572.4000001</v>
      </c>
      <c r="O279" s="11">
        <v>0</v>
      </c>
      <c r="P279" s="11">
        <v>2006607488.74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84814710</v>
      </c>
      <c r="X279" s="11">
        <v>0</v>
      </c>
      <c r="Y279" s="17">
        <v>84814710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84814710</v>
      </c>
      <c r="AG279" s="11">
        <v>0</v>
      </c>
      <c r="AH279" s="12">
        <v>84814710</v>
      </c>
      <c r="AI279" s="11">
        <v>84814710</v>
      </c>
      <c r="AJ279" s="11">
        <v>84814710</v>
      </c>
      <c r="AK279" s="11">
        <v>84814710</v>
      </c>
      <c r="AL279" s="11">
        <v>0</v>
      </c>
      <c r="AM279" s="11">
        <v>0</v>
      </c>
      <c r="AN279" s="11">
        <v>0</v>
      </c>
      <c r="AO279" s="11">
        <v>0</v>
      </c>
      <c r="AP279" s="11">
        <v>0</v>
      </c>
      <c r="AQ279" s="11">
        <v>0</v>
      </c>
      <c r="AR279" t="s">
        <v>651</v>
      </c>
      <c r="AS279" s="4" t="str">
        <f t="shared" ref="AS279:AS284" si="106">+G279</f>
        <v>Impuesto a Ganadores Sorteo Extraordinario  68%</v>
      </c>
      <c r="AT279" t="str">
        <f t="shared" ref="AT279:AT284" si="107">+D279&amp;AS279&amp;Y279</f>
        <v>154Impuesto a Ganadores Sorteo Extraordinario  68%84814710</v>
      </c>
      <c r="AU279" t="str">
        <f>+_xlfn.XLOOKUP(AT279,CRUCE!J:J,CRUCE!M:M)</f>
        <v>READY</v>
      </c>
      <c r="AV279" t="s">
        <v>1907</v>
      </c>
      <c r="AW279" s="23">
        <f>+SUMIFS(CRUCE!D:D,CRUCE!A:A,'2022'!D279,CRUCE!B:B,'2022'!AS279)/COUNTIFS(D:D,D279,AS:AS,AS279)</f>
        <v>84814710</v>
      </c>
      <c r="AX279" s="23">
        <f t="shared" ref="AX279:AX284" si="108">+SUMIFS(Y:Y,D:D,D279,AS:AS,AS279)/COUNTIFS(D:D,D279,AS:AS,AS279)</f>
        <v>84814710</v>
      </c>
      <c r="AY279" s="23">
        <f t="shared" ref="AY279:AY284" si="109">+AW279-AX279</f>
        <v>0</v>
      </c>
    </row>
    <row r="280" spans="1:51" x14ac:dyDescent="0.3">
      <c r="A280">
        <v>2022</v>
      </c>
      <c r="B280">
        <v>318</v>
      </c>
      <c r="C280">
        <v>11010110102</v>
      </c>
      <c r="D280" s="5">
        <v>154</v>
      </c>
      <c r="E280" s="8" t="s">
        <v>652</v>
      </c>
      <c r="F280">
        <v>11010110102</v>
      </c>
      <c r="G280" s="8" t="s">
        <v>653</v>
      </c>
      <c r="H280" t="s">
        <v>643</v>
      </c>
      <c r="I280" s="11">
        <v>666180276.49000001</v>
      </c>
      <c r="J280" s="11">
        <v>666180276.49000001</v>
      </c>
      <c r="K280" s="11">
        <v>1481112354.8499999</v>
      </c>
      <c r="L280" s="11">
        <v>0</v>
      </c>
      <c r="M280" s="11">
        <v>1481112354.8499999</v>
      </c>
      <c r="N280" s="11">
        <v>1481112354.8499999</v>
      </c>
      <c r="O280" s="11">
        <v>0</v>
      </c>
      <c r="P280" s="11">
        <v>2147292631.3399999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500194613</v>
      </c>
      <c r="X280" s="11">
        <v>0</v>
      </c>
      <c r="Y280" s="17">
        <v>500194613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500194613</v>
      </c>
      <c r="AG280" s="11">
        <v>0</v>
      </c>
      <c r="AH280" s="12">
        <v>500194613</v>
      </c>
      <c r="AI280" s="11">
        <v>500194613</v>
      </c>
      <c r="AJ280" s="11">
        <v>500194613</v>
      </c>
      <c r="AK280" s="11">
        <v>500194613</v>
      </c>
      <c r="AL280" s="11">
        <v>0</v>
      </c>
      <c r="AM280" s="11">
        <v>0</v>
      </c>
      <c r="AN280" s="11">
        <v>0</v>
      </c>
      <c r="AO280" s="11">
        <v>0</v>
      </c>
      <c r="AP280" s="11">
        <v>0</v>
      </c>
      <c r="AQ280" s="11">
        <v>0</v>
      </c>
      <c r="AR280" t="s">
        <v>651</v>
      </c>
      <c r="AS280" s="4" t="str">
        <f t="shared" si="106"/>
        <v>Impuestos a Ganadores Sorteo Ordinario 68%</v>
      </c>
      <c r="AT280" t="str">
        <f t="shared" si="107"/>
        <v>154Impuestos a Ganadores Sorteo Ordinario 68%500194613</v>
      </c>
      <c r="AU280" t="str">
        <f>+_xlfn.XLOOKUP(AT280,CRUCE!J:J,CRUCE!M:M)</f>
        <v>READY</v>
      </c>
      <c r="AV280" t="s">
        <v>1907</v>
      </c>
      <c r="AW280" s="23">
        <f>+SUMIFS(CRUCE!D:D,CRUCE!A:A,'2022'!D280,CRUCE!B:B,'2022'!AS280)/COUNTIFS(D:D,D280,AS:AS,AS280)</f>
        <v>500194613</v>
      </c>
      <c r="AX280" s="23">
        <f t="shared" si="108"/>
        <v>500194613</v>
      </c>
      <c r="AY280" s="23">
        <f t="shared" si="109"/>
        <v>0</v>
      </c>
    </row>
    <row r="281" spans="1:51" x14ac:dyDescent="0.3">
      <c r="A281">
        <v>2022</v>
      </c>
      <c r="B281">
        <v>318</v>
      </c>
      <c r="C281">
        <v>11010110103</v>
      </c>
      <c r="D281" s="5">
        <v>72</v>
      </c>
      <c r="E281" s="8" t="s">
        <v>654</v>
      </c>
      <c r="F281">
        <v>11010110103</v>
      </c>
      <c r="G281" s="8" t="s">
        <v>655</v>
      </c>
      <c r="H281" t="s">
        <v>643</v>
      </c>
      <c r="I281" s="11">
        <v>32762964.27</v>
      </c>
      <c r="J281" s="11">
        <v>32762964.27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32762964.27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31181881</v>
      </c>
      <c r="X281" s="11">
        <v>0</v>
      </c>
      <c r="Y281" s="17">
        <v>31181881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31181881</v>
      </c>
      <c r="AG281" s="11">
        <v>0</v>
      </c>
      <c r="AH281" s="12">
        <v>31181881</v>
      </c>
      <c r="AI281" s="11">
        <v>31181881</v>
      </c>
      <c r="AJ281" s="11">
        <v>0</v>
      </c>
      <c r="AK281" s="11">
        <v>0</v>
      </c>
      <c r="AL281" s="11">
        <v>31181881</v>
      </c>
      <c r="AM281" s="11">
        <v>31181881</v>
      </c>
      <c r="AN281" s="11">
        <v>0</v>
      </c>
      <c r="AO281" s="11">
        <v>31181881</v>
      </c>
      <c r="AP281" s="11">
        <v>0</v>
      </c>
      <c r="AQ281" s="11">
        <v>0</v>
      </c>
      <c r="AR281" t="s">
        <v>656</v>
      </c>
      <c r="AS281" s="4" t="str">
        <f t="shared" si="106"/>
        <v>Impuesto a Ganadores Sorteo Extraordinario 25%</v>
      </c>
      <c r="AT281" t="str">
        <f t="shared" si="107"/>
        <v>72Impuesto a Ganadores Sorteo Extraordinario 25%31181881</v>
      </c>
      <c r="AU281" t="str">
        <f>+_xlfn.XLOOKUP(AT281,CRUCE!J:J,CRUCE!M:M)</f>
        <v>READY</v>
      </c>
      <c r="AV281" t="s">
        <v>1907</v>
      </c>
      <c r="AW281" s="23">
        <f>+SUMIFS(CRUCE!D:D,CRUCE!A:A,'2022'!D281,CRUCE!B:B,'2022'!AS281)/COUNTIFS(D:D,D281,AS:AS,AS281)</f>
        <v>31181881</v>
      </c>
      <c r="AX281" s="23">
        <f t="shared" si="108"/>
        <v>31181881</v>
      </c>
      <c r="AY281" s="23">
        <f t="shared" si="109"/>
        <v>0</v>
      </c>
    </row>
    <row r="282" spans="1:51" x14ac:dyDescent="0.3">
      <c r="A282">
        <v>2022</v>
      </c>
      <c r="B282">
        <v>318</v>
      </c>
      <c r="C282">
        <v>11010110104</v>
      </c>
      <c r="D282" s="5">
        <v>72</v>
      </c>
      <c r="E282" s="8" t="s">
        <v>657</v>
      </c>
      <c r="F282">
        <v>11010110104</v>
      </c>
      <c r="G282" s="8" t="s">
        <v>658</v>
      </c>
      <c r="H282" t="s">
        <v>643</v>
      </c>
      <c r="I282" s="11">
        <v>240261737.97999999</v>
      </c>
      <c r="J282" s="11">
        <v>240261737.97999999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240261737.97999999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199101838</v>
      </c>
      <c r="X282" s="11">
        <v>15206760</v>
      </c>
      <c r="Y282" s="17">
        <v>183895078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199101838</v>
      </c>
      <c r="AG282" s="11">
        <v>15206760</v>
      </c>
      <c r="AH282" s="12">
        <v>183895078</v>
      </c>
      <c r="AI282" s="11">
        <v>183895078</v>
      </c>
      <c r="AJ282" s="11">
        <v>0</v>
      </c>
      <c r="AK282" s="11">
        <v>0</v>
      </c>
      <c r="AL282" s="11">
        <v>183895078</v>
      </c>
      <c r="AM282" s="11">
        <v>199101838</v>
      </c>
      <c r="AN282" s="11">
        <v>15206760</v>
      </c>
      <c r="AO282" s="11">
        <v>199101838</v>
      </c>
      <c r="AP282" s="11">
        <v>0</v>
      </c>
      <c r="AQ282" s="11">
        <v>15206760</v>
      </c>
      <c r="AR282" t="s">
        <v>656</v>
      </c>
      <c r="AS282" s="4" t="str">
        <f t="shared" si="106"/>
        <v>Impuesto a Ganadores Sorteo Ordinario 25%</v>
      </c>
      <c r="AT282" t="str">
        <f t="shared" si="107"/>
        <v>72Impuesto a Ganadores Sorteo Ordinario 25%183895078</v>
      </c>
      <c r="AU282" t="str">
        <f>+_xlfn.XLOOKUP(AT282,CRUCE!J:J,CRUCE!M:M)</f>
        <v>READY</v>
      </c>
      <c r="AV282" t="s">
        <v>1907</v>
      </c>
      <c r="AW282" s="23">
        <f>+SUMIFS(CRUCE!D:D,CRUCE!A:A,'2022'!D282,CRUCE!B:B,'2022'!AS282)/COUNTIFS(D:D,D282,AS:AS,AS282)</f>
        <v>183895078</v>
      </c>
      <c r="AX282" s="23">
        <f t="shared" si="108"/>
        <v>183895078</v>
      </c>
      <c r="AY282" s="23">
        <f t="shared" si="109"/>
        <v>0</v>
      </c>
    </row>
    <row r="283" spans="1:51" x14ac:dyDescent="0.3">
      <c r="A283">
        <v>2022</v>
      </c>
      <c r="B283">
        <v>318</v>
      </c>
      <c r="C283">
        <v>11010110105</v>
      </c>
      <c r="D283" s="5">
        <v>181</v>
      </c>
      <c r="E283" s="8" t="s">
        <v>659</v>
      </c>
      <c r="F283">
        <v>11010110105</v>
      </c>
      <c r="G283" s="8" t="s">
        <v>660</v>
      </c>
      <c r="H283" t="s">
        <v>643</v>
      </c>
      <c r="I283" s="11">
        <v>10920988.09</v>
      </c>
      <c r="J283" s="11">
        <v>10920988.09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10920988.09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8730925</v>
      </c>
      <c r="X283" s="11">
        <v>0</v>
      </c>
      <c r="Y283" s="17">
        <v>8730925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8730925</v>
      </c>
      <c r="AG283" s="11">
        <v>0</v>
      </c>
      <c r="AH283" s="12">
        <v>8730925</v>
      </c>
      <c r="AI283" s="11">
        <v>8730925</v>
      </c>
      <c r="AJ283" s="11">
        <v>8730925</v>
      </c>
      <c r="AK283" s="11">
        <v>8730925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t="s">
        <v>661</v>
      </c>
      <c r="AS283" s="4" t="str">
        <f t="shared" si="106"/>
        <v>Colciencias 7% Impuesto a Ganadores Sorteo Extraordinario</v>
      </c>
      <c r="AT283" t="str">
        <f t="shared" si="107"/>
        <v>181Colciencias 7% Impuesto a Ganadores Sorteo Extraordinario8730925</v>
      </c>
      <c r="AU283" t="str">
        <f>+_xlfn.XLOOKUP(AT283,CRUCE!J:J,CRUCE!M:M)</f>
        <v>READY</v>
      </c>
      <c r="AV283" t="s">
        <v>1907</v>
      </c>
      <c r="AW283" s="23">
        <f>+SUMIFS(CRUCE!D:D,CRUCE!A:A,'2022'!D283,CRUCE!B:B,'2022'!AS283)/COUNTIFS(D:D,D283,AS:AS,AS283)</f>
        <v>8730925</v>
      </c>
      <c r="AX283" s="23">
        <f t="shared" si="108"/>
        <v>8730925</v>
      </c>
      <c r="AY283" s="23">
        <f t="shared" si="109"/>
        <v>0</v>
      </c>
    </row>
    <row r="284" spans="1:51" x14ac:dyDescent="0.3">
      <c r="A284">
        <v>2022</v>
      </c>
      <c r="B284">
        <v>318</v>
      </c>
      <c r="C284">
        <v>11010110106</v>
      </c>
      <c r="D284" s="5">
        <v>181</v>
      </c>
      <c r="E284" s="8" t="s">
        <v>662</v>
      </c>
      <c r="F284">
        <v>11010110106</v>
      </c>
      <c r="G284" s="8" t="s">
        <v>663</v>
      </c>
      <c r="H284" t="s">
        <v>643</v>
      </c>
      <c r="I284" s="11">
        <v>65525928.539999999</v>
      </c>
      <c r="J284" s="11">
        <v>65525928.539999999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65525928.539999999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51487623</v>
      </c>
      <c r="X284" s="11">
        <v>0</v>
      </c>
      <c r="Y284" s="17">
        <v>51487623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v>51487623</v>
      </c>
      <c r="AG284" s="11">
        <v>0</v>
      </c>
      <c r="AH284" s="12">
        <v>51487623</v>
      </c>
      <c r="AI284" s="11">
        <v>51487623</v>
      </c>
      <c r="AJ284" s="11">
        <v>51487623</v>
      </c>
      <c r="AK284" s="11">
        <v>51487623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t="s">
        <v>661</v>
      </c>
      <c r="AS284" s="4" t="str">
        <f t="shared" si="106"/>
        <v>Colciencias 7% Impuesto a Ganadores Sorteo ordinario</v>
      </c>
      <c r="AT284" t="str">
        <f t="shared" si="107"/>
        <v>181Colciencias 7% Impuesto a Ganadores Sorteo ordinario51487623</v>
      </c>
      <c r="AU284" t="str">
        <f>+_xlfn.XLOOKUP(AT284,CRUCE!J:J,CRUCE!M:M)</f>
        <v>READY</v>
      </c>
      <c r="AV284" t="s">
        <v>1907</v>
      </c>
      <c r="AW284" s="23">
        <f>+SUMIFS(CRUCE!D:D,CRUCE!A:A,'2022'!D284,CRUCE!B:B,'2022'!AS284)/COUNTIFS(D:D,D284,AS:AS,AS284)</f>
        <v>51487623</v>
      </c>
      <c r="AX284" s="23">
        <f t="shared" si="108"/>
        <v>51487623</v>
      </c>
      <c r="AY284" s="23">
        <f t="shared" si="109"/>
        <v>0</v>
      </c>
    </row>
    <row r="285" spans="1:51" hidden="1" x14ac:dyDescent="0.3">
      <c r="A285">
        <v>2022</v>
      </c>
      <c r="B285">
        <v>318</v>
      </c>
      <c r="C285">
        <v>110102</v>
      </c>
      <c r="D285" s="5" t="s">
        <v>44</v>
      </c>
      <c r="E285" s="8" t="s">
        <v>664</v>
      </c>
      <c r="F285">
        <v>110102</v>
      </c>
      <c r="G285" s="8" t="s">
        <v>59</v>
      </c>
      <c r="H285" t="s">
        <v>643</v>
      </c>
      <c r="I285" s="11">
        <v>19534950461.080002</v>
      </c>
      <c r="J285" s="11">
        <v>19534950461.080002</v>
      </c>
      <c r="K285" s="11">
        <v>8905571886.7399998</v>
      </c>
      <c r="L285" s="11">
        <v>0</v>
      </c>
      <c r="M285" s="11">
        <v>8905571886.7399998</v>
      </c>
      <c r="N285" s="11">
        <v>8905571886.7399998</v>
      </c>
      <c r="O285" s="11">
        <v>0</v>
      </c>
      <c r="P285" s="11">
        <v>28440522347.82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29341802019.619999</v>
      </c>
      <c r="X285" s="11">
        <v>324282461.25</v>
      </c>
      <c r="Y285" s="17">
        <v>29017519558.369999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29341802019.619999</v>
      </c>
      <c r="AG285" s="11">
        <v>324282461.25</v>
      </c>
      <c r="AH285" s="12">
        <v>29017519558.369999</v>
      </c>
      <c r="AI285" s="11">
        <v>29017519558.369999</v>
      </c>
      <c r="AJ285" s="11">
        <v>7206509592.75</v>
      </c>
      <c r="AK285" s="11">
        <v>7206509592.75</v>
      </c>
      <c r="AL285" s="11">
        <v>21811009965.619999</v>
      </c>
      <c r="AM285" s="11">
        <v>22135292426.869999</v>
      </c>
      <c r="AN285" s="11">
        <v>324282461.25</v>
      </c>
      <c r="AO285" s="11">
        <v>22135292426.869999</v>
      </c>
      <c r="AP285" s="11">
        <v>0</v>
      </c>
      <c r="AQ285" s="11">
        <v>324282461.25</v>
      </c>
      <c r="AR285" t="s">
        <v>48</v>
      </c>
      <c r="AS285"/>
      <c r="AW285"/>
      <c r="AX285"/>
      <c r="AY285"/>
    </row>
    <row r="286" spans="1:51" hidden="1" x14ac:dyDescent="0.3">
      <c r="A286">
        <v>2022</v>
      </c>
      <c r="B286">
        <v>318</v>
      </c>
      <c r="C286">
        <v>110102101</v>
      </c>
      <c r="D286" s="5" t="s">
        <v>44</v>
      </c>
      <c r="E286" s="8" t="s">
        <v>665</v>
      </c>
      <c r="F286">
        <v>110102101</v>
      </c>
      <c r="G286" s="8" t="s">
        <v>666</v>
      </c>
      <c r="H286" t="s">
        <v>643</v>
      </c>
      <c r="I286" s="11">
        <v>625919989.35000002</v>
      </c>
      <c r="J286" s="11">
        <v>625919989.35000002</v>
      </c>
      <c r="K286" s="11">
        <v>516305477</v>
      </c>
      <c r="L286" s="11">
        <v>0</v>
      </c>
      <c r="M286" s="11">
        <v>516305477</v>
      </c>
      <c r="N286" s="11">
        <v>516305477</v>
      </c>
      <c r="O286" s="11">
        <v>0</v>
      </c>
      <c r="P286" s="11">
        <v>1142225466.3499999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987760613.75</v>
      </c>
      <c r="X286" s="11">
        <v>151371753.25</v>
      </c>
      <c r="Y286" s="17">
        <v>836388860.5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987760613.75</v>
      </c>
      <c r="AG286" s="11">
        <v>151371753.25</v>
      </c>
      <c r="AH286" s="12">
        <v>836388860.5</v>
      </c>
      <c r="AI286" s="11">
        <v>836388860.5</v>
      </c>
      <c r="AJ286" s="11">
        <v>619548507.75</v>
      </c>
      <c r="AK286" s="11">
        <v>619548507.75</v>
      </c>
      <c r="AL286" s="11">
        <v>216840352.75</v>
      </c>
      <c r="AM286" s="11">
        <v>368212106</v>
      </c>
      <c r="AN286" s="11">
        <v>151371753.25</v>
      </c>
      <c r="AO286" s="11">
        <v>368212106</v>
      </c>
      <c r="AP286" s="11">
        <v>0</v>
      </c>
      <c r="AQ286" s="11">
        <v>151371753.25</v>
      </c>
      <c r="AR286" t="s">
        <v>48</v>
      </c>
      <c r="AS286"/>
      <c r="AW286"/>
      <c r="AX286"/>
      <c r="AY286"/>
    </row>
    <row r="287" spans="1:51" x14ac:dyDescent="0.3">
      <c r="A287">
        <v>2022</v>
      </c>
      <c r="B287">
        <v>318</v>
      </c>
      <c r="C287">
        <v>11010210101</v>
      </c>
      <c r="D287" s="5">
        <v>154</v>
      </c>
      <c r="E287" s="8" t="s">
        <v>667</v>
      </c>
      <c r="F287">
        <v>11010210101</v>
      </c>
      <c r="G287" s="8" t="s">
        <v>668</v>
      </c>
      <c r="H287" t="s">
        <v>643</v>
      </c>
      <c r="I287" s="11">
        <v>425625593.19999999</v>
      </c>
      <c r="J287" s="11">
        <v>425625593.19999999</v>
      </c>
      <c r="K287" s="11">
        <v>516305477</v>
      </c>
      <c r="L287" s="11">
        <v>0</v>
      </c>
      <c r="M287" s="11">
        <v>516305477</v>
      </c>
      <c r="N287" s="11">
        <v>516305477</v>
      </c>
      <c r="O287" s="11">
        <v>0</v>
      </c>
      <c r="P287" s="11">
        <v>941931070.20000005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569216914.48000002</v>
      </c>
      <c r="X287" s="11">
        <v>0</v>
      </c>
      <c r="Y287" s="17">
        <v>569216914.48000002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569216914.48000002</v>
      </c>
      <c r="AG287" s="11">
        <v>0</v>
      </c>
      <c r="AH287" s="12">
        <v>569216914.48000002</v>
      </c>
      <c r="AI287" s="11">
        <v>569216914.48000002</v>
      </c>
      <c r="AJ287" s="11">
        <v>569216914.48000002</v>
      </c>
      <c r="AK287" s="11">
        <v>569216914.48000002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t="s">
        <v>651</v>
      </c>
      <c r="AS287" s="4" t="str">
        <f t="shared" ref="AS287:AS290" si="110">+G287</f>
        <v>Loterias foraneas 68%</v>
      </c>
      <c r="AT287" t="str">
        <f t="shared" ref="AT287:AT290" si="111">+D287&amp;AS287&amp;Y287</f>
        <v>154Loterias foraneas 68%569216914,48</v>
      </c>
      <c r="AU287" t="str">
        <f>+_xlfn.XLOOKUP(AT287,CRUCE!J:J,CRUCE!M:M)</f>
        <v>READY</v>
      </c>
      <c r="AV287" t="s">
        <v>1907</v>
      </c>
      <c r="AW287" s="23">
        <f>+SUMIFS(CRUCE!D:D,CRUCE!A:A,'2022'!D287,CRUCE!B:B,'2022'!AS287)/COUNTIFS(D:D,D287,AS:AS,AS287)</f>
        <v>569216914.48000002</v>
      </c>
      <c r="AX287" s="23">
        <f t="shared" ref="AX287:AX290" si="112">+SUMIFS(Y:Y,D:D,D287,AS:AS,AS287)/COUNTIFS(D:D,D287,AS:AS,AS287)</f>
        <v>569216914.48000002</v>
      </c>
      <c r="AY287" s="23">
        <f t="shared" ref="AY287:AY290" si="113">+AW287-AX287</f>
        <v>0</v>
      </c>
    </row>
    <row r="288" spans="1:51" x14ac:dyDescent="0.3">
      <c r="A288">
        <v>2022</v>
      </c>
      <c r="B288">
        <v>318</v>
      </c>
      <c r="C288">
        <v>11010210102</v>
      </c>
      <c r="D288" s="5">
        <v>72</v>
      </c>
      <c r="E288" s="8" t="s">
        <v>669</v>
      </c>
      <c r="F288">
        <v>11010210102</v>
      </c>
      <c r="G288" s="8" t="s">
        <v>670</v>
      </c>
      <c r="H288" t="s">
        <v>643</v>
      </c>
      <c r="I288" s="11">
        <v>156479997.5</v>
      </c>
      <c r="J288" s="11">
        <v>156479997.5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156479997.5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359492624</v>
      </c>
      <c r="X288" s="11">
        <v>150950916.75</v>
      </c>
      <c r="Y288" s="17">
        <v>208541707.25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v>359492624</v>
      </c>
      <c r="AG288" s="11">
        <v>150950916.75</v>
      </c>
      <c r="AH288" s="12">
        <v>208541707.25</v>
      </c>
      <c r="AI288" s="11">
        <v>208541707.25</v>
      </c>
      <c r="AJ288" s="11">
        <v>0</v>
      </c>
      <c r="AK288" s="11">
        <v>0</v>
      </c>
      <c r="AL288" s="11">
        <v>208541707.25</v>
      </c>
      <c r="AM288" s="11">
        <v>359492624</v>
      </c>
      <c r="AN288" s="11">
        <v>150950916.75</v>
      </c>
      <c r="AO288" s="11">
        <v>359492624</v>
      </c>
      <c r="AP288" s="11">
        <v>0</v>
      </c>
      <c r="AQ288" s="11">
        <v>150950916.75</v>
      </c>
      <c r="AR288" t="s">
        <v>656</v>
      </c>
      <c r="AS288" s="4" t="str">
        <f t="shared" si="110"/>
        <v>Loterias Foráneas 25%</v>
      </c>
      <c r="AT288" t="str">
        <f t="shared" si="111"/>
        <v>72Loterias Foráneas 25%208541707,25</v>
      </c>
      <c r="AU288" t="str">
        <f>+_xlfn.XLOOKUP(AT288,CRUCE!J:J,CRUCE!M:M)</f>
        <v>READY</v>
      </c>
      <c r="AV288" t="s">
        <v>1907</v>
      </c>
      <c r="AW288" s="23">
        <f>+SUMIFS(CRUCE!D:D,CRUCE!A:A,'2022'!D288,CRUCE!B:B,'2022'!AS288)/COUNTIFS(D:D,D288,AS:AS,AS288)</f>
        <v>208541707.25</v>
      </c>
      <c r="AX288" s="23">
        <f t="shared" si="112"/>
        <v>208541707.25</v>
      </c>
      <c r="AY288" s="23">
        <f t="shared" si="113"/>
        <v>0</v>
      </c>
    </row>
    <row r="289" spans="1:51" x14ac:dyDescent="0.3">
      <c r="A289">
        <v>2022</v>
      </c>
      <c r="B289">
        <v>318</v>
      </c>
      <c r="C289">
        <v>11010210103</v>
      </c>
      <c r="D289" s="5">
        <v>181</v>
      </c>
      <c r="E289" s="8" t="s">
        <v>671</v>
      </c>
      <c r="F289">
        <v>11010210103</v>
      </c>
      <c r="G289" s="8" t="s">
        <v>672</v>
      </c>
      <c r="H289" t="s">
        <v>643</v>
      </c>
      <c r="I289" s="11">
        <v>25036799.649999999</v>
      </c>
      <c r="J289" s="11">
        <v>25036799.649999999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25036799.649999999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50331593.270000003</v>
      </c>
      <c r="X289" s="11">
        <v>0</v>
      </c>
      <c r="Y289" s="17">
        <v>50331593.270000003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50331593.270000003</v>
      </c>
      <c r="AG289" s="11">
        <v>0</v>
      </c>
      <c r="AH289" s="12">
        <v>50331593.270000003</v>
      </c>
      <c r="AI289" s="11">
        <v>50331593.270000003</v>
      </c>
      <c r="AJ289" s="11">
        <v>50331593.270000003</v>
      </c>
      <c r="AK289" s="11">
        <v>50331593.270000003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t="s">
        <v>661</v>
      </c>
      <c r="AS289" s="4" t="str">
        <f t="shared" si="110"/>
        <v>Colciencias 7% Loterias Foraneas</v>
      </c>
      <c r="AT289" t="str">
        <f t="shared" si="111"/>
        <v>181Colciencias 7% Loterias Foraneas50331593,27</v>
      </c>
      <c r="AU289" t="str">
        <f>+_xlfn.XLOOKUP(AT289,CRUCE!J:J,CRUCE!M:M)</f>
        <v>READY</v>
      </c>
      <c r="AV289" t="s">
        <v>1907</v>
      </c>
      <c r="AW289" s="23">
        <f>+SUMIFS(CRUCE!D:D,CRUCE!A:A,'2022'!D289,CRUCE!B:B,'2022'!AS289)/COUNTIFS(D:D,D289,AS:AS,AS289)</f>
        <v>50331593.270000003</v>
      </c>
      <c r="AX289" s="23">
        <f t="shared" si="112"/>
        <v>50331593.270000003</v>
      </c>
      <c r="AY289" s="23">
        <f t="shared" si="113"/>
        <v>0</v>
      </c>
    </row>
    <row r="290" spans="1:51" x14ac:dyDescent="0.3">
      <c r="A290">
        <v>2022</v>
      </c>
      <c r="B290">
        <v>318</v>
      </c>
      <c r="C290">
        <v>11010210104</v>
      </c>
      <c r="D290" s="5">
        <v>182</v>
      </c>
      <c r="E290" s="8" t="s">
        <v>673</v>
      </c>
      <c r="F290">
        <v>11010210104</v>
      </c>
      <c r="G290" s="8" t="s">
        <v>672</v>
      </c>
      <c r="H290" t="s">
        <v>643</v>
      </c>
      <c r="I290" s="11">
        <v>18777599</v>
      </c>
      <c r="J290" s="11">
        <v>18777599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18777599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8719482</v>
      </c>
      <c r="X290" s="11">
        <v>420836.5</v>
      </c>
      <c r="Y290" s="17">
        <v>8298645.5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v>8719482</v>
      </c>
      <c r="AG290" s="11">
        <v>420836.5</v>
      </c>
      <c r="AH290" s="12">
        <v>8298645.5</v>
      </c>
      <c r="AI290" s="11">
        <v>8298645.5</v>
      </c>
      <c r="AJ290" s="11">
        <v>0</v>
      </c>
      <c r="AK290" s="11">
        <v>0</v>
      </c>
      <c r="AL290" s="11">
        <v>8298645.5</v>
      </c>
      <c r="AM290" s="11">
        <v>8719482</v>
      </c>
      <c r="AN290" s="11">
        <v>420836.5</v>
      </c>
      <c r="AO290" s="11">
        <v>8719482</v>
      </c>
      <c r="AP290" s="11">
        <v>0</v>
      </c>
      <c r="AQ290" s="11">
        <v>420836.5</v>
      </c>
      <c r="AR290" t="s">
        <v>674</v>
      </c>
      <c r="AS290" s="4" t="str">
        <f t="shared" si="110"/>
        <v>Colciencias 7% Loterias Foraneas</v>
      </c>
      <c r="AT290" t="str">
        <f t="shared" si="111"/>
        <v>182Colciencias 7% Loterias Foraneas8298645,5</v>
      </c>
      <c r="AU290" t="str">
        <f>+_xlfn.XLOOKUP(AT290,CRUCE!J:J,CRUCE!M:M)</f>
        <v>READY</v>
      </c>
      <c r="AV290" t="s">
        <v>1907</v>
      </c>
      <c r="AW290" s="23">
        <f>+SUMIFS(CRUCE!D:D,CRUCE!A:A,'2022'!D290,CRUCE!B:B,'2022'!AS290)/COUNTIFS(D:D,D290,AS:AS,AS290)</f>
        <v>8298645.5</v>
      </c>
      <c r="AX290" s="23">
        <f t="shared" si="112"/>
        <v>8298645.5</v>
      </c>
      <c r="AY290" s="23">
        <f t="shared" si="113"/>
        <v>0</v>
      </c>
    </row>
    <row r="291" spans="1:51" hidden="1" x14ac:dyDescent="0.3">
      <c r="A291">
        <v>2022</v>
      </c>
      <c r="B291">
        <v>318</v>
      </c>
      <c r="C291">
        <v>110102103</v>
      </c>
      <c r="D291" s="5" t="s">
        <v>44</v>
      </c>
      <c r="E291" s="8" t="s">
        <v>675</v>
      </c>
      <c r="F291">
        <v>110102103</v>
      </c>
      <c r="G291" s="8" t="s">
        <v>81</v>
      </c>
      <c r="H291" t="s">
        <v>643</v>
      </c>
      <c r="I291" s="11">
        <v>1362067804</v>
      </c>
      <c r="J291" s="11">
        <v>1362067804</v>
      </c>
      <c r="K291" s="11">
        <v>665464334.32000005</v>
      </c>
      <c r="L291" s="11">
        <v>0</v>
      </c>
      <c r="M291" s="11">
        <v>665464334.32000005</v>
      </c>
      <c r="N291" s="11">
        <v>665464334.32000005</v>
      </c>
      <c r="O291" s="11">
        <v>0</v>
      </c>
      <c r="P291" s="11">
        <v>2027532138.3199999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1218762618</v>
      </c>
      <c r="X291" s="11">
        <v>0</v>
      </c>
      <c r="Y291" s="17">
        <v>1218762618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1218762618</v>
      </c>
      <c r="AG291" s="11">
        <v>0</v>
      </c>
      <c r="AH291" s="12">
        <v>1218762618</v>
      </c>
      <c r="AI291" s="11">
        <v>1218762618</v>
      </c>
      <c r="AJ291" s="11">
        <v>914071964</v>
      </c>
      <c r="AK291" s="11">
        <v>914071964</v>
      </c>
      <c r="AL291" s="11">
        <v>304690654</v>
      </c>
      <c r="AM291" s="11">
        <v>304690654</v>
      </c>
      <c r="AN291" s="11">
        <v>0</v>
      </c>
      <c r="AO291" s="11">
        <v>304690654</v>
      </c>
      <c r="AP291" s="11">
        <v>0</v>
      </c>
      <c r="AQ291" s="11">
        <v>0</v>
      </c>
      <c r="AR291" t="s">
        <v>48</v>
      </c>
      <c r="AS291"/>
      <c r="AW291"/>
      <c r="AX291"/>
      <c r="AY291"/>
    </row>
    <row r="292" spans="1:51" hidden="1" x14ac:dyDescent="0.3">
      <c r="A292">
        <v>2022</v>
      </c>
      <c r="B292">
        <v>318</v>
      </c>
      <c r="C292">
        <v>11010210302</v>
      </c>
      <c r="D292" s="5" t="s">
        <v>44</v>
      </c>
      <c r="E292" s="8" t="s">
        <v>676</v>
      </c>
      <c r="F292">
        <v>11010210302</v>
      </c>
      <c r="G292" s="8" t="s">
        <v>81</v>
      </c>
      <c r="H292" t="s">
        <v>643</v>
      </c>
      <c r="I292" s="11">
        <v>1362067804</v>
      </c>
      <c r="J292" s="11">
        <v>1362067804</v>
      </c>
      <c r="K292" s="11">
        <v>665464334.32000005</v>
      </c>
      <c r="L292" s="11">
        <v>0</v>
      </c>
      <c r="M292" s="11">
        <v>665464334.32000005</v>
      </c>
      <c r="N292" s="11">
        <v>665464334.32000005</v>
      </c>
      <c r="O292" s="11">
        <v>0</v>
      </c>
      <c r="P292" s="11">
        <v>2027532138.3199999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1218762618</v>
      </c>
      <c r="X292" s="11">
        <v>0</v>
      </c>
      <c r="Y292" s="17">
        <v>1218762618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v>1218762618</v>
      </c>
      <c r="AG292" s="11">
        <v>0</v>
      </c>
      <c r="AH292" s="12">
        <v>1218762618</v>
      </c>
      <c r="AI292" s="11">
        <v>1218762618</v>
      </c>
      <c r="AJ292" s="11">
        <v>914071964</v>
      </c>
      <c r="AK292" s="11">
        <v>914071964</v>
      </c>
      <c r="AL292" s="11">
        <v>304690654</v>
      </c>
      <c r="AM292" s="11">
        <v>304690654</v>
      </c>
      <c r="AN292" s="11">
        <v>0</v>
      </c>
      <c r="AO292" s="11">
        <v>304690654</v>
      </c>
      <c r="AP292" s="11">
        <v>0</v>
      </c>
      <c r="AQ292" s="11">
        <v>0</v>
      </c>
      <c r="AR292" t="s">
        <v>48</v>
      </c>
      <c r="AS292"/>
      <c r="AW292"/>
      <c r="AX292"/>
      <c r="AY292"/>
    </row>
    <row r="293" spans="1:51" x14ac:dyDescent="0.3">
      <c r="A293">
        <v>2022</v>
      </c>
      <c r="B293">
        <v>318</v>
      </c>
      <c r="C293">
        <v>1101021030201</v>
      </c>
      <c r="D293" s="5">
        <v>154</v>
      </c>
      <c r="E293" s="8" t="s">
        <v>677</v>
      </c>
      <c r="F293">
        <v>1101021030201</v>
      </c>
      <c r="G293" s="8" t="s">
        <v>81</v>
      </c>
      <c r="H293" t="s">
        <v>643</v>
      </c>
      <c r="I293" s="11">
        <v>1362067804</v>
      </c>
      <c r="J293" s="11">
        <v>1362067804</v>
      </c>
      <c r="K293" s="11">
        <v>360773680.31999999</v>
      </c>
      <c r="L293" s="11">
        <v>0</v>
      </c>
      <c r="M293" s="11">
        <v>360773680.31999999</v>
      </c>
      <c r="N293" s="11">
        <v>360773680.31999999</v>
      </c>
      <c r="O293" s="11">
        <v>0</v>
      </c>
      <c r="P293" s="11">
        <v>1722841484.3199999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914071964</v>
      </c>
      <c r="X293" s="11">
        <v>0</v>
      </c>
      <c r="Y293" s="17">
        <v>914071964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914071964</v>
      </c>
      <c r="AG293" s="11">
        <v>0</v>
      </c>
      <c r="AH293" s="12">
        <v>914071964</v>
      </c>
      <c r="AI293" s="11">
        <v>914071964</v>
      </c>
      <c r="AJ293" s="11">
        <v>914071964</v>
      </c>
      <c r="AK293" s="11">
        <v>914071964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0</v>
      </c>
      <c r="AR293" t="s">
        <v>651</v>
      </c>
      <c r="AS293" s="4" t="str">
        <f t="shared" ref="AS293:AS294" si="114">+G293</f>
        <v>IVA sobre licores, vinos, aperitivos y similares (régimen anterior)</v>
      </c>
      <c r="AT293" t="str">
        <f t="shared" ref="AT293:AT294" si="115">+D293&amp;AS293&amp;Y293</f>
        <v>154IVA sobre licores, vinos, aperitivos y similares (régimen anterior)914071964</v>
      </c>
      <c r="AU293" t="str">
        <f>+_xlfn.XLOOKUP(AT293,CRUCE!J:J,CRUCE!M:M)</f>
        <v>READY</v>
      </c>
      <c r="AV293" t="s">
        <v>1907</v>
      </c>
      <c r="AW293" s="23">
        <f>+SUMIFS(CRUCE!D:D,CRUCE!A:A,'2022'!D293,CRUCE!B:B,'2022'!AS293)/COUNTIFS(D:D,D293,AS:AS,AS293)</f>
        <v>914071964</v>
      </c>
      <c r="AX293" s="23">
        <f t="shared" ref="AX293:AX294" si="116">+SUMIFS(Y:Y,D:D,D293,AS:AS,AS293)/COUNTIFS(D:D,D293,AS:AS,AS293)</f>
        <v>914071964</v>
      </c>
      <c r="AY293" s="23">
        <f t="shared" ref="AY293:AY294" si="117">+AW293-AX293</f>
        <v>0</v>
      </c>
    </row>
    <row r="294" spans="1:51" x14ac:dyDescent="0.3">
      <c r="A294">
        <v>2022</v>
      </c>
      <c r="B294">
        <v>318</v>
      </c>
      <c r="C294">
        <v>1101021030201</v>
      </c>
      <c r="D294" s="5">
        <v>155</v>
      </c>
      <c r="E294" s="8" t="s">
        <v>678</v>
      </c>
      <c r="F294">
        <v>1101021030201</v>
      </c>
      <c r="G294" s="8" t="s">
        <v>81</v>
      </c>
      <c r="H294" t="s">
        <v>643</v>
      </c>
      <c r="I294" s="11">
        <v>0</v>
      </c>
      <c r="J294" s="11">
        <v>0</v>
      </c>
      <c r="K294" s="11">
        <v>304690654</v>
      </c>
      <c r="L294" s="11">
        <v>0</v>
      </c>
      <c r="M294" s="11">
        <v>304690654</v>
      </c>
      <c r="N294" s="11">
        <v>304690654</v>
      </c>
      <c r="O294" s="11">
        <v>0</v>
      </c>
      <c r="P294" s="11">
        <v>304690654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304690654</v>
      </c>
      <c r="X294" s="11">
        <v>0</v>
      </c>
      <c r="Y294" s="17">
        <v>304690654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304690654</v>
      </c>
      <c r="AG294" s="11">
        <v>0</v>
      </c>
      <c r="AH294" s="12">
        <v>304690654</v>
      </c>
      <c r="AI294" s="11">
        <v>304690654</v>
      </c>
      <c r="AJ294" s="11">
        <v>0</v>
      </c>
      <c r="AK294" s="11">
        <v>0</v>
      </c>
      <c r="AL294" s="11">
        <v>304690654</v>
      </c>
      <c r="AM294" s="11">
        <v>304690654</v>
      </c>
      <c r="AN294" s="11">
        <v>0</v>
      </c>
      <c r="AO294" s="11">
        <v>304690654</v>
      </c>
      <c r="AP294" s="11">
        <v>0</v>
      </c>
      <c r="AQ294" s="11">
        <v>0</v>
      </c>
      <c r="AR294" t="s">
        <v>679</v>
      </c>
      <c r="AS294" s="4" t="str">
        <f t="shared" si="114"/>
        <v>IVA sobre licores, vinos, aperitivos y similares (régimen anterior)</v>
      </c>
      <c r="AT294" t="str">
        <f t="shared" si="115"/>
        <v>155IVA sobre licores, vinos, aperitivos y similares (régimen anterior)304690654</v>
      </c>
      <c r="AU294" t="str">
        <f>+_xlfn.XLOOKUP(AT294,CRUCE!J:J,CRUCE!M:M)</f>
        <v>READY</v>
      </c>
      <c r="AV294" t="s">
        <v>1907</v>
      </c>
      <c r="AW294" s="23">
        <f>+SUMIFS(CRUCE!D:D,CRUCE!A:A,'2022'!D294,CRUCE!B:B,'2022'!AS294)/COUNTIFS(D:D,D294,AS:AS,AS294)</f>
        <v>304690654</v>
      </c>
      <c r="AX294" s="23">
        <f t="shared" si="116"/>
        <v>304690654</v>
      </c>
      <c r="AY294" s="23">
        <f t="shared" si="117"/>
        <v>0</v>
      </c>
    </row>
    <row r="295" spans="1:51" hidden="1" x14ac:dyDescent="0.3">
      <c r="A295">
        <v>2022</v>
      </c>
      <c r="B295">
        <v>318</v>
      </c>
      <c r="C295">
        <v>110102104</v>
      </c>
      <c r="D295" s="5" t="s">
        <v>44</v>
      </c>
      <c r="E295" s="8" t="s">
        <v>680</v>
      </c>
      <c r="F295">
        <v>110102104</v>
      </c>
      <c r="G295" s="8" t="s">
        <v>86</v>
      </c>
      <c r="H295" t="s">
        <v>643</v>
      </c>
      <c r="I295" s="11">
        <v>3280528487.1599998</v>
      </c>
      <c r="J295" s="11">
        <v>3280528487.1599998</v>
      </c>
      <c r="K295" s="11">
        <v>533723136.81999999</v>
      </c>
      <c r="L295" s="11">
        <v>0</v>
      </c>
      <c r="M295" s="11">
        <v>533723136.81999999</v>
      </c>
      <c r="N295" s="11">
        <v>533723136.81999999</v>
      </c>
      <c r="O295" s="11">
        <v>0</v>
      </c>
      <c r="P295" s="11">
        <v>3814251623.98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2413431582.8699999</v>
      </c>
      <c r="X295" s="11">
        <v>19281708</v>
      </c>
      <c r="Y295" s="17">
        <v>2394149874.8699999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v>2413431582.8699999</v>
      </c>
      <c r="AG295" s="11">
        <v>19281708</v>
      </c>
      <c r="AH295" s="12">
        <v>2394149874.8699999</v>
      </c>
      <c r="AI295" s="11">
        <v>2394149874.8699999</v>
      </c>
      <c r="AJ295" s="11">
        <v>837987913</v>
      </c>
      <c r="AK295" s="11">
        <v>837987913</v>
      </c>
      <c r="AL295" s="11">
        <v>1556161961.8699999</v>
      </c>
      <c r="AM295" s="11">
        <v>1575443669.8699999</v>
      </c>
      <c r="AN295" s="11">
        <v>19281708</v>
      </c>
      <c r="AO295" s="11">
        <v>1575443669.8699999</v>
      </c>
      <c r="AP295" s="11">
        <v>0</v>
      </c>
      <c r="AQ295" s="11">
        <v>19281708</v>
      </c>
      <c r="AR295" t="s">
        <v>48</v>
      </c>
      <c r="AS295"/>
      <c r="AW295"/>
      <c r="AX295"/>
      <c r="AY295"/>
    </row>
    <row r="296" spans="1:51" hidden="1" x14ac:dyDescent="0.3">
      <c r="A296">
        <v>2022</v>
      </c>
      <c r="B296">
        <v>318</v>
      </c>
      <c r="C296">
        <v>11010210402</v>
      </c>
      <c r="D296" s="5" t="s">
        <v>44</v>
      </c>
      <c r="E296" s="8" t="s">
        <v>681</v>
      </c>
      <c r="F296">
        <v>11010210402</v>
      </c>
      <c r="G296" s="8" t="s">
        <v>94</v>
      </c>
      <c r="H296" t="s">
        <v>643</v>
      </c>
      <c r="I296" s="11">
        <v>3280528487.1599998</v>
      </c>
      <c r="J296" s="11">
        <v>3280528487.1599998</v>
      </c>
      <c r="K296" s="11">
        <v>533723136.81999999</v>
      </c>
      <c r="L296" s="11">
        <v>0</v>
      </c>
      <c r="M296" s="11">
        <v>533723136.81999999</v>
      </c>
      <c r="N296" s="11">
        <v>533723136.81999999</v>
      </c>
      <c r="O296" s="11">
        <v>0</v>
      </c>
      <c r="P296" s="11">
        <v>3814251623.98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2413431582.8699999</v>
      </c>
      <c r="X296" s="11">
        <v>19281708</v>
      </c>
      <c r="Y296" s="17">
        <v>2394149874.8699999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v>2413431582.8699999</v>
      </c>
      <c r="AG296" s="11">
        <v>19281708</v>
      </c>
      <c r="AH296" s="12">
        <v>2394149874.8699999</v>
      </c>
      <c r="AI296" s="11">
        <v>2394149874.8699999</v>
      </c>
      <c r="AJ296" s="11">
        <v>837987913</v>
      </c>
      <c r="AK296" s="11">
        <v>837987913</v>
      </c>
      <c r="AL296" s="11">
        <v>1556161961.8699999</v>
      </c>
      <c r="AM296" s="11">
        <v>1575443669.8699999</v>
      </c>
      <c r="AN296" s="11">
        <v>19281708</v>
      </c>
      <c r="AO296" s="11">
        <v>1575443669.8699999</v>
      </c>
      <c r="AP296" s="11">
        <v>0</v>
      </c>
      <c r="AQ296" s="11">
        <v>19281708</v>
      </c>
      <c r="AR296" t="s">
        <v>48</v>
      </c>
      <c r="AS296"/>
      <c r="AW296"/>
      <c r="AX296"/>
      <c r="AY296"/>
    </row>
    <row r="297" spans="1:51" x14ac:dyDescent="0.3">
      <c r="A297">
        <v>2022</v>
      </c>
      <c r="B297">
        <v>318</v>
      </c>
      <c r="C297">
        <v>1101021040201</v>
      </c>
      <c r="D297" s="5">
        <v>154</v>
      </c>
      <c r="E297" s="8" t="s">
        <v>1229</v>
      </c>
      <c r="F297">
        <v>1101021040201</v>
      </c>
      <c r="G297" s="8" t="s">
        <v>96</v>
      </c>
      <c r="H297" t="s">
        <v>643</v>
      </c>
      <c r="I297" s="11">
        <v>836534763.75999999</v>
      </c>
      <c r="J297" s="11">
        <v>836534763.75999999</v>
      </c>
      <c r="K297" s="11">
        <v>322432661</v>
      </c>
      <c r="L297" s="11">
        <v>0</v>
      </c>
      <c r="M297" s="11">
        <v>322432661</v>
      </c>
      <c r="N297" s="11">
        <v>322432661</v>
      </c>
      <c r="O297" s="11">
        <v>0</v>
      </c>
      <c r="P297" s="11">
        <v>1158967424.76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317984430.94</v>
      </c>
      <c r="X297" s="11">
        <v>9470854</v>
      </c>
      <c r="Y297" s="17">
        <v>308513576.94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317984430.94</v>
      </c>
      <c r="AG297" s="11">
        <v>9470854</v>
      </c>
      <c r="AH297" s="12">
        <v>308513576.94</v>
      </c>
      <c r="AI297" s="11">
        <v>308513576.94</v>
      </c>
      <c r="AJ297" s="11">
        <v>0</v>
      </c>
      <c r="AK297" s="11">
        <v>0</v>
      </c>
      <c r="AL297" s="11">
        <v>308513576.94</v>
      </c>
      <c r="AM297" s="11">
        <v>317984430.94</v>
      </c>
      <c r="AN297" s="11">
        <v>9470854</v>
      </c>
      <c r="AO297" s="11">
        <v>317984430.94</v>
      </c>
      <c r="AP297" s="11">
        <v>0</v>
      </c>
      <c r="AQ297" s="11">
        <v>9470854</v>
      </c>
      <c r="AR297" t="s">
        <v>651</v>
      </c>
      <c r="AS297" s="4" t="str">
        <f t="shared" ref="AS297:AS302" si="118">+G297</f>
        <v>Impuesto al consumo de vinos, aperitivos y similares - Nacionales</v>
      </c>
      <c r="AT297" t="str">
        <f t="shared" ref="AT297:AT302" si="119">+D297&amp;AS297&amp;Y297</f>
        <v>154Impuesto al consumo de vinos, aperitivos y similares - Nacionales308513576,94</v>
      </c>
      <c r="AU297" t="str">
        <f>+_xlfn.XLOOKUP(AT297,CRUCE!J:J,CRUCE!M:M)</f>
        <v>READY</v>
      </c>
      <c r="AV297" t="s">
        <v>1907</v>
      </c>
      <c r="AW297" s="23">
        <f>+SUMIFS(CRUCE!D:D,CRUCE!A:A,'2022'!D297,CRUCE!B:B,'2022'!AS297)/COUNTIFS(D:D,D297,AS:AS,AS297)</f>
        <v>308513576.94</v>
      </c>
      <c r="AX297" s="23">
        <f t="shared" ref="AX297:AX302" si="120">+SUMIFS(Y:Y,D:D,D297,AS:AS,AS297)/COUNTIFS(D:D,D297,AS:AS,AS297)</f>
        <v>308513576.94</v>
      </c>
      <c r="AY297" s="23">
        <f t="shared" ref="AY297:AY302" si="121">+AW297-AX297</f>
        <v>0</v>
      </c>
    </row>
    <row r="298" spans="1:51" x14ac:dyDescent="0.3">
      <c r="A298">
        <v>2022</v>
      </c>
      <c r="B298">
        <v>318</v>
      </c>
      <c r="C298">
        <v>1101021040201</v>
      </c>
      <c r="D298" s="5">
        <v>58</v>
      </c>
      <c r="E298" s="8" t="s">
        <v>1230</v>
      </c>
      <c r="F298">
        <v>1101021040201</v>
      </c>
      <c r="G298" s="8" t="s">
        <v>96</v>
      </c>
      <c r="H298" t="s">
        <v>643</v>
      </c>
      <c r="I298" s="11">
        <v>418267382.52999997</v>
      </c>
      <c r="J298" s="11">
        <v>418267382.52999997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418267382.52999997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159162214.47</v>
      </c>
      <c r="X298" s="11">
        <v>4905427</v>
      </c>
      <c r="Y298" s="17">
        <v>154256787.47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159162214.47</v>
      </c>
      <c r="AG298" s="11">
        <v>4905427</v>
      </c>
      <c r="AH298" s="12">
        <v>154256787.47</v>
      </c>
      <c r="AI298" s="11">
        <v>154256787.47</v>
      </c>
      <c r="AJ298" s="11">
        <v>0</v>
      </c>
      <c r="AK298" s="11">
        <v>0</v>
      </c>
      <c r="AL298" s="11">
        <v>154256787.47</v>
      </c>
      <c r="AM298" s="11">
        <v>159162214.47</v>
      </c>
      <c r="AN298" s="11">
        <v>4905427</v>
      </c>
      <c r="AO298" s="11">
        <v>159162214.47</v>
      </c>
      <c r="AP298" s="11">
        <v>0</v>
      </c>
      <c r="AQ298" s="11">
        <v>4905427</v>
      </c>
      <c r="AR298" t="s">
        <v>684</v>
      </c>
      <c r="AS298" s="4" t="str">
        <f t="shared" si="118"/>
        <v>Impuesto al consumo de vinos, aperitivos y similares - Nacionales</v>
      </c>
      <c r="AT298" t="str">
        <f t="shared" si="119"/>
        <v>58Impuesto al consumo de vinos, aperitivos y similares - Nacionales154256787,47</v>
      </c>
      <c r="AU298" t="str">
        <f>+_xlfn.XLOOKUP(AT298,CRUCE!J:J,CRUCE!M:M)</f>
        <v>READY</v>
      </c>
      <c r="AV298" t="s">
        <v>1907</v>
      </c>
      <c r="AW298" s="23">
        <f>+SUMIFS(CRUCE!D:D,CRUCE!A:A,'2022'!D298,CRUCE!B:B,'2022'!AS298)/COUNTIFS(D:D,D298,AS:AS,AS298)</f>
        <v>154256787.47</v>
      </c>
      <c r="AX298" s="23">
        <f t="shared" si="120"/>
        <v>154256787.47</v>
      </c>
      <c r="AY298" s="23">
        <f t="shared" si="121"/>
        <v>0</v>
      </c>
    </row>
    <row r="299" spans="1:51" x14ac:dyDescent="0.3">
      <c r="A299">
        <v>2022</v>
      </c>
      <c r="B299">
        <v>318</v>
      </c>
      <c r="C299">
        <v>1101021040201</v>
      </c>
      <c r="D299" s="5">
        <v>72</v>
      </c>
      <c r="E299" s="8" t="s">
        <v>1231</v>
      </c>
      <c r="F299">
        <v>1101021040201</v>
      </c>
      <c r="G299" s="8" t="s">
        <v>96</v>
      </c>
      <c r="H299" t="s">
        <v>643</v>
      </c>
      <c r="I299" s="11">
        <v>418267382.23000002</v>
      </c>
      <c r="J299" s="11">
        <v>418267382.23000002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418267382.23000002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159162214.46000001</v>
      </c>
      <c r="X299" s="11">
        <v>4905427</v>
      </c>
      <c r="Y299" s="17">
        <v>154256787.46000001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159162214.46000001</v>
      </c>
      <c r="AG299" s="11">
        <v>4905427</v>
      </c>
      <c r="AH299" s="12">
        <v>154256787.46000001</v>
      </c>
      <c r="AI299" s="11">
        <v>154256787.46000001</v>
      </c>
      <c r="AJ299" s="11">
        <v>0</v>
      </c>
      <c r="AK299" s="11">
        <v>0</v>
      </c>
      <c r="AL299" s="11">
        <v>154256787.46000001</v>
      </c>
      <c r="AM299" s="11">
        <v>159162214.46000001</v>
      </c>
      <c r="AN299" s="11">
        <v>4905427</v>
      </c>
      <c r="AO299" s="11">
        <v>159162214.46000001</v>
      </c>
      <c r="AP299" s="11">
        <v>0</v>
      </c>
      <c r="AQ299" s="11">
        <v>4905427</v>
      </c>
      <c r="AR299" t="s">
        <v>656</v>
      </c>
      <c r="AS299" s="4" t="str">
        <f t="shared" si="118"/>
        <v>Impuesto al consumo de vinos, aperitivos y similares - Nacionales</v>
      </c>
      <c r="AT299" t="str">
        <f t="shared" si="119"/>
        <v>72Impuesto al consumo de vinos, aperitivos y similares - Nacionales154256787,46</v>
      </c>
      <c r="AU299" t="str">
        <f>+_xlfn.XLOOKUP(AT299,CRUCE!J:J,CRUCE!M:M)</f>
        <v>READY</v>
      </c>
      <c r="AV299" t="s">
        <v>1907</v>
      </c>
      <c r="AW299" s="23">
        <f>+SUMIFS(CRUCE!D:D,CRUCE!A:A,'2022'!D299,CRUCE!B:B,'2022'!AS299)/COUNTIFS(D:D,D299,AS:AS,AS299)</f>
        <v>154256787.46000001</v>
      </c>
      <c r="AX299" s="23">
        <f t="shared" si="120"/>
        <v>154256787.46000001</v>
      </c>
      <c r="AY299" s="23">
        <f t="shared" si="121"/>
        <v>0</v>
      </c>
    </row>
    <row r="300" spans="1:51" x14ac:dyDescent="0.3">
      <c r="A300">
        <v>2022</v>
      </c>
      <c r="B300">
        <v>318</v>
      </c>
      <c r="C300">
        <v>1101021040202</v>
      </c>
      <c r="D300" s="5">
        <v>154</v>
      </c>
      <c r="E300" s="8" t="s">
        <v>1232</v>
      </c>
      <c r="F300">
        <v>1101021040202</v>
      </c>
      <c r="G300" s="8" t="s">
        <v>98</v>
      </c>
      <c r="H300" t="s">
        <v>643</v>
      </c>
      <c r="I300" s="11">
        <v>803729479.05999994</v>
      </c>
      <c r="J300" s="11">
        <v>803729479.05999994</v>
      </c>
      <c r="K300" s="11">
        <v>211290475.81999999</v>
      </c>
      <c r="L300" s="11">
        <v>0</v>
      </c>
      <c r="M300" s="11">
        <v>211290475.81999999</v>
      </c>
      <c r="N300" s="11">
        <v>211290475.81999999</v>
      </c>
      <c r="O300" s="11">
        <v>0</v>
      </c>
      <c r="P300" s="11">
        <v>1015019954.88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837987913</v>
      </c>
      <c r="X300" s="11">
        <v>0</v>
      </c>
      <c r="Y300" s="17">
        <v>837987913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837987913</v>
      </c>
      <c r="AG300" s="11">
        <v>0</v>
      </c>
      <c r="AH300" s="12">
        <v>837987913</v>
      </c>
      <c r="AI300" s="11">
        <v>837987913</v>
      </c>
      <c r="AJ300" s="11">
        <v>837987913</v>
      </c>
      <c r="AK300" s="11">
        <v>837987913</v>
      </c>
      <c r="AL300" s="11">
        <v>0</v>
      </c>
      <c r="AM300" s="11">
        <v>0</v>
      </c>
      <c r="AN300" s="11">
        <v>0</v>
      </c>
      <c r="AO300" s="11">
        <v>0</v>
      </c>
      <c r="AP300" s="11">
        <v>0</v>
      </c>
      <c r="AQ300" s="11">
        <v>0</v>
      </c>
      <c r="AR300" t="s">
        <v>651</v>
      </c>
      <c r="AS300" s="4" t="str">
        <f t="shared" si="118"/>
        <v>Impuesto al consumo de vinos, aperitivos y similares - Extranjeros</v>
      </c>
      <c r="AT300" t="str">
        <f t="shared" si="119"/>
        <v>154Impuesto al consumo de vinos, aperitivos y similares - Extranjeros837987913</v>
      </c>
      <c r="AU300" t="str">
        <f>+_xlfn.XLOOKUP(AT300,CRUCE!J:J,CRUCE!M:M)</f>
        <v>READY</v>
      </c>
      <c r="AV300" t="s">
        <v>1907</v>
      </c>
      <c r="AW300" s="23">
        <f>+SUMIFS(CRUCE!D:D,CRUCE!A:A,'2022'!D300,CRUCE!B:B,'2022'!AS300)/COUNTIFS(D:D,D300,AS:AS,AS300)</f>
        <v>837987913</v>
      </c>
      <c r="AX300" s="23">
        <f t="shared" si="120"/>
        <v>837987913</v>
      </c>
      <c r="AY300" s="23">
        <f t="shared" si="121"/>
        <v>0</v>
      </c>
    </row>
    <row r="301" spans="1:51" x14ac:dyDescent="0.3">
      <c r="A301">
        <v>2022</v>
      </c>
      <c r="B301">
        <v>318</v>
      </c>
      <c r="C301">
        <v>1101021040202</v>
      </c>
      <c r="D301" s="5">
        <v>58</v>
      </c>
      <c r="E301" s="8" t="s">
        <v>1233</v>
      </c>
      <c r="F301">
        <v>1101021040202</v>
      </c>
      <c r="G301" s="8" t="s">
        <v>98</v>
      </c>
      <c r="H301" t="s">
        <v>643</v>
      </c>
      <c r="I301" s="11">
        <v>401864739.79000002</v>
      </c>
      <c r="J301" s="11">
        <v>401864739.79000002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401864739.79000002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469567405</v>
      </c>
      <c r="X301" s="11">
        <v>0</v>
      </c>
      <c r="Y301" s="17">
        <v>469567405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v>469567405</v>
      </c>
      <c r="AG301" s="11">
        <v>0</v>
      </c>
      <c r="AH301" s="12">
        <v>469567405</v>
      </c>
      <c r="AI301" s="11">
        <v>469567405</v>
      </c>
      <c r="AJ301" s="11">
        <v>0</v>
      </c>
      <c r="AK301" s="11">
        <v>0</v>
      </c>
      <c r="AL301" s="11">
        <v>469567405</v>
      </c>
      <c r="AM301" s="11">
        <v>469567405</v>
      </c>
      <c r="AN301" s="11">
        <v>0</v>
      </c>
      <c r="AO301" s="11">
        <v>469567405</v>
      </c>
      <c r="AP301" s="11">
        <v>0</v>
      </c>
      <c r="AQ301" s="11">
        <v>0</v>
      </c>
      <c r="AR301" t="s">
        <v>684</v>
      </c>
      <c r="AS301" s="4" t="str">
        <f t="shared" si="118"/>
        <v>Impuesto al consumo de vinos, aperitivos y similares - Extranjeros</v>
      </c>
      <c r="AT301" t="str">
        <f t="shared" si="119"/>
        <v>58Impuesto al consumo de vinos, aperitivos y similares - Extranjeros469567405</v>
      </c>
      <c r="AU301" t="str">
        <f>+_xlfn.XLOOKUP(AT301,CRUCE!J:J,CRUCE!M:M)</f>
        <v>READY</v>
      </c>
      <c r="AV301" t="s">
        <v>1907</v>
      </c>
      <c r="AW301" s="23">
        <f>+SUMIFS(CRUCE!D:D,CRUCE!A:A,'2022'!D301,CRUCE!B:B,'2022'!AS301)/COUNTIFS(D:D,D301,AS:AS,AS301)</f>
        <v>469567405</v>
      </c>
      <c r="AX301" s="23">
        <f t="shared" si="120"/>
        <v>469567405</v>
      </c>
      <c r="AY301" s="23">
        <f t="shared" si="121"/>
        <v>0</v>
      </c>
    </row>
    <row r="302" spans="1:51" x14ac:dyDescent="0.3">
      <c r="A302">
        <v>2022</v>
      </c>
      <c r="B302">
        <v>318</v>
      </c>
      <c r="C302">
        <v>1101021040202</v>
      </c>
      <c r="D302" s="5">
        <v>72</v>
      </c>
      <c r="E302" s="8" t="s">
        <v>1234</v>
      </c>
      <c r="F302">
        <v>1101021040202</v>
      </c>
      <c r="G302" s="8" t="s">
        <v>98</v>
      </c>
      <c r="H302" t="s">
        <v>643</v>
      </c>
      <c r="I302" s="11">
        <v>401864739.79000002</v>
      </c>
      <c r="J302" s="11">
        <v>401864739.79000002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401864739.79000002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469567405</v>
      </c>
      <c r="X302" s="11">
        <v>0</v>
      </c>
      <c r="Y302" s="17">
        <v>469567405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v>469567405</v>
      </c>
      <c r="AG302" s="11">
        <v>0</v>
      </c>
      <c r="AH302" s="12">
        <v>469567405</v>
      </c>
      <c r="AI302" s="11">
        <v>469567405</v>
      </c>
      <c r="AJ302" s="11">
        <v>0</v>
      </c>
      <c r="AK302" s="11">
        <v>0</v>
      </c>
      <c r="AL302" s="11">
        <v>469567405</v>
      </c>
      <c r="AM302" s="11">
        <v>469567405</v>
      </c>
      <c r="AN302" s="11">
        <v>0</v>
      </c>
      <c r="AO302" s="11">
        <v>469567405</v>
      </c>
      <c r="AP302" s="11">
        <v>0</v>
      </c>
      <c r="AQ302" s="11">
        <v>0</v>
      </c>
      <c r="AR302" t="s">
        <v>656</v>
      </c>
      <c r="AS302" s="4" t="str">
        <f t="shared" si="118"/>
        <v>Impuesto al consumo de vinos, aperitivos y similares - Extranjeros</v>
      </c>
      <c r="AT302" t="str">
        <f t="shared" si="119"/>
        <v>72Impuesto al consumo de vinos, aperitivos y similares - Extranjeros469567405</v>
      </c>
      <c r="AU302" t="str">
        <f>+_xlfn.XLOOKUP(AT302,CRUCE!J:J,CRUCE!M:M)</f>
        <v>READY</v>
      </c>
      <c r="AV302" t="s">
        <v>1907</v>
      </c>
      <c r="AW302" s="23">
        <f>+SUMIFS(CRUCE!D:D,CRUCE!A:A,'2022'!D302,CRUCE!B:B,'2022'!AS302)/COUNTIFS(D:D,D302,AS:AS,AS302)</f>
        <v>469567405</v>
      </c>
      <c r="AX302" s="23">
        <f t="shared" si="120"/>
        <v>469567405</v>
      </c>
      <c r="AY302" s="23">
        <f t="shared" si="121"/>
        <v>0</v>
      </c>
    </row>
    <row r="303" spans="1:51" hidden="1" x14ac:dyDescent="0.3">
      <c r="A303">
        <v>2022</v>
      </c>
      <c r="B303">
        <v>318</v>
      </c>
      <c r="C303">
        <v>110102105</v>
      </c>
      <c r="D303" s="5" t="s">
        <v>44</v>
      </c>
      <c r="E303" s="8" t="s">
        <v>693</v>
      </c>
      <c r="F303">
        <v>110102105</v>
      </c>
      <c r="G303" s="8" t="s">
        <v>100</v>
      </c>
      <c r="H303" t="s">
        <v>643</v>
      </c>
      <c r="I303" s="11">
        <v>3359643356.5700002</v>
      </c>
      <c r="J303" s="11">
        <v>3359643356.5700002</v>
      </c>
      <c r="K303" s="11">
        <v>139116507.28</v>
      </c>
      <c r="L303" s="11">
        <v>0</v>
      </c>
      <c r="M303" s="11">
        <v>139116507.28</v>
      </c>
      <c r="N303" s="11">
        <v>139116507.28</v>
      </c>
      <c r="O303" s="11">
        <v>0</v>
      </c>
      <c r="P303" s="11">
        <v>3498759863.8499999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3925195243</v>
      </c>
      <c r="X303" s="11">
        <v>153629000</v>
      </c>
      <c r="Y303" s="17">
        <v>3771566243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v>3925195243</v>
      </c>
      <c r="AG303" s="11">
        <v>153629000</v>
      </c>
      <c r="AH303" s="12">
        <v>3771566243</v>
      </c>
      <c r="AI303" s="11">
        <v>3771566243</v>
      </c>
      <c r="AJ303" s="11">
        <v>18609243</v>
      </c>
      <c r="AK303" s="11">
        <v>18609243</v>
      </c>
      <c r="AL303" s="11">
        <v>3752957000</v>
      </c>
      <c r="AM303" s="11">
        <v>3906586000</v>
      </c>
      <c r="AN303" s="11">
        <v>153629000</v>
      </c>
      <c r="AO303" s="11">
        <v>3906586000</v>
      </c>
      <c r="AP303" s="11">
        <v>0</v>
      </c>
      <c r="AQ303" s="11">
        <v>153629000</v>
      </c>
      <c r="AR303" t="s">
        <v>48</v>
      </c>
      <c r="AS303"/>
      <c r="AW303"/>
      <c r="AX303"/>
      <c r="AY303"/>
    </row>
    <row r="304" spans="1:51" x14ac:dyDescent="0.3">
      <c r="A304">
        <v>2022</v>
      </c>
      <c r="B304">
        <v>318</v>
      </c>
      <c r="C304">
        <v>11010210501</v>
      </c>
      <c r="D304" s="5">
        <v>154</v>
      </c>
      <c r="E304" s="8" t="s">
        <v>1235</v>
      </c>
      <c r="F304">
        <v>11010210501</v>
      </c>
      <c r="G304" s="8" t="s">
        <v>102</v>
      </c>
      <c r="H304" t="s">
        <v>643</v>
      </c>
      <c r="I304" s="11">
        <v>1612628811.45</v>
      </c>
      <c r="J304" s="11">
        <v>1612628811.45</v>
      </c>
      <c r="K304" s="11">
        <v>95308114</v>
      </c>
      <c r="L304" s="11">
        <v>0</v>
      </c>
      <c r="M304" s="11">
        <v>95308114</v>
      </c>
      <c r="N304" s="11">
        <v>95308114</v>
      </c>
      <c r="O304" s="11">
        <v>0</v>
      </c>
      <c r="P304" s="11">
        <v>1707936925.45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1943516000</v>
      </c>
      <c r="X304" s="11">
        <v>76814500</v>
      </c>
      <c r="Y304" s="17">
        <v>1866701500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v>1943516000</v>
      </c>
      <c r="AG304" s="11">
        <v>76814500</v>
      </c>
      <c r="AH304" s="12">
        <v>1866701500</v>
      </c>
      <c r="AI304" s="11">
        <v>1866701500</v>
      </c>
      <c r="AJ304" s="11">
        <v>0</v>
      </c>
      <c r="AK304" s="11">
        <v>0</v>
      </c>
      <c r="AL304" s="11">
        <v>1866701500</v>
      </c>
      <c r="AM304" s="11">
        <v>1943516000</v>
      </c>
      <c r="AN304" s="11">
        <v>76814500</v>
      </c>
      <c r="AO304" s="11">
        <v>1943516000</v>
      </c>
      <c r="AP304" s="11">
        <v>0</v>
      </c>
      <c r="AQ304" s="11">
        <v>76814500</v>
      </c>
      <c r="AR304" t="s">
        <v>651</v>
      </c>
      <c r="AS304" s="4" t="str">
        <f t="shared" ref="AS304:AS309" si="122">+G304</f>
        <v>Impuesto al consumo de cervezas, sifones, refajos y mezclas - Nacionales</v>
      </c>
      <c r="AT304" t="str">
        <f t="shared" ref="AT304:AT309" si="123">+D304&amp;AS304&amp;Y304</f>
        <v>154Impuesto al consumo de cervezas, sifones, refajos y mezclas - Nacionales1866701500</v>
      </c>
      <c r="AU304" t="str">
        <f>+_xlfn.XLOOKUP(AT304,CRUCE!J:J,CRUCE!M:M)</f>
        <v>READY</v>
      </c>
      <c r="AV304" t="s">
        <v>1907</v>
      </c>
      <c r="AW304" s="23">
        <f>+SUMIFS(CRUCE!D:D,CRUCE!A:A,'2022'!D304,CRUCE!B:B,'2022'!AS304)/COUNTIFS(D:D,D304,AS:AS,AS304)</f>
        <v>1866701500</v>
      </c>
      <c r="AX304" s="23">
        <f t="shared" ref="AX304:AX309" si="124">+SUMIFS(Y:Y,D:D,D304,AS:AS,AS304)/COUNTIFS(D:D,D304,AS:AS,AS304)</f>
        <v>1866701500</v>
      </c>
      <c r="AY304" s="23">
        <f t="shared" ref="AY304:AY309" si="125">+AW304-AX304</f>
        <v>0</v>
      </c>
    </row>
    <row r="305" spans="1:51" x14ac:dyDescent="0.3">
      <c r="A305">
        <v>2022</v>
      </c>
      <c r="B305">
        <v>318</v>
      </c>
      <c r="C305">
        <v>11010210501</v>
      </c>
      <c r="D305" s="5">
        <v>58</v>
      </c>
      <c r="E305" s="8" t="s">
        <v>1236</v>
      </c>
      <c r="F305">
        <v>11010210501</v>
      </c>
      <c r="G305" s="8" t="s">
        <v>102</v>
      </c>
      <c r="H305" t="s">
        <v>643</v>
      </c>
      <c r="I305" s="11">
        <v>806314405.44000006</v>
      </c>
      <c r="J305" s="11">
        <v>806314405.44000006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806314405.44000006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971758000</v>
      </c>
      <c r="X305" s="11">
        <v>38407250</v>
      </c>
      <c r="Y305" s="17">
        <v>933350750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v>971758000</v>
      </c>
      <c r="AG305" s="11">
        <v>38407250</v>
      </c>
      <c r="AH305" s="12">
        <v>933350750</v>
      </c>
      <c r="AI305" s="11">
        <v>933350750</v>
      </c>
      <c r="AJ305" s="11">
        <v>0</v>
      </c>
      <c r="AK305" s="11">
        <v>0</v>
      </c>
      <c r="AL305" s="11">
        <v>933350750</v>
      </c>
      <c r="AM305" s="11">
        <v>971758000</v>
      </c>
      <c r="AN305" s="11">
        <v>38407250</v>
      </c>
      <c r="AO305" s="11">
        <v>971758000</v>
      </c>
      <c r="AP305" s="11">
        <v>0</v>
      </c>
      <c r="AQ305" s="11">
        <v>38407250</v>
      </c>
      <c r="AR305" t="s">
        <v>684</v>
      </c>
      <c r="AS305" s="4" t="str">
        <f t="shared" si="122"/>
        <v>Impuesto al consumo de cervezas, sifones, refajos y mezclas - Nacionales</v>
      </c>
      <c r="AT305" t="str">
        <f t="shared" si="123"/>
        <v>58Impuesto al consumo de cervezas, sifones, refajos y mezclas - Nacionales933350750</v>
      </c>
      <c r="AU305" t="str">
        <f>+_xlfn.XLOOKUP(AT305,CRUCE!J:J,CRUCE!M:M)</f>
        <v>READY</v>
      </c>
      <c r="AV305" t="s">
        <v>1907</v>
      </c>
      <c r="AW305" s="23">
        <f>+SUMIFS(CRUCE!D:D,CRUCE!A:A,'2022'!D305,CRUCE!B:B,'2022'!AS305)/COUNTIFS(D:D,D305,AS:AS,AS305)</f>
        <v>933350750</v>
      </c>
      <c r="AX305" s="23">
        <f t="shared" si="124"/>
        <v>933350750</v>
      </c>
      <c r="AY305" s="23">
        <f t="shared" si="125"/>
        <v>0</v>
      </c>
    </row>
    <row r="306" spans="1:51" x14ac:dyDescent="0.3">
      <c r="A306">
        <v>2022</v>
      </c>
      <c r="B306">
        <v>318</v>
      </c>
      <c r="C306">
        <v>11010210501</v>
      </c>
      <c r="D306" s="5">
        <v>72</v>
      </c>
      <c r="E306" s="8" t="s">
        <v>1237</v>
      </c>
      <c r="F306">
        <v>11010210501</v>
      </c>
      <c r="G306" s="8" t="s">
        <v>102</v>
      </c>
      <c r="H306" t="s">
        <v>643</v>
      </c>
      <c r="I306" s="11">
        <v>806314405.44000006</v>
      </c>
      <c r="J306" s="11">
        <v>806314405.44000006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806314405.44000006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971758000</v>
      </c>
      <c r="X306" s="11">
        <v>38407250</v>
      </c>
      <c r="Y306" s="17">
        <v>933350750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971758000</v>
      </c>
      <c r="AG306" s="11">
        <v>38407250</v>
      </c>
      <c r="AH306" s="12">
        <v>933350750</v>
      </c>
      <c r="AI306" s="11">
        <v>933350750</v>
      </c>
      <c r="AJ306" s="11">
        <v>0</v>
      </c>
      <c r="AK306" s="11">
        <v>0</v>
      </c>
      <c r="AL306" s="11">
        <v>933350750</v>
      </c>
      <c r="AM306" s="11">
        <v>971758000</v>
      </c>
      <c r="AN306" s="11">
        <v>38407250</v>
      </c>
      <c r="AO306" s="11">
        <v>971758000</v>
      </c>
      <c r="AP306" s="11">
        <v>0</v>
      </c>
      <c r="AQ306" s="11">
        <v>38407250</v>
      </c>
      <c r="AR306" t="s">
        <v>656</v>
      </c>
      <c r="AS306" s="4" t="str">
        <f t="shared" si="122"/>
        <v>Impuesto al consumo de cervezas, sifones, refajos y mezclas - Nacionales</v>
      </c>
      <c r="AT306" t="str">
        <f t="shared" si="123"/>
        <v>72Impuesto al consumo de cervezas, sifones, refajos y mezclas - Nacionales933350750</v>
      </c>
      <c r="AU306" t="str">
        <f>+_xlfn.XLOOKUP(AT306,CRUCE!J:J,CRUCE!M:M)</f>
        <v>READY</v>
      </c>
      <c r="AV306" t="s">
        <v>1907</v>
      </c>
      <c r="AW306" s="23">
        <f>+SUMIFS(CRUCE!D:D,CRUCE!A:A,'2022'!D306,CRUCE!B:B,'2022'!AS306)/COUNTIFS(D:D,D306,AS:AS,AS306)</f>
        <v>933350750</v>
      </c>
      <c r="AX306" s="23">
        <f t="shared" si="124"/>
        <v>933350750</v>
      </c>
      <c r="AY306" s="23">
        <f t="shared" si="125"/>
        <v>0</v>
      </c>
    </row>
    <row r="307" spans="1:51" x14ac:dyDescent="0.3">
      <c r="A307">
        <v>2022</v>
      </c>
      <c r="B307">
        <v>318</v>
      </c>
      <c r="C307">
        <v>11010210502</v>
      </c>
      <c r="D307" s="5">
        <v>154</v>
      </c>
      <c r="E307" s="8" t="s">
        <v>1238</v>
      </c>
      <c r="F307">
        <v>11010210502</v>
      </c>
      <c r="G307" s="8" t="s">
        <v>104</v>
      </c>
      <c r="H307" t="s">
        <v>643</v>
      </c>
      <c r="I307" s="11">
        <v>67192867.120000005</v>
      </c>
      <c r="J307" s="11">
        <v>67192867.120000005</v>
      </c>
      <c r="K307" s="11">
        <v>43808393.280000001</v>
      </c>
      <c r="L307" s="11">
        <v>0</v>
      </c>
      <c r="M307" s="11">
        <v>43808393.280000001</v>
      </c>
      <c r="N307" s="11">
        <v>43808393.280000001</v>
      </c>
      <c r="O307" s="11">
        <v>0</v>
      </c>
      <c r="P307" s="11">
        <v>111001260.40000001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18609243</v>
      </c>
      <c r="X307" s="11">
        <v>0</v>
      </c>
      <c r="Y307" s="17">
        <v>18609243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18609243</v>
      </c>
      <c r="AG307" s="11">
        <v>0</v>
      </c>
      <c r="AH307" s="12">
        <v>18609243</v>
      </c>
      <c r="AI307" s="11">
        <v>18609243</v>
      </c>
      <c r="AJ307" s="11">
        <v>18609243</v>
      </c>
      <c r="AK307" s="11">
        <v>18609243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t="s">
        <v>651</v>
      </c>
      <c r="AS307" s="4" t="str">
        <f t="shared" si="122"/>
        <v>Impuesto al consumo de cervezas, sifones, refajos y mezclas - Extranjeras</v>
      </c>
      <c r="AT307" t="str">
        <f t="shared" si="123"/>
        <v>154Impuesto al consumo de cervezas, sifones, refajos y mezclas - Extranjeras18609243</v>
      </c>
      <c r="AU307" t="str">
        <f>+_xlfn.XLOOKUP(AT307,CRUCE!J:J,CRUCE!M:M)</f>
        <v>READY</v>
      </c>
      <c r="AV307" t="s">
        <v>1907</v>
      </c>
      <c r="AW307" s="23">
        <f>+SUMIFS(CRUCE!D:D,CRUCE!A:A,'2022'!D307,CRUCE!B:B,'2022'!AS307)/COUNTIFS(D:D,D307,AS:AS,AS307)</f>
        <v>18609243</v>
      </c>
      <c r="AX307" s="23">
        <f t="shared" si="124"/>
        <v>18609243</v>
      </c>
      <c r="AY307" s="23">
        <f t="shared" si="125"/>
        <v>0</v>
      </c>
    </row>
    <row r="308" spans="1:51" x14ac:dyDescent="0.3">
      <c r="A308">
        <v>2022</v>
      </c>
      <c r="B308">
        <v>318</v>
      </c>
      <c r="C308">
        <v>11010210502</v>
      </c>
      <c r="D308" s="5">
        <v>58</v>
      </c>
      <c r="E308" s="8" t="s">
        <v>1239</v>
      </c>
      <c r="F308">
        <v>11010210502</v>
      </c>
      <c r="G308" s="8" t="s">
        <v>104</v>
      </c>
      <c r="H308" t="s">
        <v>643</v>
      </c>
      <c r="I308" s="11">
        <v>33596433.560000002</v>
      </c>
      <c r="J308" s="11">
        <v>33596433.560000002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33596433.560000002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9777000</v>
      </c>
      <c r="X308" s="11">
        <v>0</v>
      </c>
      <c r="Y308" s="17">
        <v>9777000</v>
      </c>
      <c r="Z308" s="11">
        <v>0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9777000</v>
      </c>
      <c r="AG308" s="11">
        <v>0</v>
      </c>
      <c r="AH308" s="12">
        <v>9777000</v>
      </c>
      <c r="AI308" s="11">
        <v>9777000</v>
      </c>
      <c r="AJ308" s="11">
        <v>0</v>
      </c>
      <c r="AK308" s="11">
        <v>0</v>
      </c>
      <c r="AL308" s="11">
        <v>9777000</v>
      </c>
      <c r="AM308" s="11">
        <v>9777000</v>
      </c>
      <c r="AN308" s="11">
        <v>0</v>
      </c>
      <c r="AO308" s="11">
        <v>9777000</v>
      </c>
      <c r="AP308" s="11">
        <v>0</v>
      </c>
      <c r="AQ308" s="11">
        <v>0</v>
      </c>
      <c r="AR308" t="s">
        <v>684</v>
      </c>
      <c r="AS308" s="4" t="str">
        <f t="shared" si="122"/>
        <v>Impuesto al consumo de cervezas, sifones, refajos y mezclas - Extranjeras</v>
      </c>
      <c r="AT308" t="str">
        <f t="shared" si="123"/>
        <v>58Impuesto al consumo de cervezas, sifones, refajos y mezclas - Extranjeras9777000</v>
      </c>
      <c r="AU308" t="str">
        <f>+_xlfn.XLOOKUP(AT308,CRUCE!J:J,CRUCE!M:M)</f>
        <v>READY</v>
      </c>
      <c r="AV308" t="s">
        <v>1907</v>
      </c>
      <c r="AW308" s="23">
        <f>+SUMIFS(CRUCE!D:D,CRUCE!A:A,'2022'!D308,CRUCE!B:B,'2022'!AS308)/COUNTIFS(D:D,D308,AS:AS,AS308)</f>
        <v>9777000</v>
      </c>
      <c r="AX308" s="23">
        <f t="shared" si="124"/>
        <v>9777000</v>
      </c>
      <c r="AY308" s="23">
        <f t="shared" si="125"/>
        <v>0</v>
      </c>
    </row>
    <row r="309" spans="1:51" x14ac:dyDescent="0.3">
      <c r="A309">
        <v>2022</v>
      </c>
      <c r="B309">
        <v>318</v>
      </c>
      <c r="C309">
        <v>11010210502</v>
      </c>
      <c r="D309" s="5">
        <v>72</v>
      </c>
      <c r="E309" s="8" t="s">
        <v>1240</v>
      </c>
      <c r="F309">
        <v>11010210502</v>
      </c>
      <c r="G309" s="8" t="s">
        <v>104</v>
      </c>
      <c r="H309" t="s">
        <v>643</v>
      </c>
      <c r="I309" s="11">
        <v>33596433.560000002</v>
      </c>
      <c r="J309" s="11">
        <v>33596433.560000002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33596433.560000002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9777000</v>
      </c>
      <c r="X309" s="11">
        <v>0</v>
      </c>
      <c r="Y309" s="17">
        <v>9777000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v>9777000</v>
      </c>
      <c r="AG309" s="11">
        <v>0</v>
      </c>
      <c r="AH309" s="12">
        <v>9777000</v>
      </c>
      <c r="AI309" s="11">
        <v>9777000</v>
      </c>
      <c r="AJ309" s="11">
        <v>0</v>
      </c>
      <c r="AK309" s="11">
        <v>0</v>
      </c>
      <c r="AL309" s="11">
        <v>9777000</v>
      </c>
      <c r="AM309" s="11">
        <v>9777000</v>
      </c>
      <c r="AN309" s="11">
        <v>0</v>
      </c>
      <c r="AO309" s="11">
        <v>9777000</v>
      </c>
      <c r="AP309" s="11">
        <v>0</v>
      </c>
      <c r="AQ309" s="11">
        <v>0</v>
      </c>
      <c r="AR309" t="s">
        <v>656</v>
      </c>
      <c r="AS309" s="4" t="str">
        <f t="shared" si="122"/>
        <v>Impuesto al consumo de cervezas, sifones, refajos y mezclas - Extranjeras</v>
      </c>
      <c r="AT309" t="str">
        <f t="shared" si="123"/>
        <v>72Impuesto al consumo de cervezas, sifones, refajos y mezclas - Extranjeras9777000</v>
      </c>
      <c r="AU309" t="str">
        <f>+_xlfn.XLOOKUP(AT309,CRUCE!J:J,CRUCE!M:M)</f>
        <v>READY</v>
      </c>
      <c r="AV309" t="s">
        <v>1907</v>
      </c>
      <c r="AW309" s="23">
        <f>+SUMIFS(CRUCE!D:D,CRUCE!A:A,'2022'!D309,CRUCE!B:B,'2022'!AS309)/COUNTIFS(D:D,D309,AS:AS,AS309)</f>
        <v>9777000</v>
      </c>
      <c r="AX309" s="23">
        <f t="shared" si="124"/>
        <v>9777000</v>
      </c>
      <c r="AY309" s="23">
        <f t="shared" si="125"/>
        <v>0</v>
      </c>
    </row>
    <row r="310" spans="1:51" hidden="1" x14ac:dyDescent="0.3">
      <c r="A310">
        <v>2022</v>
      </c>
      <c r="B310">
        <v>318</v>
      </c>
      <c r="C310">
        <v>110102106</v>
      </c>
      <c r="D310" s="5" t="s">
        <v>44</v>
      </c>
      <c r="E310" s="8" t="s">
        <v>704</v>
      </c>
      <c r="F310">
        <v>110102106</v>
      </c>
      <c r="G310" s="8" t="s">
        <v>106</v>
      </c>
      <c r="H310" t="s">
        <v>643</v>
      </c>
      <c r="I310" s="11">
        <v>10906790824</v>
      </c>
      <c r="J310" s="11">
        <v>10906790824</v>
      </c>
      <c r="K310" s="11">
        <v>7050962431.3199997</v>
      </c>
      <c r="L310" s="11">
        <v>0</v>
      </c>
      <c r="M310" s="11">
        <v>7050962431.3199997</v>
      </c>
      <c r="N310" s="11">
        <v>7050962431.3199997</v>
      </c>
      <c r="O310" s="11">
        <v>0</v>
      </c>
      <c r="P310" s="11">
        <v>17957753255.32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20796651962</v>
      </c>
      <c r="X310" s="11">
        <v>0</v>
      </c>
      <c r="Y310" s="17">
        <v>20796651962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20796651962</v>
      </c>
      <c r="AG310" s="11">
        <v>0</v>
      </c>
      <c r="AH310" s="12">
        <v>20796651962</v>
      </c>
      <c r="AI310" s="11">
        <v>20796651962</v>
      </c>
      <c r="AJ310" s="11">
        <v>4816291965</v>
      </c>
      <c r="AK310" s="11">
        <v>4816291965</v>
      </c>
      <c r="AL310" s="11">
        <v>15980359997</v>
      </c>
      <c r="AM310" s="11">
        <v>15980359997</v>
      </c>
      <c r="AN310" s="11">
        <v>0</v>
      </c>
      <c r="AO310" s="11">
        <v>15980359997</v>
      </c>
      <c r="AP310" s="11">
        <v>0</v>
      </c>
      <c r="AQ310" s="11">
        <v>0</v>
      </c>
      <c r="AR310" t="s">
        <v>48</v>
      </c>
      <c r="AS310"/>
      <c r="AW310"/>
      <c r="AX310"/>
      <c r="AY310"/>
    </row>
    <row r="311" spans="1:51" hidden="1" x14ac:dyDescent="0.3">
      <c r="A311">
        <v>2022</v>
      </c>
      <c r="B311">
        <v>318</v>
      </c>
      <c r="C311">
        <v>11010210601</v>
      </c>
      <c r="D311" s="5" t="s">
        <v>44</v>
      </c>
      <c r="E311" s="8" t="s">
        <v>705</v>
      </c>
      <c r="F311">
        <v>11010210601</v>
      </c>
      <c r="G311" s="8" t="s">
        <v>108</v>
      </c>
      <c r="H311" t="s">
        <v>643</v>
      </c>
      <c r="I311" s="11">
        <v>3749209145</v>
      </c>
      <c r="J311" s="11">
        <v>3749209145</v>
      </c>
      <c r="K311" s="11">
        <v>7036899274.2700005</v>
      </c>
      <c r="L311" s="11">
        <v>0</v>
      </c>
      <c r="M311" s="11">
        <v>7036899274.2700005</v>
      </c>
      <c r="N311" s="11">
        <v>7036899274.2700005</v>
      </c>
      <c r="O311" s="11">
        <v>0</v>
      </c>
      <c r="P311" s="11">
        <v>10786108419.27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15980359997</v>
      </c>
      <c r="X311" s="11">
        <v>0</v>
      </c>
      <c r="Y311" s="17">
        <v>15980359997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15980359997</v>
      </c>
      <c r="AG311" s="11">
        <v>0</v>
      </c>
      <c r="AH311" s="12">
        <v>15980359997</v>
      </c>
      <c r="AI311" s="11">
        <v>15980359997</v>
      </c>
      <c r="AJ311" s="11">
        <v>0</v>
      </c>
      <c r="AK311" s="11">
        <v>0</v>
      </c>
      <c r="AL311" s="11">
        <v>15980359997</v>
      </c>
      <c r="AM311" s="11">
        <v>15980359997</v>
      </c>
      <c r="AN311" s="11">
        <v>0</v>
      </c>
      <c r="AO311" s="11">
        <v>15980359997</v>
      </c>
      <c r="AP311" s="11">
        <v>0</v>
      </c>
      <c r="AQ311" s="11">
        <v>0</v>
      </c>
      <c r="AR311" t="s">
        <v>48</v>
      </c>
      <c r="AS311"/>
      <c r="AW311"/>
      <c r="AX311"/>
      <c r="AY311"/>
    </row>
    <row r="312" spans="1:51" x14ac:dyDescent="0.3">
      <c r="A312">
        <v>2022</v>
      </c>
      <c r="B312">
        <v>318</v>
      </c>
      <c r="C312">
        <v>1101021060102</v>
      </c>
      <c r="D312" s="5">
        <v>154</v>
      </c>
      <c r="E312" s="8" t="s">
        <v>706</v>
      </c>
      <c r="F312">
        <v>1101021060102</v>
      </c>
      <c r="G312" s="8" t="s">
        <v>110</v>
      </c>
      <c r="H312" t="s">
        <v>643</v>
      </c>
      <c r="I312" s="11">
        <v>3749209145</v>
      </c>
      <c r="J312" s="11">
        <v>3749209145</v>
      </c>
      <c r="K312" s="11">
        <v>7036899274.2700005</v>
      </c>
      <c r="L312" s="11">
        <v>0</v>
      </c>
      <c r="M312" s="11">
        <v>7036899274.2700005</v>
      </c>
      <c r="N312" s="11">
        <v>7036899274.2700005</v>
      </c>
      <c r="O312" s="11">
        <v>0</v>
      </c>
      <c r="P312" s="11">
        <v>10786108419.27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15980359997</v>
      </c>
      <c r="X312" s="11">
        <v>0</v>
      </c>
      <c r="Y312" s="17">
        <v>15980359997</v>
      </c>
      <c r="Z312" s="11">
        <v>0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15980359997</v>
      </c>
      <c r="AG312" s="11">
        <v>0</v>
      </c>
      <c r="AH312" s="12">
        <v>15980359997</v>
      </c>
      <c r="AI312" s="11">
        <v>15980359997</v>
      </c>
      <c r="AJ312" s="11">
        <v>0</v>
      </c>
      <c r="AK312" s="11">
        <v>0</v>
      </c>
      <c r="AL312" s="11">
        <v>15980359997</v>
      </c>
      <c r="AM312" s="11">
        <v>15980359997</v>
      </c>
      <c r="AN312" s="11">
        <v>0</v>
      </c>
      <c r="AO312" s="11">
        <v>15980359997</v>
      </c>
      <c r="AP312" s="11">
        <v>0</v>
      </c>
      <c r="AQ312" s="11">
        <v>0</v>
      </c>
      <c r="AR312" t="s">
        <v>651</v>
      </c>
      <c r="AS312" s="4" t="str">
        <f>+G312</f>
        <v>Componente específico del impuesto al consumo de cigarrillos y tabaco - Extranjeros</v>
      </c>
      <c r="AT312" t="str">
        <f>+D312&amp;AS312&amp;Y312</f>
        <v>154Componente específico del impuesto al consumo de cigarrillos y tabaco - Extranjeros15980359997</v>
      </c>
      <c r="AU312" t="str">
        <f>+_xlfn.XLOOKUP(AT312,CRUCE!J:J,CRUCE!M:M)</f>
        <v>READY</v>
      </c>
      <c r="AV312" t="s">
        <v>1907</v>
      </c>
      <c r="AW312" s="23">
        <f>+SUMIFS(CRUCE!D:D,CRUCE!A:A,'2022'!D312,CRUCE!B:B,'2022'!AS312)/COUNTIFS(D:D,D312,AS:AS,AS312)</f>
        <v>15980359997</v>
      </c>
      <c r="AX312" s="23">
        <f>+SUMIFS(Y:Y,D:D,D312,AS:AS,AS312)/COUNTIFS(D:D,D312,AS:AS,AS312)</f>
        <v>15980359997</v>
      </c>
      <c r="AY312" s="23">
        <f>+AW312-AX312</f>
        <v>0</v>
      </c>
    </row>
    <row r="313" spans="1:51" hidden="1" x14ac:dyDescent="0.3">
      <c r="A313">
        <v>2022</v>
      </c>
      <c r="B313">
        <v>318</v>
      </c>
      <c r="C313">
        <v>11010210602</v>
      </c>
      <c r="D313" s="5" t="s">
        <v>44</v>
      </c>
      <c r="E313" s="8" t="s">
        <v>707</v>
      </c>
      <c r="F313">
        <v>11010210602</v>
      </c>
      <c r="G313" s="8" t="s">
        <v>708</v>
      </c>
      <c r="H313" t="s">
        <v>643</v>
      </c>
      <c r="I313" s="11">
        <v>7157581679</v>
      </c>
      <c r="J313" s="11">
        <v>7157581679</v>
      </c>
      <c r="K313" s="11">
        <v>14063157.050000001</v>
      </c>
      <c r="L313" s="11">
        <v>0</v>
      </c>
      <c r="M313" s="11">
        <v>14063157.050000001</v>
      </c>
      <c r="N313" s="11">
        <v>14063157.050000001</v>
      </c>
      <c r="O313" s="11">
        <v>0</v>
      </c>
      <c r="P313" s="11">
        <v>7171644836.0500002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4816291965</v>
      </c>
      <c r="X313" s="11">
        <v>0</v>
      </c>
      <c r="Y313" s="17">
        <v>4816291965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v>4816291965</v>
      </c>
      <c r="AG313" s="11">
        <v>0</v>
      </c>
      <c r="AH313" s="12">
        <v>4816291965</v>
      </c>
      <c r="AI313" s="11">
        <v>4816291965</v>
      </c>
      <c r="AJ313" s="11">
        <v>4816291965</v>
      </c>
      <c r="AK313" s="11">
        <v>4816291965</v>
      </c>
      <c r="AL313" s="11">
        <v>0</v>
      </c>
      <c r="AM313" s="11">
        <v>0</v>
      </c>
      <c r="AN313" s="11">
        <v>0</v>
      </c>
      <c r="AO313" s="11">
        <v>0</v>
      </c>
      <c r="AP313" s="11">
        <v>0</v>
      </c>
      <c r="AQ313" s="11">
        <v>0</v>
      </c>
      <c r="AR313" t="s">
        <v>48</v>
      </c>
      <c r="AS313"/>
      <c r="AW313"/>
      <c r="AX313"/>
      <c r="AY313"/>
    </row>
    <row r="314" spans="1:51" x14ac:dyDescent="0.3">
      <c r="A314">
        <v>2022</v>
      </c>
      <c r="B314">
        <v>318</v>
      </c>
      <c r="C314">
        <v>1101021060202</v>
      </c>
      <c r="D314" s="5">
        <v>154</v>
      </c>
      <c r="E314" s="8" t="s">
        <v>709</v>
      </c>
      <c r="F314">
        <v>1101021060202</v>
      </c>
      <c r="G314" s="8" t="s">
        <v>710</v>
      </c>
      <c r="H314" t="s">
        <v>643</v>
      </c>
      <c r="I314" s="11">
        <v>7157581679</v>
      </c>
      <c r="J314" s="11">
        <v>7157581679</v>
      </c>
      <c r="K314" s="11">
        <v>14063157.050000001</v>
      </c>
      <c r="L314" s="11">
        <v>0</v>
      </c>
      <c r="M314" s="11">
        <v>14063157.050000001</v>
      </c>
      <c r="N314" s="11">
        <v>14063157.050000001</v>
      </c>
      <c r="O314" s="11">
        <v>0</v>
      </c>
      <c r="P314" s="11">
        <v>7171644836.0500002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4816291965</v>
      </c>
      <c r="X314" s="11">
        <v>0</v>
      </c>
      <c r="Y314" s="17">
        <v>4816291965</v>
      </c>
      <c r="Z314" s="11">
        <v>0</v>
      </c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11">
        <v>4816291965</v>
      </c>
      <c r="AG314" s="11">
        <v>0</v>
      </c>
      <c r="AH314" s="12">
        <v>4816291965</v>
      </c>
      <c r="AI314" s="11">
        <v>4816291965</v>
      </c>
      <c r="AJ314" s="11">
        <v>4816291965</v>
      </c>
      <c r="AK314" s="11">
        <v>4816291965</v>
      </c>
      <c r="AL314" s="11">
        <v>0</v>
      </c>
      <c r="AM314" s="11">
        <v>0</v>
      </c>
      <c r="AN314" s="11">
        <v>0</v>
      </c>
      <c r="AO314" s="11">
        <v>0</v>
      </c>
      <c r="AP314" s="11">
        <v>0</v>
      </c>
      <c r="AQ314" s="11">
        <v>0</v>
      </c>
      <c r="AR314" t="s">
        <v>651</v>
      </c>
      <c r="AS314" s="4" t="str">
        <f>+G314</f>
        <v>Componente ad valorem del impuesto al consumo de cigarrillos y tabaco elaborado - Extranjeros</v>
      </c>
      <c r="AT314" t="str">
        <f>+D314&amp;AS314&amp;Y314</f>
        <v>154Componente ad valorem del impuesto al consumo de cigarrillos y tabaco elaborado - Extranjeros4816291965</v>
      </c>
      <c r="AU314" t="str">
        <f>+_xlfn.XLOOKUP(AT314,CRUCE!J:J,CRUCE!M:M)</f>
        <v>READY</v>
      </c>
      <c r="AV314" t="s">
        <v>1907</v>
      </c>
      <c r="AW314" s="23">
        <f>+SUMIFS(CRUCE!D:D,CRUCE!A:A,'2022'!D314,CRUCE!B:B,'2022'!AS314)/COUNTIFS(D:D,D314,AS:AS,AS314)</f>
        <v>4816291965</v>
      </c>
      <c r="AX314" s="23">
        <f>+SUMIFS(Y:Y,D:D,D314,AS:AS,AS314)/COUNTIFS(D:D,D314,AS:AS,AS314)</f>
        <v>4816291965</v>
      </c>
      <c r="AY314" s="23">
        <f>+AW314-AX314</f>
        <v>0</v>
      </c>
    </row>
    <row r="315" spans="1:51" hidden="1" x14ac:dyDescent="0.3">
      <c r="A315">
        <v>2022</v>
      </c>
      <c r="B315">
        <v>318</v>
      </c>
      <c r="C315">
        <v>1102</v>
      </c>
      <c r="D315" s="5" t="s">
        <v>44</v>
      </c>
      <c r="E315" s="8" t="s">
        <v>711</v>
      </c>
      <c r="F315">
        <v>1102</v>
      </c>
      <c r="G315" s="8" t="s">
        <v>145</v>
      </c>
      <c r="H315" t="s">
        <v>643</v>
      </c>
      <c r="I315" s="11">
        <v>26008564247.209999</v>
      </c>
      <c r="J315" s="11">
        <v>26008564247.209999</v>
      </c>
      <c r="K315" s="11">
        <v>10319839014.030001</v>
      </c>
      <c r="L315" s="11">
        <v>282689985</v>
      </c>
      <c r="M315" s="11">
        <v>10037149029.030001</v>
      </c>
      <c r="N315" s="11">
        <v>10319839014.030001</v>
      </c>
      <c r="O315" s="11">
        <v>282689985</v>
      </c>
      <c r="P315" s="11">
        <v>36045713276.239998</v>
      </c>
      <c r="Q315" s="11">
        <v>391134685.36000001</v>
      </c>
      <c r="R315" s="11">
        <v>5858570.0999999996</v>
      </c>
      <c r="S315" s="11">
        <v>385276115.25999999</v>
      </c>
      <c r="T315" s="11">
        <v>0</v>
      </c>
      <c r="U315" s="11">
        <v>0</v>
      </c>
      <c r="V315" s="11">
        <v>0</v>
      </c>
      <c r="W315" s="11">
        <v>41082133616.330002</v>
      </c>
      <c r="X315" s="11">
        <v>1700969664.1700001</v>
      </c>
      <c r="Y315" s="17">
        <v>39381163952.160004</v>
      </c>
      <c r="Z315" s="11">
        <v>391134685.36000001</v>
      </c>
      <c r="AA315" s="11">
        <v>5858570.0999999996</v>
      </c>
      <c r="AB315" s="11">
        <v>385276115.25999999</v>
      </c>
      <c r="AC315" s="11">
        <v>0</v>
      </c>
      <c r="AD315" s="11">
        <v>0</v>
      </c>
      <c r="AE315" s="11">
        <v>0</v>
      </c>
      <c r="AF315" s="11">
        <v>41082133616.330002</v>
      </c>
      <c r="AG315" s="11">
        <v>1700969664.1700001</v>
      </c>
      <c r="AH315" s="12">
        <v>39381163952.160004</v>
      </c>
      <c r="AI315" s="11">
        <v>39381163952.160004</v>
      </c>
      <c r="AJ315" s="11">
        <v>9963179447.6599998</v>
      </c>
      <c r="AK315" s="11">
        <v>9963179447.6599998</v>
      </c>
      <c r="AL315" s="11">
        <v>29417984504.5</v>
      </c>
      <c r="AM315" s="11">
        <v>30285536570.200001</v>
      </c>
      <c r="AN315" s="11">
        <v>867552065.70000005</v>
      </c>
      <c r="AO315" s="11">
        <v>30285536570.200001</v>
      </c>
      <c r="AP315" s="11">
        <v>0</v>
      </c>
      <c r="AQ315" s="11">
        <v>867552065.70000005</v>
      </c>
      <c r="AR315" t="s">
        <v>48</v>
      </c>
      <c r="AS315"/>
      <c r="AW315"/>
      <c r="AX315"/>
      <c r="AY315"/>
    </row>
    <row r="316" spans="1:51" hidden="1" x14ac:dyDescent="0.3">
      <c r="A316">
        <v>2022</v>
      </c>
      <c r="B316">
        <v>318</v>
      </c>
      <c r="C316">
        <v>110202</v>
      </c>
      <c r="D316" s="5" t="s">
        <v>44</v>
      </c>
      <c r="E316" s="8" t="s">
        <v>712</v>
      </c>
      <c r="F316">
        <v>110202</v>
      </c>
      <c r="G316" s="8" t="s">
        <v>176</v>
      </c>
      <c r="H316" t="s">
        <v>643</v>
      </c>
      <c r="I316" s="11">
        <v>960000000</v>
      </c>
      <c r="J316" s="11">
        <v>960000000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960000000</v>
      </c>
      <c r="Q316" s="11">
        <v>391134685.36000001</v>
      </c>
      <c r="R316" s="11">
        <v>5858570.0999999996</v>
      </c>
      <c r="S316" s="11">
        <v>385276115.25999999</v>
      </c>
      <c r="T316" s="11">
        <v>0</v>
      </c>
      <c r="U316" s="11">
        <v>0</v>
      </c>
      <c r="V316" s="11">
        <v>0</v>
      </c>
      <c r="W316" s="11">
        <v>406420711.36000001</v>
      </c>
      <c r="X316" s="11">
        <v>21144593.699999999</v>
      </c>
      <c r="Y316" s="17">
        <v>385276117.66000003</v>
      </c>
      <c r="Z316" s="11">
        <v>391134685.36000001</v>
      </c>
      <c r="AA316" s="11">
        <v>5858570.0999999996</v>
      </c>
      <c r="AB316" s="11">
        <v>385276115.25999999</v>
      </c>
      <c r="AC316" s="11">
        <v>0</v>
      </c>
      <c r="AD316" s="11">
        <v>0</v>
      </c>
      <c r="AE316" s="11">
        <v>0</v>
      </c>
      <c r="AF316" s="11">
        <v>406420711.36000001</v>
      </c>
      <c r="AG316" s="11">
        <v>21144593.699999999</v>
      </c>
      <c r="AH316" s="12">
        <v>385276117.66000003</v>
      </c>
      <c r="AI316" s="11">
        <v>385276117.66000003</v>
      </c>
      <c r="AJ316" s="11">
        <v>0</v>
      </c>
      <c r="AK316" s="11">
        <v>0</v>
      </c>
      <c r="AL316" s="11">
        <v>385276117.66000003</v>
      </c>
      <c r="AM316" s="11">
        <v>406420711.36000001</v>
      </c>
      <c r="AN316" s="11">
        <v>21144593.699999999</v>
      </c>
      <c r="AO316" s="11">
        <v>406420711.36000001</v>
      </c>
      <c r="AP316" s="11">
        <v>0</v>
      </c>
      <c r="AQ316" s="11">
        <v>21144593.699999999</v>
      </c>
      <c r="AR316" t="s">
        <v>48</v>
      </c>
      <c r="AS316"/>
      <c r="AW316"/>
      <c r="AX316"/>
      <c r="AY316"/>
    </row>
    <row r="317" spans="1:51" hidden="1" x14ac:dyDescent="0.3">
      <c r="A317">
        <v>2022</v>
      </c>
      <c r="B317">
        <v>318</v>
      </c>
      <c r="C317">
        <v>110202101</v>
      </c>
      <c r="D317" s="5" t="s">
        <v>44</v>
      </c>
      <c r="E317" s="8" t="s">
        <v>713</v>
      </c>
      <c r="F317">
        <v>110202101</v>
      </c>
      <c r="G317" s="8" t="s">
        <v>178</v>
      </c>
      <c r="H317" t="s">
        <v>643</v>
      </c>
      <c r="I317" s="11">
        <v>960000000</v>
      </c>
      <c r="J317" s="11">
        <v>960000000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960000000</v>
      </c>
      <c r="Q317" s="11">
        <v>391134685.36000001</v>
      </c>
      <c r="R317" s="11">
        <v>5858570.0999999996</v>
      </c>
      <c r="S317" s="11">
        <v>385276115.25999999</v>
      </c>
      <c r="T317" s="11">
        <v>0</v>
      </c>
      <c r="U317" s="11">
        <v>0</v>
      </c>
      <c r="V317" s="11">
        <v>0</v>
      </c>
      <c r="W317" s="11">
        <v>406420711.36000001</v>
      </c>
      <c r="X317" s="11">
        <v>21144593.699999999</v>
      </c>
      <c r="Y317" s="17">
        <v>385276117.66000003</v>
      </c>
      <c r="Z317" s="11">
        <v>391134685.36000001</v>
      </c>
      <c r="AA317" s="11">
        <v>5858570.0999999996</v>
      </c>
      <c r="AB317" s="11">
        <v>385276115.25999999</v>
      </c>
      <c r="AC317" s="11">
        <v>0</v>
      </c>
      <c r="AD317" s="11">
        <v>0</v>
      </c>
      <c r="AE317" s="11">
        <v>0</v>
      </c>
      <c r="AF317" s="11">
        <v>406420711.36000001</v>
      </c>
      <c r="AG317" s="11">
        <v>21144593.699999999</v>
      </c>
      <c r="AH317" s="12">
        <v>385276117.66000003</v>
      </c>
      <c r="AI317" s="11">
        <v>385276117.66000003</v>
      </c>
      <c r="AJ317" s="11">
        <v>0</v>
      </c>
      <c r="AK317" s="11">
        <v>0</v>
      </c>
      <c r="AL317" s="11">
        <v>385276117.66000003</v>
      </c>
      <c r="AM317" s="11">
        <v>406420711.36000001</v>
      </c>
      <c r="AN317" s="11">
        <v>21144593.699999999</v>
      </c>
      <c r="AO317" s="11">
        <v>406420711.36000001</v>
      </c>
      <c r="AP317" s="11">
        <v>0</v>
      </c>
      <c r="AQ317" s="11">
        <v>21144593.699999999</v>
      </c>
      <c r="AR317" t="s">
        <v>48</v>
      </c>
      <c r="AS317"/>
      <c r="AW317"/>
      <c r="AX317"/>
      <c r="AY317"/>
    </row>
    <row r="318" spans="1:51" x14ac:dyDescent="0.3">
      <c r="A318">
        <v>2022</v>
      </c>
      <c r="B318">
        <v>318</v>
      </c>
      <c r="C318">
        <v>11020210101</v>
      </c>
      <c r="D318" s="5">
        <v>63</v>
      </c>
      <c r="E318" s="8" t="s">
        <v>714</v>
      </c>
      <c r="F318">
        <v>11020210101</v>
      </c>
      <c r="G318" s="8" t="s">
        <v>715</v>
      </c>
      <c r="H318" t="s">
        <v>643</v>
      </c>
      <c r="I318" s="11">
        <v>19200000</v>
      </c>
      <c r="J318" s="11">
        <v>19200000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19200000</v>
      </c>
      <c r="Q318" s="11">
        <v>29535000</v>
      </c>
      <c r="R318" s="11">
        <v>561000</v>
      </c>
      <c r="S318" s="11">
        <v>28974000</v>
      </c>
      <c r="T318" s="11">
        <v>0</v>
      </c>
      <c r="U318" s="11">
        <v>0</v>
      </c>
      <c r="V318" s="11">
        <v>0</v>
      </c>
      <c r="W318" s="11">
        <v>29370000</v>
      </c>
      <c r="X318" s="11">
        <v>396000</v>
      </c>
      <c r="Y318" s="17">
        <v>28974000</v>
      </c>
      <c r="Z318" s="11">
        <v>29535000</v>
      </c>
      <c r="AA318" s="11">
        <v>561000</v>
      </c>
      <c r="AB318" s="11">
        <v>28974000</v>
      </c>
      <c r="AC318" s="11">
        <v>0</v>
      </c>
      <c r="AD318" s="11">
        <v>0</v>
      </c>
      <c r="AE318" s="11">
        <v>0</v>
      </c>
      <c r="AF318" s="11">
        <v>29370000</v>
      </c>
      <c r="AG318" s="11">
        <v>396000</v>
      </c>
      <c r="AH318" s="12">
        <v>28974000</v>
      </c>
      <c r="AI318" s="11">
        <v>28974000</v>
      </c>
      <c r="AJ318" s="11">
        <v>0</v>
      </c>
      <c r="AK318" s="11">
        <v>0</v>
      </c>
      <c r="AL318" s="11">
        <v>28974000</v>
      </c>
      <c r="AM318" s="11">
        <v>29370000</v>
      </c>
      <c r="AN318" s="11">
        <v>396000</v>
      </c>
      <c r="AO318" s="11">
        <v>29370000</v>
      </c>
      <c r="AP318" s="11">
        <v>0</v>
      </c>
      <c r="AQ318" s="11">
        <v>396000</v>
      </c>
      <c r="AR318" t="s">
        <v>716</v>
      </c>
      <c r="AS318" s="4" t="str">
        <f t="shared" ref="AS318:AS320" si="126">+G318</f>
        <v>Fondo De Estupefacientes Venta De Recetarios</v>
      </c>
      <c r="AT318" t="str">
        <f t="shared" ref="AT318:AT320" si="127">+D318&amp;AS318&amp;Y318</f>
        <v>63Fondo De Estupefacientes Venta De Recetarios28974000</v>
      </c>
      <c r="AU318" t="str">
        <f>+_xlfn.XLOOKUP(AT318,CRUCE!J:J,CRUCE!M:M)</f>
        <v>READY</v>
      </c>
      <c r="AV318" t="s">
        <v>1907</v>
      </c>
      <c r="AW318" s="23">
        <f>+SUMIFS(CRUCE!D:D,CRUCE!A:A,'2022'!D318,CRUCE!B:B,'2022'!AS318)/COUNTIFS(D:D,D318,AS:AS,AS318)</f>
        <v>28974000</v>
      </c>
      <c r="AX318" s="23">
        <f t="shared" ref="AX318:AX320" si="128">+SUMIFS(Y:Y,D:D,D318,AS:AS,AS318)/COUNTIFS(D:D,D318,AS:AS,AS318)</f>
        <v>28974000</v>
      </c>
      <c r="AY318" s="23">
        <f t="shared" ref="AY318:AY320" si="129">+AW318-AX318</f>
        <v>0</v>
      </c>
    </row>
    <row r="319" spans="1:51" x14ac:dyDescent="0.3">
      <c r="A319">
        <v>2022</v>
      </c>
      <c r="B319">
        <v>318</v>
      </c>
      <c r="C319">
        <v>11020210102</v>
      </c>
      <c r="D319" s="5">
        <v>63</v>
      </c>
      <c r="E319" s="8" t="s">
        <v>717</v>
      </c>
      <c r="F319">
        <v>11020210102</v>
      </c>
      <c r="G319" s="8" t="s">
        <v>718</v>
      </c>
      <c r="H319" t="s">
        <v>643</v>
      </c>
      <c r="I319" s="11">
        <v>9600000</v>
      </c>
      <c r="J319" s="11">
        <v>9600000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9600000</v>
      </c>
      <c r="Q319" s="11">
        <v>2467900</v>
      </c>
      <c r="R319" s="11">
        <v>66700</v>
      </c>
      <c r="S319" s="11">
        <v>2401200</v>
      </c>
      <c r="T319" s="11">
        <v>0</v>
      </c>
      <c r="U319" s="11">
        <v>0</v>
      </c>
      <c r="V319" s="11">
        <v>0</v>
      </c>
      <c r="W319" s="11">
        <v>2401200</v>
      </c>
      <c r="X319" s="11">
        <v>0</v>
      </c>
      <c r="Y319" s="17">
        <v>2401200</v>
      </c>
      <c r="Z319" s="11">
        <v>2467900</v>
      </c>
      <c r="AA319" s="11">
        <v>66700</v>
      </c>
      <c r="AB319" s="11">
        <v>2401200</v>
      </c>
      <c r="AC319" s="11">
        <v>0</v>
      </c>
      <c r="AD319" s="11">
        <v>0</v>
      </c>
      <c r="AE319" s="11">
        <v>0</v>
      </c>
      <c r="AF319" s="11">
        <v>2401200</v>
      </c>
      <c r="AG319" s="11">
        <v>0</v>
      </c>
      <c r="AH319" s="12">
        <v>2401200</v>
      </c>
      <c r="AI319" s="11">
        <v>2401200</v>
      </c>
      <c r="AJ319" s="11">
        <v>0</v>
      </c>
      <c r="AK319" s="11">
        <v>0</v>
      </c>
      <c r="AL319" s="11">
        <v>2401200</v>
      </c>
      <c r="AM319" s="11">
        <v>2401200</v>
      </c>
      <c r="AN319" s="11">
        <v>0</v>
      </c>
      <c r="AO319" s="11">
        <v>2401200</v>
      </c>
      <c r="AP319" s="11">
        <v>0</v>
      </c>
      <c r="AQ319" s="11">
        <v>0</v>
      </c>
      <c r="AR319" t="s">
        <v>716</v>
      </c>
      <c r="AS319" s="4" t="str">
        <f t="shared" si="126"/>
        <v>Fondo Rotatorio De Estupefacientes Resoluciones Manejo De Medicamentos</v>
      </c>
      <c r="AT319" t="str">
        <f t="shared" si="127"/>
        <v>63Fondo Rotatorio De Estupefacientes Resoluciones Manejo De Medicamentos2401200</v>
      </c>
      <c r="AU319" t="str">
        <f>+_xlfn.XLOOKUP(AT319,CRUCE!J:J,CRUCE!M:M)</f>
        <v>READY</v>
      </c>
      <c r="AV319" t="s">
        <v>1907</v>
      </c>
      <c r="AW319" s="23">
        <f>+SUMIFS(CRUCE!D:D,CRUCE!A:A,'2022'!D319,CRUCE!B:B,'2022'!AS319)/COUNTIFS(D:D,D319,AS:AS,AS319)</f>
        <v>2401200</v>
      </c>
      <c r="AX319" s="23">
        <f t="shared" si="128"/>
        <v>2401200</v>
      </c>
      <c r="AY319" s="23">
        <f t="shared" si="129"/>
        <v>0</v>
      </c>
    </row>
    <row r="320" spans="1:51" x14ac:dyDescent="0.3">
      <c r="A320">
        <v>2022</v>
      </c>
      <c r="B320">
        <v>318</v>
      </c>
      <c r="C320">
        <v>11020210103</v>
      </c>
      <c r="D320" s="5">
        <v>63</v>
      </c>
      <c r="E320" s="8" t="s">
        <v>719</v>
      </c>
      <c r="F320">
        <v>11020210103</v>
      </c>
      <c r="G320" s="8" t="s">
        <v>720</v>
      </c>
      <c r="H320" t="s">
        <v>643</v>
      </c>
      <c r="I320" s="11">
        <v>931200000</v>
      </c>
      <c r="J320" s="11">
        <v>931200000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931200000</v>
      </c>
      <c r="Q320" s="11">
        <v>359131785.36000001</v>
      </c>
      <c r="R320" s="11">
        <v>5230870.0999999996</v>
      </c>
      <c r="S320" s="11">
        <v>353900915.25999999</v>
      </c>
      <c r="T320" s="11">
        <v>0</v>
      </c>
      <c r="U320" s="11">
        <v>0</v>
      </c>
      <c r="V320" s="11">
        <v>0</v>
      </c>
      <c r="W320" s="11">
        <v>374649511.36000001</v>
      </c>
      <c r="X320" s="11">
        <v>20748593.699999999</v>
      </c>
      <c r="Y320" s="17">
        <v>353900917.66000003</v>
      </c>
      <c r="Z320" s="11">
        <v>359131785.36000001</v>
      </c>
      <c r="AA320" s="11">
        <v>5230870.0999999996</v>
      </c>
      <c r="AB320" s="11">
        <v>353900915.25999999</v>
      </c>
      <c r="AC320" s="11">
        <v>0</v>
      </c>
      <c r="AD320" s="11">
        <v>0</v>
      </c>
      <c r="AE320" s="11">
        <v>0</v>
      </c>
      <c r="AF320" s="11">
        <v>374649511.36000001</v>
      </c>
      <c r="AG320" s="11">
        <v>20748593.699999999</v>
      </c>
      <c r="AH320" s="12">
        <v>353900917.66000003</v>
      </c>
      <c r="AI320" s="11">
        <v>353900917.66000003</v>
      </c>
      <c r="AJ320" s="11">
        <v>0</v>
      </c>
      <c r="AK320" s="11">
        <v>0</v>
      </c>
      <c r="AL320" s="11">
        <v>353900917.66000003</v>
      </c>
      <c r="AM320" s="11">
        <v>374649511.36000001</v>
      </c>
      <c r="AN320" s="11">
        <v>20748593.699999999</v>
      </c>
      <c r="AO320" s="11">
        <v>374649511.36000001</v>
      </c>
      <c r="AP320" s="11">
        <v>0</v>
      </c>
      <c r="AQ320" s="11">
        <v>20748593.699999999</v>
      </c>
      <c r="AR320" t="s">
        <v>716</v>
      </c>
      <c r="AS320" s="4" t="str">
        <f t="shared" si="126"/>
        <v>Venta de Medicamentos</v>
      </c>
      <c r="AT320" t="str">
        <f t="shared" si="127"/>
        <v>63Venta de Medicamentos353900917,66</v>
      </c>
      <c r="AU320" t="str">
        <f>+_xlfn.XLOOKUP(AT320,CRUCE!J:J,CRUCE!M:M)</f>
        <v>READY</v>
      </c>
      <c r="AV320" t="s">
        <v>1907</v>
      </c>
      <c r="AW320" s="23">
        <f>+SUMIFS(CRUCE!D:D,CRUCE!A:A,'2022'!D320,CRUCE!B:B,'2022'!AS320)/COUNTIFS(D:D,D320,AS:AS,AS320)</f>
        <v>353900917.66000003</v>
      </c>
      <c r="AX320" s="23">
        <f t="shared" si="128"/>
        <v>353900917.66000003</v>
      </c>
      <c r="AY320" s="23">
        <f t="shared" si="129"/>
        <v>0</v>
      </c>
    </row>
    <row r="321" spans="1:51" hidden="1" x14ac:dyDescent="0.3">
      <c r="A321">
        <v>2022</v>
      </c>
      <c r="B321">
        <v>318</v>
      </c>
      <c r="C321">
        <v>110206</v>
      </c>
      <c r="D321" s="5" t="s">
        <v>44</v>
      </c>
      <c r="E321" s="8" t="s">
        <v>721</v>
      </c>
      <c r="F321">
        <v>110206</v>
      </c>
      <c r="G321" s="8" t="s">
        <v>242</v>
      </c>
      <c r="H321" t="s">
        <v>643</v>
      </c>
      <c r="I321" s="11">
        <v>8120930287</v>
      </c>
      <c r="J321" s="11">
        <v>8120930287</v>
      </c>
      <c r="K321" s="11">
        <v>8212430335</v>
      </c>
      <c r="L321" s="11">
        <v>282689985</v>
      </c>
      <c r="M321" s="11">
        <v>7929740350</v>
      </c>
      <c r="N321" s="11">
        <v>8212430335</v>
      </c>
      <c r="O321" s="11">
        <v>282689985</v>
      </c>
      <c r="P321" s="11">
        <v>16050670637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17121168915</v>
      </c>
      <c r="X321" s="11">
        <v>1123187778</v>
      </c>
      <c r="Y321" s="17">
        <v>15997981137</v>
      </c>
      <c r="Z321" s="11">
        <v>0</v>
      </c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11">
        <v>17121168915</v>
      </c>
      <c r="AG321" s="11">
        <v>1123187778</v>
      </c>
      <c r="AH321" s="12">
        <v>15997981137</v>
      </c>
      <c r="AI321" s="11">
        <v>15997981137</v>
      </c>
      <c r="AJ321" s="11">
        <v>332594127</v>
      </c>
      <c r="AK321" s="11">
        <v>332594127</v>
      </c>
      <c r="AL321" s="11">
        <v>15665387010</v>
      </c>
      <c r="AM321" s="11">
        <v>16367834868</v>
      </c>
      <c r="AN321" s="11">
        <v>702447858</v>
      </c>
      <c r="AO321" s="11">
        <v>16367834868</v>
      </c>
      <c r="AP321" s="11">
        <v>0</v>
      </c>
      <c r="AQ321" s="11">
        <v>702447858</v>
      </c>
      <c r="AR321" t="s">
        <v>48</v>
      </c>
      <c r="AS321"/>
      <c r="AW321"/>
      <c r="AX321"/>
      <c r="AY321"/>
    </row>
    <row r="322" spans="1:51" hidden="1" x14ac:dyDescent="0.3">
      <c r="A322">
        <v>2022</v>
      </c>
      <c r="B322">
        <v>318</v>
      </c>
      <c r="C322">
        <v>110206001</v>
      </c>
      <c r="D322" s="5" t="s">
        <v>44</v>
      </c>
      <c r="E322" s="8" t="s">
        <v>722</v>
      </c>
      <c r="F322">
        <v>110206001</v>
      </c>
      <c r="G322" s="8" t="s">
        <v>244</v>
      </c>
      <c r="H322" t="s">
        <v>643</v>
      </c>
      <c r="I322" s="11">
        <v>5999240891</v>
      </c>
      <c r="J322" s="11">
        <v>5999240891</v>
      </c>
      <c r="K322" s="11">
        <v>373648879</v>
      </c>
      <c r="L322" s="11">
        <v>55810500</v>
      </c>
      <c r="M322" s="11">
        <v>317838379</v>
      </c>
      <c r="N322" s="11">
        <v>373648879</v>
      </c>
      <c r="O322" s="11">
        <v>55810500</v>
      </c>
      <c r="P322" s="11">
        <v>6317079270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6765189490</v>
      </c>
      <c r="X322" s="11">
        <v>535703088</v>
      </c>
      <c r="Y322" s="17">
        <v>6229486402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6765189490</v>
      </c>
      <c r="AG322" s="11">
        <v>535703088</v>
      </c>
      <c r="AH322" s="12">
        <v>6229486402</v>
      </c>
      <c r="AI322" s="11">
        <v>6229486402</v>
      </c>
      <c r="AJ322" s="11">
        <v>0</v>
      </c>
      <c r="AK322" s="11">
        <v>0</v>
      </c>
      <c r="AL322" s="11">
        <v>6229486402</v>
      </c>
      <c r="AM322" s="11">
        <v>6765189490</v>
      </c>
      <c r="AN322" s="11">
        <v>535703088</v>
      </c>
      <c r="AO322" s="11">
        <v>6765189490</v>
      </c>
      <c r="AP322" s="11">
        <v>0</v>
      </c>
      <c r="AQ322" s="11">
        <v>535703088</v>
      </c>
      <c r="AR322" t="s">
        <v>48</v>
      </c>
      <c r="AS322"/>
      <c r="AW322"/>
      <c r="AX322"/>
      <c r="AY322"/>
    </row>
    <row r="323" spans="1:51" hidden="1" x14ac:dyDescent="0.3">
      <c r="A323">
        <v>2022</v>
      </c>
      <c r="B323">
        <v>318</v>
      </c>
      <c r="C323">
        <v>11020600102</v>
      </c>
      <c r="D323" s="5" t="s">
        <v>44</v>
      </c>
      <c r="E323" s="8" t="s">
        <v>723</v>
      </c>
      <c r="F323">
        <v>11020600102</v>
      </c>
      <c r="G323" s="8" t="s">
        <v>724</v>
      </c>
      <c r="H323" t="s">
        <v>643</v>
      </c>
      <c r="I323" s="11">
        <v>5999240891</v>
      </c>
      <c r="J323" s="11">
        <v>5999240891</v>
      </c>
      <c r="K323" s="11">
        <v>373648879</v>
      </c>
      <c r="L323" s="11">
        <v>55810500</v>
      </c>
      <c r="M323" s="11">
        <v>317838379</v>
      </c>
      <c r="N323" s="11">
        <v>373648879</v>
      </c>
      <c r="O323" s="11">
        <v>55810500</v>
      </c>
      <c r="P323" s="11">
        <v>6317079270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6765189490</v>
      </c>
      <c r="X323" s="11">
        <v>535703088</v>
      </c>
      <c r="Y323" s="17">
        <v>6229486402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6765189490</v>
      </c>
      <c r="AG323" s="11">
        <v>535703088</v>
      </c>
      <c r="AH323" s="12">
        <v>6229486402</v>
      </c>
      <c r="AI323" s="11">
        <v>6229486402</v>
      </c>
      <c r="AJ323" s="11">
        <v>0</v>
      </c>
      <c r="AK323" s="11">
        <v>0</v>
      </c>
      <c r="AL323" s="11">
        <v>6229486402</v>
      </c>
      <c r="AM323" s="11">
        <v>6765189490</v>
      </c>
      <c r="AN323" s="11">
        <v>535703088</v>
      </c>
      <c r="AO323" s="11">
        <v>6765189490</v>
      </c>
      <c r="AP323" s="11">
        <v>0</v>
      </c>
      <c r="AQ323" s="11">
        <v>535703088</v>
      </c>
      <c r="AR323" t="s">
        <v>48</v>
      </c>
      <c r="AS323"/>
      <c r="AW323"/>
      <c r="AX323"/>
      <c r="AY323"/>
    </row>
    <row r="324" spans="1:51" x14ac:dyDescent="0.3">
      <c r="A324">
        <v>2022</v>
      </c>
      <c r="B324">
        <v>318</v>
      </c>
      <c r="C324">
        <v>1102060010202</v>
      </c>
      <c r="D324" s="5">
        <v>61</v>
      </c>
      <c r="E324" s="8" t="s">
        <v>725</v>
      </c>
      <c r="F324">
        <v>1102060010202</v>
      </c>
      <c r="G324" s="8" t="s">
        <v>726</v>
      </c>
      <c r="H324" t="s">
        <v>643</v>
      </c>
      <c r="I324" s="11">
        <v>4274847597</v>
      </c>
      <c r="J324" s="11">
        <v>4274847597</v>
      </c>
      <c r="K324" s="11">
        <v>341824883</v>
      </c>
      <c r="L324" s="11">
        <v>55810500</v>
      </c>
      <c r="M324" s="11">
        <v>286014383</v>
      </c>
      <c r="N324" s="11">
        <v>341824883</v>
      </c>
      <c r="O324" s="11">
        <v>55810500</v>
      </c>
      <c r="P324" s="11">
        <v>4560861980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5155375568</v>
      </c>
      <c r="X324" s="11">
        <v>535703088</v>
      </c>
      <c r="Y324" s="17">
        <v>4619672480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5155375568</v>
      </c>
      <c r="AG324" s="11">
        <v>535703088</v>
      </c>
      <c r="AH324" s="12">
        <v>4619672480</v>
      </c>
      <c r="AI324" s="11">
        <v>4619672480</v>
      </c>
      <c r="AJ324" s="11">
        <v>0</v>
      </c>
      <c r="AK324" s="11">
        <v>0</v>
      </c>
      <c r="AL324" s="11">
        <v>4619672480</v>
      </c>
      <c r="AM324" s="11">
        <v>5155375568</v>
      </c>
      <c r="AN324" s="11">
        <v>535703088</v>
      </c>
      <c r="AO324" s="11">
        <v>5155375568</v>
      </c>
      <c r="AP324" s="11">
        <v>0</v>
      </c>
      <c r="AQ324" s="11">
        <v>535703088</v>
      </c>
      <c r="AR324" t="s">
        <v>727</v>
      </c>
      <c r="AS324" s="4" t="str">
        <f t="shared" ref="AS324:AS325" si="130">+G324</f>
        <v>Salud pública</v>
      </c>
      <c r="AT324" t="str">
        <f t="shared" ref="AT324:AT325" si="131">+D324&amp;AS324&amp;Y324</f>
        <v>61Salud pública4619672480</v>
      </c>
      <c r="AU324" t="str">
        <f>+_xlfn.XLOOKUP(AT324,CRUCE!J:J,CRUCE!M:M)</f>
        <v>READY</v>
      </c>
      <c r="AV324" t="s">
        <v>1907</v>
      </c>
      <c r="AW324" s="23">
        <f>+SUMIFS(CRUCE!D:D,CRUCE!A:A,'2022'!D324,CRUCE!B:B,'2022'!AS324)/COUNTIFS(D:D,D324,AS:AS,AS324)</f>
        <v>4619672480</v>
      </c>
      <c r="AX324" s="23">
        <f t="shared" ref="AX324:AX325" si="132">+SUMIFS(Y:Y,D:D,D324,AS:AS,AS324)/COUNTIFS(D:D,D324,AS:AS,AS324)</f>
        <v>4619672480</v>
      </c>
      <c r="AY324" s="23">
        <f t="shared" ref="AY324:AY325" si="133">+AW324-AX324</f>
        <v>0</v>
      </c>
    </row>
    <row r="325" spans="1:51" x14ac:dyDescent="0.3">
      <c r="A325">
        <v>2022</v>
      </c>
      <c r="B325">
        <v>318</v>
      </c>
      <c r="C325">
        <v>1102060010204</v>
      </c>
      <c r="D325" s="5">
        <v>171</v>
      </c>
      <c r="E325" s="8" t="s">
        <v>728</v>
      </c>
      <c r="F325">
        <v>1102060010204</v>
      </c>
      <c r="G325" s="8" t="s">
        <v>729</v>
      </c>
      <c r="H325" t="s">
        <v>643</v>
      </c>
      <c r="I325" s="11">
        <v>1724393294</v>
      </c>
      <c r="J325" s="11">
        <v>1724393294</v>
      </c>
      <c r="K325" s="11">
        <v>31823996</v>
      </c>
      <c r="L325" s="11">
        <v>0</v>
      </c>
      <c r="M325" s="11">
        <v>31823996</v>
      </c>
      <c r="N325" s="11">
        <v>31823996</v>
      </c>
      <c r="O325" s="11">
        <v>0</v>
      </c>
      <c r="P325" s="11">
        <v>1756217290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1609813922</v>
      </c>
      <c r="X325" s="11">
        <v>0</v>
      </c>
      <c r="Y325" s="17">
        <v>1609813922</v>
      </c>
      <c r="Z325" s="11">
        <v>0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1609813922</v>
      </c>
      <c r="AG325" s="11">
        <v>0</v>
      </c>
      <c r="AH325" s="12">
        <v>1609813922</v>
      </c>
      <c r="AI325" s="11">
        <v>1609813922</v>
      </c>
      <c r="AJ325" s="11">
        <v>0</v>
      </c>
      <c r="AK325" s="11">
        <v>0</v>
      </c>
      <c r="AL325" s="11">
        <v>1609813922</v>
      </c>
      <c r="AM325" s="11">
        <v>1609813922</v>
      </c>
      <c r="AN325" s="11">
        <v>0</v>
      </c>
      <c r="AO325" s="11">
        <v>1609813922</v>
      </c>
      <c r="AP325" s="11">
        <v>0</v>
      </c>
      <c r="AQ325" s="11">
        <v>0</v>
      </c>
      <c r="AR325" t="s">
        <v>730</v>
      </c>
      <c r="AS325" s="4" t="str">
        <f t="shared" si="130"/>
        <v>Subsidio a la oferta</v>
      </c>
      <c r="AT325" t="str">
        <f t="shared" si="131"/>
        <v>171Subsidio a la oferta1609813922</v>
      </c>
      <c r="AU325" t="str">
        <f>+_xlfn.XLOOKUP(AT325,CRUCE!J:J,CRUCE!M:M)</f>
        <v>READY</v>
      </c>
      <c r="AV325" t="s">
        <v>1907</v>
      </c>
      <c r="AW325" s="23">
        <f>+SUMIFS(CRUCE!D:D,CRUCE!A:A,'2022'!D325,CRUCE!B:B,'2022'!AS325)/COUNTIFS(D:D,D325,AS:AS,AS325)</f>
        <v>1609813922</v>
      </c>
      <c r="AX325" s="23">
        <f t="shared" si="132"/>
        <v>1609813922</v>
      </c>
      <c r="AY325" s="23">
        <f t="shared" si="133"/>
        <v>0</v>
      </c>
    </row>
    <row r="326" spans="1:51" hidden="1" x14ac:dyDescent="0.3">
      <c r="A326">
        <v>2022</v>
      </c>
      <c r="B326">
        <v>318</v>
      </c>
      <c r="C326">
        <v>110206006</v>
      </c>
      <c r="D326" s="5" t="s">
        <v>44</v>
      </c>
      <c r="E326" s="8" t="s">
        <v>731</v>
      </c>
      <c r="F326">
        <v>110206006</v>
      </c>
      <c r="G326" s="8" t="s">
        <v>267</v>
      </c>
      <c r="H326" t="s">
        <v>643</v>
      </c>
      <c r="I326" s="11">
        <v>2121689396</v>
      </c>
      <c r="J326" s="11">
        <v>2121689396</v>
      </c>
      <c r="K326" s="11">
        <v>7838781456</v>
      </c>
      <c r="L326" s="11">
        <v>226879485</v>
      </c>
      <c r="M326" s="11">
        <v>7611901971</v>
      </c>
      <c r="N326" s="11">
        <v>7838781456</v>
      </c>
      <c r="O326" s="11">
        <v>226879485</v>
      </c>
      <c r="P326" s="11">
        <v>9733591367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10355979425</v>
      </c>
      <c r="X326" s="11">
        <v>587484690</v>
      </c>
      <c r="Y326" s="17">
        <v>9768494735</v>
      </c>
      <c r="Z326" s="11">
        <v>0</v>
      </c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11">
        <v>10355979425</v>
      </c>
      <c r="AG326" s="11">
        <v>587484690</v>
      </c>
      <c r="AH326" s="12">
        <v>9768494735</v>
      </c>
      <c r="AI326" s="11">
        <v>9768494735</v>
      </c>
      <c r="AJ326" s="11">
        <v>332594127</v>
      </c>
      <c r="AK326" s="11">
        <v>332594127</v>
      </c>
      <c r="AL326" s="11">
        <v>9435900608</v>
      </c>
      <c r="AM326" s="11">
        <v>9602645378</v>
      </c>
      <c r="AN326" s="11">
        <v>166744770</v>
      </c>
      <c r="AO326" s="11">
        <v>9602645378</v>
      </c>
      <c r="AP326" s="11">
        <v>0</v>
      </c>
      <c r="AQ326" s="11">
        <v>166744770</v>
      </c>
      <c r="AR326" t="s">
        <v>48</v>
      </c>
      <c r="AS326"/>
      <c r="AW326"/>
      <c r="AX326"/>
      <c r="AY326"/>
    </row>
    <row r="327" spans="1:51" hidden="1" x14ac:dyDescent="0.3">
      <c r="A327">
        <v>2022</v>
      </c>
      <c r="B327">
        <v>318</v>
      </c>
      <c r="C327">
        <v>11020600601</v>
      </c>
      <c r="D327" s="5" t="s">
        <v>44</v>
      </c>
      <c r="E327" s="8" t="s">
        <v>732</v>
      </c>
      <c r="F327">
        <v>11020600601</v>
      </c>
      <c r="G327" s="8" t="s">
        <v>614</v>
      </c>
      <c r="H327" t="s">
        <v>643</v>
      </c>
      <c r="I327" s="11">
        <v>2121689396</v>
      </c>
      <c r="J327" s="11">
        <v>2121689396</v>
      </c>
      <c r="K327" s="11">
        <v>7838781456</v>
      </c>
      <c r="L327" s="11">
        <v>226879485</v>
      </c>
      <c r="M327" s="11">
        <v>7611901971</v>
      </c>
      <c r="N327" s="11">
        <v>7838781456</v>
      </c>
      <c r="O327" s="11">
        <v>226879485</v>
      </c>
      <c r="P327" s="11">
        <v>9733591367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10355979425</v>
      </c>
      <c r="X327" s="11">
        <v>587484690</v>
      </c>
      <c r="Y327" s="17">
        <v>9768494735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10355979425</v>
      </c>
      <c r="AG327" s="11">
        <v>587484690</v>
      </c>
      <c r="AH327" s="12">
        <v>9768494735</v>
      </c>
      <c r="AI327" s="11">
        <v>9768494735</v>
      </c>
      <c r="AJ327" s="11">
        <v>332594127</v>
      </c>
      <c r="AK327" s="11">
        <v>332594127</v>
      </c>
      <c r="AL327" s="11">
        <v>9435900608</v>
      </c>
      <c r="AM327" s="11">
        <v>9602645378</v>
      </c>
      <c r="AN327" s="11">
        <v>166744770</v>
      </c>
      <c r="AO327" s="11">
        <v>9602645378</v>
      </c>
      <c r="AP327" s="11">
        <v>0</v>
      </c>
      <c r="AQ327" s="11">
        <v>166744770</v>
      </c>
      <c r="AR327" t="s">
        <v>48</v>
      </c>
      <c r="AS327"/>
      <c r="AW327"/>
      <c r="AX327"/>
      <c r="AY327"/>
    </row>
    <row r="328" spans="1:51" x14ac:dyDescent="0.3">
      <c r="A328">
        <v>2022</v>
      </c>
      <c r="B328">
        <v>318</v>
      </c>
      <c r="C328">
        <v>1102060060101</v>
      </c>
      <c r="D328" s="5">
        <v>110</v>
      </c>
      <c r="E328" s="8" t="s">
        <v>733</v>
      </c>
      <c r="F328">
        <v>1102060060101</v>
      </c>
      <c r="G328" s="8" t="s">
        <v>734</v>
      </c>
      <c r="H328" t="s">
        <v>643</v>
      </c>
      <c r="I328" s="11">
        <v>1485182578</v>
      </c>
      <c r="J328" s="11">
        <v>1485182578</v>
      </c>
      <c r="K328" s="11">
        <v>417055422</v>
      </c>
      <c r="L328" s="11">
        <v>0</v>
      </c>
      <c r="M328" s="11">
        <v>417055422</v>
      </c>
      <c r="N328" s="11">
        <v>417055422</v>
      </c>
      <c r="O328" s="11">
        <v>0</v>
      </c>
      <c r="P328" s="11">
        <v>1902238000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2617784653</v>
      </c>
      <c r="X328" s="11">
        <v>568143285</v>
      </c>
      <c r="Y328" s="17">
        <v>2049641368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2617784653</v>
      </c>
      <c r="AG328" s="11">
        <v>568143285</v>
      </c>
      <c r="AH328" s="12">
        <v>2049641368</v>
      </c>
      <c r="AI328" s="11">
        <v>2049641368</v>
      </c>
      <c r="AJ328" s="11">
        <v>-420739920</v>
      </c>
      <c r="AK328" s="11">
        <v>-420739920</v>
      </c>
      <c r="AL328" s="11">
        <v>2470381288</v>
      </c>
      <c r="AM328" s="11">
        <v>2617784653</v>
      </c>
      <c r="AN328" s="11">
        <v>147403365</v>
      </c>
      <c r="AO328" s="11">
        <v>2617784653</v>
      </c>
      <c r="AP328" s="11">
        <v>0</v>
      </c>
      <c r="AQ328" s="11">
        <v>147403365</v>
      </c>
      <c r="AR328" t="s">
        <v>1241</v>
      </c>
      <c r="AS328" s="4" t="str">
        <f t="shared" ref="AS328:AS335" si="134">+G328</f>
        <v>Ministerio de Salud - Programa Inimputables</v>
      </c>
      <c r="AT328" t="str">
        <f t="shared" ref="AT328:AT335" si="135">+D328&amp;AS328&amp;Y328</f>
        <v>110Ministerio de Salud - Programa Inimputables2049641368</v>
      </c>
      <c r="AU328" t="str">
        <f>+_xlfn.XLOOKUP(AT328,CRUCE!J:J,CRUCE!M:M)</f>
        <v>READY</v>
      </c>
      <c r="AV328" t="s">
        <v>1907</v>
      </c>
      <c r="AW328" s="23">
        <f>+SUMIFS(CRUCE!D:D,CRUCE!A:A,'2022'!D328,CRUCE!B:B,'2022'!AS328)/COUNTIFS(D:D,D328,AS:AS,AS328)</f>
        <v>2049641368</v>
      </c>
      <c r="AX328" s="23">
        <f t="shared" ref="AX328:AX335" si="136">+SUMIFS(Y:Y,D:D,D328,AS:AS,AS328)/COUNTIFS(D:D,D328,AS:AS,AS328)</f>
        <v>2049641368</v>
      </c>
      <c r="AY328" s="23">
        <f t="shared" ref="AY328:AY335" si="137">+AW328-AX328</f>
        <v>0</v>
      </c>
    </row>
    <row r="329" spans="1:51" x14ac:dyDescent="0.3">
      <c r="A329">
        <v>2022</v>
      </c>
      <c r="B329">
        <v>318</v>
      </c>
      <c r="C329">
        <v>1102060060102</v>
      </c>
      <c r="D329" s="5">
        <v>111</v>
      </c>
      <c r="E329" s="8" t="s">
        <v>736</v>
      </c>
      <c r="F329">
        <v>1102060060102</v>
      </c>
      <c r="G329" s="8" t="s">
        <v>737</v>
      </c>
      <c r="H329" t="s">
        <v>643</v>
      </c>
      <c r="I329" s="11">
        <v>318253409</v>
      </c>
      <c r="J329" s="11">
        <v>318253409</v>
      </c>
      <c r="K329" s="11">
        <v>0</v>
      </c>
      <c r="L329" s="11">
        <v>86156549</v>
      </c>
      <c r="M329" s="11">
        <v>-86156549</v>
      </c>
      <c r="N329" s="11">
        <v>0</v>
      </c>
      <c r="O329" s="11">
        <v>86156549</v>
      </c>
      <c r="P329" s="11">
        <v>232096860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251438265</v>
      </c>
      <c r="X329" s="11">
        <v>19341405</v>
      </c>
      <c r="Y329" s="17">
        <v>232096860</v>
      </c>
      <c r="Z329" s="11">
        <v>0</v>
      </c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11">
        <v>251438265</v>
      </c>
      <c r="AG329" s="11">
        <v>19341405</v>
      </c>
      <c r="AH329" s="12">
        <v>232096860</v>
      </c>
      <c r="AI329" s="11">
        <v>232096860</v>
      </c>
      <c r="AJ329" s="11">
        <v>0</v>
      </c>
      <c r="AK329" s="11">
        <v>0</v>
      </c>
      <c r="AL329" s="11">
        <v>232096860</v>
      </c>
      <c r="AM329" s="11">
        <v>251438265</v>
      </c>
      <c r="AN329" s="11">
        <v>19341405</v>
      </c>
      <c r="AO329" s="11">
        <v>251438265</v>
      </c>
      <c r="AP329" s="11">
        <v>0</v>
      </c>
      <c r="AQ329" s="11">
        <v>19341405</v>
      </c>
      <c r="AR329" t="s">
        <v>1242</v>
      </c>
      <c r="AS329" s="4" t="str">
        <f t="shared" si="134"/>
        <v>Min Salud, Program Prevencion y Control de Enfermedades por Vectores</v>
      </c>
      <c r="AT329" t="str">
        <f t="shared" si="135"/>
        <v>111Min Salud, Program Prevencion y Control de Enfermedades por Vectores232096860</v>
      </c>
      <c r="AU329" t="str">
        <f>+_xlfn.XLOOKUP(AT329,CRUCE!J:J,CRUCE!M:M)</f>
        <v>READY</v>
      </c>
      <c r="AV329" t="s">
        <v>1907</v>
      </c>
      <c r="AW329" s="23">
        <f>+SUMIFS(CRUCE!D:D,CRUCE!A:A,'2022'!D329,CRUCE!B:B,'2022'!AS329)/COUNTIFS(D:D,D329,AS:AS,AS329)</f>
        <v>232096860</v>
      </c>
      <c r="AX329" s="23">
        <f t="shared" si="136"/>
        <v>232096860</v>
      </c>
      <c r="AY329" s="23">
        <f t="shared" si="137"/>
        <v>0</v>
      </c>
    </row>
    <row r="330" spans="1:51" x14ac:dyDescent="0.3">
      <c r="A330">
        <v>2022</v>
      </c>
      <c r="B330">
        <v>318</v>
      </c>
      <c r="C330">
        <v>1102060060103</v>
      </c>
      <c r="D330" s="5">
        <v>113</v>
      </c>
      <c r="E330" s="8" t="s">
        <v>739</v>
      </c>
      <c r="F330">
        <v>1102060060103</v>
      </c>
      <c r="G330" s="8" t="s">
        <v>740</v>
      </c>
      <c r="H330" t="s">
        <v>643</v>
      </c>
      <c r="I330" s="11">
        <v>212168939.59999999</v>
      </c>
      <c r="J330" s="11">
        <v>212168939.59999999</v>
      </c>
      <c r="K330" s="11">
        <v>0</v>
      </c>
      <c r="L330" s="11">
        <v>59798499.600000001</v>
      </c>
      <c r="M330" s="11">
        <v>-59798499.600000001</v>
      </c>
      <c r="N330" s="11">
        <v>0</v>
      </c>
      <c r="O330" s="11">
        <v>59798499.600000001</v>
      </c>
      <c r="P330" s="11">
        <v>152370440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152370440</v>
      </c>
      <c r="X330" s="11">
        <v>0</v>
      </c>
      <c r="Y330" s="17">
        <v>152370440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152370440</v>
      </c>
      <c r="AG330" s="11">
        <v>0</v>
      </c>
      <c r="AH330" s="12">
        <v>152370440</v>
      </c>
      <c r="AI330" s="11">
        <v>152370440</v>
      </c>
      <c r="AJ330" s="11">
        <v>0</v>
      </c>
      <c r="AK330" s="11">
        <v>0</v>
      </c>
      <c r="AL330" s="11">
        <v>152370440</v>
      </c>
      <c r="AM330" s="11">
        <v>152370440</v>
      </c>
      <c r="AN330" s="11">
        <v>0</v>
      </c>
      <c r="AO330" s="11">
        <v>152370440</v>
      </c>
      <c r="AP330" s="11">
        <v>0</v>
      </c>
      <c r="AQ330" s="11">
        <v>0</v>
      </c>
      <c r="AR330" t="s">
        <v>1243</v>
      </c>
      <c r="AS330" s="4" t="str">
        <f t="shared" si="134"/>
        <v>Min. Salud - Campaña y Control Antituberculosis Quindio</v>
      </c>
      <c r="AT330" t="str">
        <f t="shared" si="135"/>
        <v>113Min. Salud - Campaña y Control Antituberculosis Quindio152370440</v>
      </c>
      <c r="AU330" t="str">
        <f>+_xlfn.XLOOKUP(AT330,CRUCE!J:J,CRUCE!M:M)</f>
        <v>READY</v>
      </c>
      <c r="AV330" t="s">
        <v>1907</v>
      </c>
      <c r="AW330" s="23">
        <f>+SUMIFS(CRUCE!D:D,CRUCE!A:A,'2022'!D330,CRUCE!B:B,'2022'!AS330)/COUNTIFS(D:D,D330,AS:AS,AS330)</f>
        <v>152370440</v>
      </c>
      <c r="AX330" s="23">
        <f t="shared" si="136"/>
        <v>152370440</v>
      </c>
      <c r="AY330" s="23">
        <f t="shared" si="137"/>
        <v>0</v>
      </c>
    </row>
    <row r="331" spans="1:51" x14ac:dyDescent="0.3">
      <c r="A331">
        <v>2022</v>
      </c>
      <c r="B331">
        <v>318</v>
      </c>
      <c r="C331">
        <v>1102060060104</v>
      </c>
      <c r="D331" s="5">
        <v>114</v>
      </c>
      <c r="E331" s="8" t="s">
        <v>742</v>
      </c>
      <c r="F331">
        <v>1102060060104</v>
      </c>
      <c r="G331" s="8" t="s">
        <v>743</v>
      </c>
      <c r="H331" t="s">
        <v>643</v>
      </c>
      <c r="I331" s="11">
        <v>106084469.40000001</v>
      </c>
      <c r="J331" s="11">
        <v>106084469.40000001</v>
      </c>
      <c r="K331" s="11">
        <v>0</v>
      </c>
      <c r="L331" s="11">
        <v>80924436.400000006</v>
      </c>
      <c r="M331" s="11">
        <v>-80924436.400000006</v>
      </c>
      <c r="N331" s="11">
        <v>0</v>
      </c>
      <c r="O331" s="11">
        <v>80924436.400000006</v>
      </c>
      <c r="P331" s="11">
        <v>25160033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25160033</v>
      </c>
      <c r="X331" s="11">
        <v>0</v>
      </c>
      <c r="Y331" s="17">
        <v>25160033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25160033</v>
      </c>
      <c r="AG331" s="11">
        <v>0</v>
      </c>
      <c r="AH331" s="12">
        <v>25160033</v>
      </c>
      <c r="AI331" s="11">
        <v>25160033</v>
      </c>
      <c r="AJ331" s="11">
        <v>0</v>
      </c>
      <c r="AK331" s="11">
        <v>0</v>
      </c>
      <c r="AL331" s="11">
        <v>25160033</v>
      </c>
      <c r="AM331" s="11">
        <v>25160033</v>
      </c>
      <c r="AN331" s="11">
        <v>0</v>
      </c>
      <c r="AO331" s="11">
        <v>25160033</v>
      </c>
      <c r="AP331" s="11">
        <v>0</v>
      </c>
      <c r="AQ331" s="11">
        <v>0</v>
      </c>
      <c r="AR331" t="s">
        <v>1244</v>
      </c>
      <c r="AS331" s="4" t="str">
        <f t="shared" si="134"/>
        <v>Min. Salud - Campaña Control Lepra Quindio</v>
      </c>
      <c r="AT331" t="str">
        <f t="shared" si="135"/>
        <v>114Min. Salud - Campaña Control Lepra Quindio25160033</v>
      </c>
      <c r="AU331" t="str">
        <f>+_xlfn.XLOOKUP(AT331,CRUCE!J:J,CRUCE!M:M)</f>
        <v>READY</v>
      </c>
      <c r="AV331" t="s">
        <v>1907</v>
      </c>
      <c r="AW331" s="23">
        <f>+SUMIFS(CRUCE!D:D,CRUCE!A:A,'2022'!D331,CRUCE!B:B,'2022'!AS331)/COUNTIFS(D:D,D331,AS:AS,AS331)</f>
        <v>25160033</v>
      </c>
      <c r="AX331" s="23">
        <f t="shared" si="136"/>
        <v>25160033</v>
      </c>
      <c r="AY331" s="23">
        <f t="shared" si="137"/>
        <v>0</v>
      </c>
    </row>
    <row r="332" spans="1:51" x14ac:dyDescent="0.3">
      <c r="A332">
        <v>2022</v>
      </c>
      <c r="B332">
        <v>318</v>
      </c>
      <c r="C332">
        <v>1102060060108</v>
      </c>
      <c r="D332" s="5">
        <v>174</v>
      </c>
      <c r="E332" s="8" t="s">
        <v>754</v>
      </c>
      <c r="F332">
        <v>1102060060108</v>
      </c>
      <c r="G332" s="8" t="s">
        <v>1245</v>
      </c>
      <c r="H332" t="s">
        <v>643</v>
      </c>
      <c r="I332" s="11">
        <v>0</v>
      </c>
      <c r="J332" s="11">
        <v>0</v>
      </c>
      <c r="K332" s="11">
        <v>6443391987</v>
      </c>
      <c r="L332" s="11">
        <v>0</v>
      </c>
      <c r="M332" s="11">
        <v>6443391987</v>
      </c>
      <c r="N332" s="11">
        <v>6443391987</v>
      </c>
      <c r="O332" s="11">
        <v>0</v>
      </c>
      <c r="P332" s="11">
        <v>6443391987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6443391987</v>
      </c>
      <c r="X332" s="11">
        <v>0</v>
      </c>
      <c r="Y332" s="17">
        <v>6443391987</v>
      </c>
      <c r="Z332" s="11">
        <v>0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6443391987</v>
      </c>
      <c r="AG332" s="11">
        <v>0</v>
      </c>
      <c r="AH332" s="12">
        <v>6443391987</v>
      </c>
      <c r="AI332" s="11">
        <v>6443391987</v>
      </c>
      <c r="AJ332" s="11">
        <v>0</v>
      </c>
      <c r="AK332" s="11">
        <v>0</v>
      </c>
      <c r="AL332" s="11">
        <v>6443391987</v>
      </c>
      <c r="AM332" s="11">
        <v>6443391987</v>
      </c>
      <c r="AN332" s="11">
        <v>0</v>
      </c>
      <c r="AO332" s="11">
        <v>6443391987</v>
      </c>
      <c r="AP332" s="11">
        <v>0</v>
      </c>
      <c r="AQ332" s="11">
        <v>0</v>
      </c>
      <c r="AR332" t="s">
        <v>756</v>
      </c>
      <c r="AS332" s="4" t="str">
        <f t="shared" si="134"/>
        <v>Min. Salud - Resolución 1638 del Ministerio de Hacienda</v>
      </c>
      <c r="AT332" t="str">
        <f t="shared" si="135"/>
        <v>174Min. Salud - Resolución 1638 del Ministerio de Hacienda6443391987</v>
      </c>
      <c r="AU332" t="str">
        <f>+_xlfn.XLOOKUP(AT332,CRUCE!J:J,CRUCE!M:M)</f>
        <v>READY</v>
      </c>
      <c r="AV332" t="s">
        <v>1907</v>
      </c>
      <c r="AW332" s="23">
        <f>+SUMIFS(CRUCE!D:D,CRUCE!A:A,'2022'!D332,CRUCE!B:B,'2022'!AS332)/COUNTIFS(D:D,D332,AS:AS,AS332)</f>
        <v>6443391987</v>
      </c>
      <c r="AX332" s="23">
        <f t="shared" si="136"/>
        <v>6443391987</v>
      </c>
      <c r="AY332" s="23">
        <f t="shared" si="137"/>
        <v>0</v>
      </c>
    </row>
    <row r="333" spans="1:51" x14ac:dyDescent="0.3">
      <c r="A333">
        <v>2022</v>
      </c>
      <c r="B333">
        <v>318</v>
      </c>
      <c r="C333">
        <v>1102060060109</v>
      </c>
      <c r="D333" s="5">
        <v>222</v>
      </c>
      <c r="E333" s="8" t="s">
        <v>1246</v>
      </c>
      <c r="F333">
        <v>1102060060109</v>
      </c>
      <c r="G333" s="8" t="s">
        <v>1247</v>
      </c>
      <c r="H333" t="s">
        <v>643</v>
      </c>
      <c r="I333" s="11">
        <v>0</v>
      </c>
      <c r="J333" s="11">
        <v>0</v>
      </c>
      <c r="K333" s="11">
        <v>225000000</v>
      </c>
      <c r="L333" s="11">
        <v>0</v>
      </c>
      <c r="M333" s="11">
        <v>225000000</v>
      </c>
      <c r="N333" s="11">
        <v>225000000</v>
      </c>
      <c r="O333" s="11">
        <v>0</v>
      </c>
      <c r="P333" s="11">
        <v>225000000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112500000</v>
      </c>
      <c r="X333" s="11">
        <v>0</v>
      </c>
      <c r="Y333" s="17">
        <v>112500000</v>
      </c>
      <c r="Z333" s="11">
        <v>0</v>
      </c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11">
        <v>112500000</v>
      </c>
      <c r="AG333" s="11">
        <v>0</v>
      </c>
      <c r="AH333" s="12">
        <v>112500000</v>
      </c>
      <c r="AI333" s="11">
        <v>112500000</v>
      </c>
      <c r="AJ333" s="11">
        <v>0</v>
      </c>
      <c r="AK333" s="11">
        <v>0</v>
      </c>
      <c r="AL333" s="11">
        <v>112500000</v>
      </c>
      <c r="AM333" s="11">
        <v>112500000</v>
      </c>
      <c r="AN333" s="11">
        <v>0</v>
      </c>
      <c r="AO333" s="11">
        <v>112500000</v>
      </c>
      <c r="AP333" s="11">
        <v>0</v>
      </c>
      <c r="AQ333" s="11">
        <v>0</v>
      </c>
      <c r="AR333" t="s">
        <v>1248</v>
      </c>
      <c r="AS333" s="4" t="str">
        <f t="shared" si="134"/>
        <v>Convenio Interadminstrativo Fondo de Estupefacientes</v>
      </c>
      <c r="AT333" t="str">
        <f t="shared" si="135"/>
        <v>222Convenio Interadminstrativo Fondo de Estupefacientes112500000</v>
      </c>
      <c r="AU333" t="str">
        <f>+_xlfn.XLOOKUP(AT333,CRUCE!J:J,CRUCE!M:M)</f>
        <v>READY</v>
      </c>
      <c r="AV333" t="s">
        <v>1907</v>
      </c>
      <c r="AW333" s="23">
        <f>+SUMIFS(CRUCE!D:D,CRUCE!A:A,'2022'!D333,CRUCE!B:B,'2022'!AS333)/COUNTIFS(D:D,D333,AS:AS,AS333)</f>
        <v>112500000</v>
      </c>
      <c r="AX333" s="23">
        <f t="shared" si="136"/>
        <v>112500000</v>
      </c>
      <c r="AY333" s="23">
        <f t="shared" si="137"/>
        <v>0</v>
      </c>
    </row>
    <row r="334" spans="1:51" x14ac:dyDescent="0.3">
      <c r="A334">
        <v>2022</v>
      </c>
      <c r="B334">
        <v>318</v>
      </c>
      <c r="C334">
        <v>1102060060110</v>
      </c>
      <c r="D334" s="5">
        <v>224</v>
      </c>
      <c r="E334" s="8" t="s">
        <v>1249</v>
      </c>
      <c r="F334">
        <v>1102060060110</v>
      </c>
      <c r="G334" s="8" t="s">
        <v>1250</v>
      </c>
      <c r="H334" t="s">
        <v>643</v>
      </c>
      <c r="I334" s="11">
        <v>0</v>
      </c>
      <c r="J334" s="11">
        <v>0</v>
      </c>
      <c r="K334" s="11">
        <v>332594127</v>
      </c>
      <c r="L334" s="11">
        <v>0</v>
      </c>
      <c r="M334" s="11">
        <v>332594127</v>
      </c>
      <c r="N334" s="11">
        <v>332594127</v>
      </c>
      <c r="O334" s="11">
        <v>0</v>
      </c>
      <c r="P334" s="11">
        <v>332594127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332594127</v>
      </c>
      <c r="X334" s="11">
        <v>0</v>
      </c>
      <c r="Y334" s="17">
        <v>332594127</v>
      </c>
      <c r="Z334" s="11">
        <v>0</v>
      </c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11">
        <v>332594127</v>
      </c>
      <c r="AG334" s="11">
        <v>0</v>
      </c>
      <c r="AH334" s="12">
        <v>332594127</v>
      </c>
      <c r="AI334" s="11">
        <v>332594127</v>
      </c>
      <c r="AJ334" s="11">
        <v>332594127</v>
      </c>
      <c r="AK334" s="11">
        <v>332594127</v>
      </c>
      <c r="AL334" s="11">
        <v>0</v>
      </c>
      <c r="AM334" s="11">
        <v>0</v>
      </c>
      <c r="AN334" s="11">
        <v>0</v>
      </c>
      <c r="AO334" s="11">
        <v>0</v>
      </c>
      <c r="AP334" s="11">
        <v>0</v>
      </c>
      <c r="AQ334" s="11">
        <v>0</v>
      </c>
      <c r="AR334" t="s">
        <v>1251</v>
      </c>
      <c r="AS334" s="4" t="str">
        <f t="shared" si="134"/>
        <v>Min. Salud - Resolucion 1199 de 2022 Urgencias Poblacion Migrante</v>
      </c>
      <c r="AT334" t="str">
        <f t="shared" si="135"/>
        <v>224Min. Salud - Resolucion 1199 de 2022 Urgencias Poblacion Migrante332594127</v>
      </c>
      <c r="AU334" t="str">
        <f>+_xlfn.XLOOKUP(AT334,CRUCE!J:J,CRUCE!M:M)</f>
        <v>READY</v>
      </c>
      <c r="AV334" t="s">
        <v>1907</v>
      </c>
      <c r="AW334" s="23">
        <f>+SUMIFS(CRUCE!D:D,CRUCE!A:A,'2022'!D334,CRUCE!B:B,'2022'!AS334)/COUNTIFS(D:D,D334,AS:AS,AS334)</f>
        <v>332594127</v>
      </c>
      <c r="AX334" s="23">
        <f t="shared" si="136"/>
        <v>332594127</v>
      </c>
      <c r="AY334" s="23">
        <f t="shared" si="137"/>
        <v>0</v>
      </c>
    </row>
    <row r="335" spans="1:51" x14ac:dyDescent="0.3">
      <c r="A335">
        <v>2022</v>
      </c>
      <c r="B335">
        <v>318</v>
      </c>
      <c r="C335">
        <v>1102060060111</v>
      </c>
      <c r="D335" s="5">
        <v>180</v>
      </c>
      <c r="E335" s="8" t="s">
        <v>1252</v>
      </c>
      <c r="F335">
        <v>1102060060111</v>
      </c>
      <c r="G335" s="8" t="s">
        <v>1253</v>
      </c>
      <c r="H335" t="s">
        <v>643</v>
      </c>
      <c r="I335" s="11">
        <v>0</v>
      </c>
      <c r="J335" s="11">
        <v>0</v>
      </c>
      <c r="K335" s="11">
        <v>420739920</v>
      </c>
      <c r="L335" s="11">
        <v>0</v>
      </c>
      <c r="M335" s="11">
        <v>420739920</v>
      </c>
      <c r="N335" s="11">
        <v>420739920</v>
      </c>
      <c r="O335" s="11">
        <v>0</v>
      </c>
      <c r="P335" s="11">
        <v>420739920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420739920</v>
      </c>
      <c r="X335" s="11">
        <v>0</v>
      </c>
      <c r="Y335" s="17">
        <v>420739920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420739920</v>
      </c>
      <c r="AG335" s="11">
        <v>0</v>
      </c>
      <c r="AH335" s="12">
        <v>420739920</v>
      </c>
      <c r="AI335" s="11">
        <v>420739920</v>
      </c>
      <c r="AJ335" s="11">
        <v>420739920</v>
      </c>
      <c r="AK335" s="11">
        <v>420739920</v>
      </c>
      <c r="AL335" s="11">
        <v>0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t="s">
        <v>1254</v>
      </c>
      <c r="AS335" s="4" t="str">
        <f t="shared" si="134"/>
        <v>Min. Salud Resolución 1739 de 2022. Apoyo proceso certificacion de Discapacidad Nacional.</v>
      </c>
      <c r="AT335" t="str">
        <f t="shared" si="135"/>
        <v>180Min. Salud Resolución 1739 de 2022. Apoyo proceso certificacion de Discapacidad Nacional.420739920</v>
      </c>
      <c r="AU335" t="str">
        <f>+_xlfn.XLOOKUP(AT335,CRUCE!J:J,CRUCE!M:M)</f>
        <v>READY</v>
      </c>
      <c r="AV335" t="s">
        <v>1907</v>
      </c>
      <c r="AW335" s="23">
        <f>+SUMIFS(CRUCE!D:D,CRUCE!A:A,'2022'!D335,CRUCE!B:B,'2022'!AS335)/COUNTIFS(D:D,D335,AS:AS,AS335)</f>
        <v>420739920</v>
      </c>
      <c r="AX335" s="23">
        <f t="shared" si="136"/>
        <v>420739920</v>
      </c>
      <c r="AY335" s="23">
        <f t="shared" si="137"/>
        <v>0</v>
      </c>
    </row>
    <row r="336" spans="1:51" hidden="1" x14ac:dyDescent="0.3">
      <c r="A336">
        <v>2022</v>
      </c>
      <c r="B336">
        <v>318</v>
      </c>
      <c r="C336">
        <v>110207</v>
      </c>
      <c r="D336" s="5" t="s">
        <v>44</v>
      </c>
      <c r="E336" s="8" t="s">
        <v>757</v>
      </c>
      <c r="F336">
        <v>110207</v>
      </c>
      <c r="G336" s="8" t="s">
        <v>347</v>
      </c>
      <c r="H336" t="s">
        <v>643</v>
      </c>
      <c r="I336" s="11">
        <v>16927633960.209999</v>
      </c>
      <c r="J336" s="11">
        <v>16927633960.209999</v>
      </c>
      <c r="K336" s="11">
        <v>2107408679.03</v>
      </c>
      <c r="L336" s="11">
        <v>0</v>
      </c>
      <c r="M336" s="11">
        <v>2107408679.03</v>
      </c>
      <c r="N336" s="11">
        <v>2107408679.03</v>
      </c>
      <c r="O336" s="11">
        <v>0</v>
      </c>
      <c r="P336" s="11">
        <v>19035042639.240002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23554543989.970001</v>
      </c>
      <c r="X336" s="11">
        <v>556637292.47000003</v>
      </c>
      <c r="Y336" s="17">
        <v>22997906697.5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23554543989.970001</v>
      </c>
      <c r="AG336" s="11">
        <v>556637292.47000003</v>
      </c>
      <c r="AH336" s="12">
        <v>22997906697.5</v>
      </c>
      <c r="AI336" s="11">
        <v>22997906697.5</v>
      </c>
      <c r="AJ336" s="11">
        <v>9630585320.6599998</v>
      </c>
      <c r="AK336" s="11">
        <v>9630585320.6599998</v>
      </c>
      <c r="AL336" s="11">
        <v>13367321376.84</v>
      </c>
      <c r="AM336" s="11">
        <v>13511280990.84</v>
      </c>
      <c r="AN336" s="11">
        <v>143959614</v>
      </c>
      <c r="AO336" s="11">
        <v>13511280990.84</v>
      </c>
      <c r="AP336" s="11">
        <v>0</v>
      </c>
      <c r="AQ336" s="11">
        <v>143959614</v>
      </c>
      <c r="AR336" t="s">
        <v>48</v>
      </c>
      <c r="AS336"/>
      <c r="AW336"/>
      <c r="AX336"/>
      <c r="AY336"/>
    </row>
    <row r="337" spans="1:51" hidden="1" x14ac:dyDescent="0.3">
      <c r="A337">
        <v>2022</v>
      </c>
      <c r="B337">
        <v>318</v>
      </c>
      <c r="C337">
        <v>110207001</v>
      </c>
      <c r="D337" s="5" t="s">
        <v>44</v>
      </c>
      <c r="E337" s="8" t="s">
        <v>758</v>
      </c>
      <c r="F337">
        <v>110207001</v>
      </c>
      <c r="G337" s="8" t="s">
        <v>759</v>
      </c>
      <c r="H337" t="s">
        <v>643</v>
      </c>
      <c r="I337" s="11">
        <v>9069307195.9699993</v>
      </c>
      <c r="J337" s="11">
        <v>9069307195.9699993</v>
      </c>
      <c r="K337" s="11">
        <v>900495691.72000003</v>
      </c>
      <c r="L337" s="11">
        <v>0</v>
      </c>
      <c r="M337" s="11">
        <v>900495691.72000003</v>
      </c>
      <c r="N337" s="11">
        <v>900495691.72000003</v>
      </c>
      <c r="O337" s="11">
        <v>0</v>
      </c>
      <c r="P337" s="11">
        <v>9969802887.6900005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10898088996</v>
      </c>
      <c r="X337" s="11">
        <v>14684534</v>
      </c>
      <c r="Y337" s="17">
        <v>10883404462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10898088996</v>
      </c>
      <c r="AG337" s="11">
        <v>14684534</v>
      </c>
      <c r="AH337" s="12">
        <v>10883404462</v>
      </c>
      <c r="AI337" s="11">
        <v>10883404462</v>
      </c>
      <c r="AJ337" s="11">
        <v>8162553346</v>
      </c>
      <c r="AK337" s="11">
        <v>8162553346</v>
      </c>
      <c r="AL337" s="11">
        <v>2720851116</v>
      </c>
      <c r="AM337" s="11">
        <v>2735535650</v>
      </c>
      <c r="AN337" s="11">
        <v>14684534</v>
      </c>
      <c r="AO337" s="11">
        <v>2735535650</v>
      </c>
      <c r="AP337" s="11">
        <v>0</v>
      </c>
      <c r="AQ337" s="11">
        <v>14684534</v>
      </c>
      <c r="AR337" t="s">
        <v>48</v>
      </c>
      <c r="AS337"/>
      <c r="AW337"/>
      <c r="AX337"/>
      <c r="AY337"/>
    </row>
    <row r="338" spans="1:51" hidden="1" x14ac:dyDescent="0.3">
      <c r="A338">
        <v>2022</v>
      </c>
      <c r="B338">
        <v>318</v>
      </c>
      <c r="C338">
        <v>11020700103</v>
      </c>
      <c r="D338" s="5" t="s">
        <v>44</v>
      </c>
      <c r="E338" s="8" t="s">
        <v>760</v>
      </c>
      <c r="F338">
        <v>11020700103</v>
      </c>
      <c r="G338" s="8" t="s">
        <v>761</v>
      </c>
      <c r="H338" t="s">
        <v>643</v>
      </c>
      <c r="I338" s="11">
        <v>1952280000</v>
      </c>
      <c r="J338" s="11">
        <v>1952280000</v>
      </c>
      <c r="K338" s="11">
        <v>889709002</v>
      </c>
      <c r="L338" s="11">
        <v>0</v>
      </c>
      <c r="M338" s="11">
        <v>889709002</v>
      </c>
      <c r="N338" s="11">
        <v>889709002</v>
      </c>
      <c r="O338" s="11">
        <v>0</v>
      </c>
      <c r="P338" s="11">
        <v>2841989002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2835367174</v>
      </c>
      <c r="X338" s="11">
        <v>14684534</v>
      </c>
      <c r="Y338" s="17">
        <v>2820682640</v>
      </c>
      <c r="Z338" s="11">
        <v>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2835367174</v>
      </c>
      <c r="AG338" s="11">
        <v>14684534</v>
      </c>
      <c r="AH338" s="12">
        <v>2820682640</v>
      </c>
      <c r="AI338" s="11">
        <v>2820682640</v>
      </c>
      <c r="AJ338" s="11">
        <v>2115511980</v>
      </c>
      <c r="AK338" s="11">
        <v>2115511980</v>
      </c>
      <c r="AL338" s="11">
        <v>705170660</v>
      </c>
      <c r="AM338" s="11">
        <v>719855194</v>
      </c>
      <c r="AN338" s="11">
        <v>14684534</v>
      </c>
      <c r="AO338" s="11">
        <v>719855194</v>
      </c>
      <c r="AP338" s="11">
        <v>0</v>
      </c>
      <c r="AQ338" s="11">
        <v>14684534</v>
      </c>
      <c r="AR338" t="s">
        <v>48</v>
      </c>
      <c r="AS338"/>
      <c r="AW338"/>
      <c r="AX338"/>
      <c r="AY338"/>
    </row>
    <row r="339" spans="1:51" x14ac:dyDescent="0.3">
      <c r="A339">
        <v>2022</v>
      </c>
      <c r="B339">
        <v>318</v>
      </c>
      <c r="C339">
        <v>1102070010301</v>
      </c>
      <c r="D339" s="5">
        <v>154</v>
      </c>
      <c r="E339" s="8" t="s">
        <v>762</v>
      </c>
      <c r="F339">
        <v>1102070010301</v>
      </c>
      <c r="G339" s="8" t="s">
        <v>1255</v>
      </c>
      <c r="H339" t="s">
        <v>643</v>
      </c>
      <c r="I339" s="11">
        <v>58568400</v>
      </c>
      <c r="J339" s="11">
        <v>58568400</v>
      </c>
      <c r="K339" s="11">
        <v>669877071</v>
      </c>
      <c r="L339" s="11">
        <v>0</v>
      </c>
      <c r="M339" s="11">
        <v>669877071</v>
      </c>
      <c r="N339" s="11">
        <v>669877071</v>
      </c>
      <c r="O339" s="11">
        <v>0</v>
      </c>
      <c r="P339" s="11">
        <v>728445471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1467366452</v>
      </c>
      <c r="X339" s="11">
        <v>0</v>
      </c>
      <c r="Y339" s="17">
        <v>1467366452</v>
      </c>
      <c r="Z339" s="11">
        <v>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1467366452</v>
      </c>
      <c r="AG339" s="11">
        <v>0</v>
      </c>
      <c r="AH339" s="12">
        <v>1467366452</v>
      </c>
      <c r="AI339" s="11">
        <v>1467366452</v>
      </c>
      <c r="AJ339" s="11">
        <v>1467366452</v>
      </c>
      <c r="AK339" s="11">
        <v>1467366452</v>
      </c>
      <c r="AL339" s="11">
        <v>0</v>
      </c>
      <c r="AM339" s="11">
        <v>0</v>
      </c>
      <c r="AN339" s="11">
        <v>0</v>
      </c>
      <c r="AO339" s="11">
        <v>0</v>
      </c>
      <c r="AP339" s="11">
        <v>0</v>
      </c>
      <c r="AQ339" s="11">
        <v>0</v>
      </c>
      <c r="AR339" t="s">
        <v>651</v>
      </c>
      <c r="AS339" s="4" t="str">
        <f t="shared" ref="AS339:AS344" si="138">+G339</f>
        <v>Explotacion Sorteo Ordinario 68%</v>
      </c>
      <c r="AT339" t="str">
        <f t="shared" ref="AT339:AT344" si="139">+D339&amp;AS339&amp;Y339</f>
        <v>154Explotacion Sorteo Ordinario 68%1467366452</v>
      </c>
      <c r="AU339" t="str">
        <f>+_xlfn.XLOOKUP(AT339,CRUCE!J:J,CRUCE!M:M)</f>
        <v>READY</v>
      </c>
      <c r="AV339" t="s">
        <v>1907</v>
      </c>
      <c r="AW339" s="23">
        <f>+SUMIFS(CRUCE!D:D,CRUCE!A:A,'2022'!D339,CRUCE!B:B,'2022'!AS339)/COUNTIFS(D:D,D339,AS:AS,AS339)</f>
        <v>1467366452</v>
      </c>
      <c r="AX339" s="23">
        <f t="shared" ref="AX339:AX344" si="140">+SUMIFS(Y:Y,D:D,D339,AS:AS,AS339)/COUNTIFS(D:D,D339,AS:AS,AS339)</f>
        <v>1467366452</v>
      </c>
      <c r="AY339" s="23">
        <f t="shared" ref="AY339:AY344" si="141">+AW339-AX339</f>
        <v>0</v>
      </c>
    </row>
    <row r="340" spans="1:51" x14ac:dyDescent="0.3">
      <c r="A340">
        <v>2022</v>
      </c>
      <c r="B340">
        <v>318</v>
      </c>
      <c r="C340">
        <v>1102070010302</v>
      </c>
      <c r="D340" s="5">
        <v>154</v>
      </c>
      <c r="E340" s="8" t="s">
        <v>763</v>
      </c>
      <c r="F340">
        <v>1102070010302</v>
      </c>
      <c r="G340" s="8" t="s">
        <v>764</v>
      </c>
      <c r="H340" t="s">
        <v>643</v>
      </c>
      <c r="I340" s="11">
        <v>1268982000</v>
      </c>
      <c r="J340" s="11">
        <v>1268982000</v>
      </c>
      <c r="K340" s="11">
        <v>2067921</v>
      </c>
      <c r="L340" s="11">
        <v>0</v>
      </c>
      <c r="M340" s="11">
        <v>2067921</v>
      </c>
      <c r="N340" s="11">
        <v>2067921</v>
      </c>
      <c r="O340" s="11">
        <v>0</v>
      </c>
      <c r="P340" s="11">
        <v>1271049921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450697745</v>
      </c>
      <c r="X340" s="11">
        <v>0</v>
      </c>
      <c r="Y340" s="17">
        <v>450697745</v>
      </c>
      <c r="Z340" s="11">
        <v>0</v>
      </c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11">
        <v>450697745</v>
      </c>
      <c r="AG340" s="11">
        <v>0</v>
      </c>
      <c r="AH340" s="12">
        <v>450697745</v>
      </c>
      <c r="AI340" s="11">
        <v>450697745</v>
      </c>
      <c r="AJ340" s="11">
        <v>450697745</v>
      </c>
      <c r="AK340" s="11">
        <v>450697745</v>
      </c>
      <c r="AL340" s="11">
        <v>0</v>
      </c>
      <c r="AM340" s="11">
        <v>0</v>
      </c>
      <c r="AN340" s="11">
        <v>0</v>
      </c>
      <c r="AO340" s="11">
        <v>0</v>
      </c>
      <c r="AP340" s="11">
        <v>0</v>
      </c>
      <c r="AQ340" s="11">
        <v>0</v>
      </c>
      <c r="AR340" t="s">
        <v>651</v>
      </c>
      <c r="AS340" s="4" t="str">
        <f t="shared" si="138"/>
        <v>Explotacion Sorteo Extraordinario 68%</v>
      </c>
      <c r="AT340" t="str">
        <f t="shared" si="139"/>
        <v>154Explotacion Sorteo Extraordinario 68%450697745</v>
      </c>
      <c r="AU340" t="str">
        <f>+_xlfn.XLOOKUP(AT340,CRUCE!J:J,CRUCE!M:M)</f>
        <v>READY</v>
      </c>
      <c r="AV340" t="s">
        <v>1907</v>
      </c>
      <c r="AW340" s="23">
        <f>+SUMIFS(CRUCE!D:D,CRUCE!A:A,'2022'!D340,CRUCE!B:B,'2022'!AS340)/COUNTIFS(D:D,D340,AS:AS,AS340)</f>
        <v>450697745</v>
      </c>
      <c r="AX340" s="23">
        <f t="shared" si="140"/>
        <v>450697745</v>
      </c>
      <c r="AY340" s="23">
        <f t="shared" si="141"/>
        <v>0</v>
      </c>
    </row>
    <row r="341" spans="1:51" x14ac:dyDescent="0.3">
      <c r="A341">
        <v>2022</v>
      </c>
      <c r="B341">
        <v>318</v>
      </c>
      <c r="C341">
        <v>1102070010303</v>
      </c>
      <c r="D341" s="5">
        <v>72</v>
      </c>
      <c r="E341" s="8" t="s">
        <v>765</v>
      </c>
      <c r="F341">
        <v>1102070010303</v>
      </c>
      <c r="G341" s="8" t="s">
        <v>766</v>
      </c>
      <c r="H341" t="s">
        <v>643</v>
      </c>
      <c r="I341" s="11">
        <v>19522800</v>
      </c>
      <c r="J341" s="11">
        <v>19522800</v>
      </c>
      <c r="K341" s="11">
        <v>217764010</v>
      </c>
      <c r="L341" s="11">
        <v>0</v>
      </c>
      <c r="M341" s="11">
        <v>217764010</v>
      </c>
      <c r="N341" s="11">
        <v>217764010</v>
      </c>
      <c r="O341" s="11">
        <v>0</v>
      </c>
      <c r="P341" s="11">
        <v>237286810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165697700</v>
      </c>
      <c r="X341" s="11">
        <v>0</v>
      </c>
      <c r="Y341" s="17">
        <v>165697700</v>
      </c>
      <c r="Z341" s="11">
        <v>0</v>
      </c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11">
        <v>165697700</v>
      </c>
      <c r="AG341" s="11">
        <v>0</v>
      </c>
      <c r="AH341" s="12">
        <v>165697700</v>
      </c>
      <c r="AI341" s="11">
        <v>165697700</v>
      </c>
      <c r="AJ341" s="11">
        <v>0</v>
      </c>
      <c r="AK341" s="11">
        <v>0</v>
      </c>
      <c r="AL341" s="11">
        <v>165697700</v>
      </c>
      <c r="AM341" s="11">
        <v>165697700</v>
      </c>
      <c r="AN341" s="11">
        <v>0</v>
      </c>
      <c r="AO341" s="11">
        <v>165697700</v>
      </c>
      <c r="AP341" s="11">
        <v>0</v>
      </c>
      <c r="AQ341" s="11">
        <v>0</v>
      </c>
      <c r="AR341" t="s">
        <v>656</v>
      </c>
      <c r="AS341" s="4" t="str">
        <f t="shared" si="138"/>
        <v>Explotacion Sorteo Extraordinario 25%</v>
      </c>
      <c r="AT341" t="str">
        <f t="shared" si="139"/>
        <v>72Explotacion Sorteo Extraordinario 25%165697700</v>
      </c>
      <c r="AU341" t="str">
        <f>+_xlfn.XLOOKUP(AT341,CRUCE!J:J,CRUCE!M:M)</f>
        <v>READY</v>
      </c>
      <c r="AV341" t="s">
        <v>1907</v>
      </c>
      <c r="AW341" s="23">
        <f>+SUMIFS(CRUCE!D:D,CRUCE!A:A,'2022'!D341,CRUCE!B:B,'2022'!AS341)/COUNTIFS(D:D,D341,AS:AS,AS341)</f>
        <v>165697700</v>
      </c>
      <c r="AX341" s="23">
        <f t="shared" si="140"/>
        <v>165697700</v>
      </c>
      <c r="AY341" s="23">
        <f t="shared" si="141"/>
        <v>0</v>
      </c>
    </row>
    <row r="342" spans="1:51" x14ac:dyDescent="0.3">
      <c r="A342">
        <v>2022</v>
      </c>
      <c r="B342">
        <v>318</v>
      </c>
      <c r="C342">
        <v>1102070010304</v>
      </c>
      <c r="D342" s="5">
        <v>72</v>
      </c>
      <c r="E342" s="8" t="s">
        <v>769</v>
      </c>
      <c r="F342">
        <v>1102070010304</v>
      </c>
      <c r="G342" s="8" t="s">
        <v>768</v>
      </c>
      <c r="H342" t="s">
        <v>643</v>
      </c>
      <c r="I342" s="11">
        <v>468547200</v>
      </c>
      <c r="J342" s="11">
        <v>468547200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468547200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554157494</v>
      </c>
      <c r="X342" s="11">
        <v>14684534</v>
      </c>
      <c r="Y342" s="17">
        <v>539472960</v>
      </c>
      <c r="Z342" s="11">
        <v>0</v>
      </c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11">
        <v>554157494</v>
      </c>
      <c r="AG342" s="11">
        <v>14684534</v>
      </c>
      <c r="AH342" s="12">
        <v>539472960</v>
      </c>
      <c r="AI342" s="11">
        <v>539472960</v>
      </c>
      <c r="AJ342" s="11">
        <v>0</v>
      </c>
      <c r="AK342" s="11">
        <v>0</v>
      </c>
      <c r="AL342" s="11">
        <v>539472960</v>
      </c>
      <c r="AM342" s="11">
        <v>554157494</v>
      </c>
      <c r="AN342" s="11">
        <v>14684534</v>
      </c>
      <c r="AO342" s="11">
        <v>554157494</v>
      </c>
      <c r="AP342" s="11">
        <v>0</v>
      </c>
      <c r="AQ342" s="11">
        <v>14684534</v>
      </c>
      <c r="AR342" t="s">
        <v>656</v>
      </c>
      <c r="AS342" s="4" t="str">
        <f t="shared" si="138"/>
        <v>Explotacion Sorteo Ordinario Loterias 25%</v>
      </c>
      <c r="AT342" t="str">
        <f t="shared" si="139"/>
        <v>72Explotacion Sorteo Ordinario Loterias 25%539472960</v>
      </c>
      <c r="AU342" t="str">
        <f>+_xlfn.XLOOKUP(AT342,CRUCE!J:J,CRUCE!M:M)</f>
        <v>READY</v>
      </c>
      <c r="AV342" t="s">
        <v>1907</v>
      </c>
      <c r="AW342" s="23">
        <f>+SUMIFS(CRUCE!D:D,CRUCE!A:A,'2022'!D342,CRUCE!B:B,'2022'!AS342)/COUNTIFS(D:D,D342,AS:AS,AS342)</f>
        <v>539472960</v>
      </c>
      <c r="AX342" s="23">
        <f t="shared" si="140"/>
        <v>539472960</v>
      </c>
      <c r="AY342" s="23">
        <f t="shared" si="141"/>
        <v>0</v>
      </c>
    </row>
    <row r="343" spans="1:51" x14ac:dyDescent="0.3">
      <c r="A343">
        <v>2022</v>
      </c>
      <c r="B343">
        <v>318</v>
      </c>
      <c r="C343">
        <v>1102070010305</v>
      </c>
      <c r="D343" s="5">
        <v>181</v>
      </c>
      <c r="E343" s="8" t="s">
        <v>770</v>
      </c>
      <c r="F343">
        <v>1102070010305</v>
      </c>
      <c r="G343" s="8" t="s">
        <v>771</v>
      </c>
      <c r="H343" t="s">
        <v>643</v>
      </c>
      <c r="I343" s="11">
        <v>19522800</v>
      </c>
      <c r="J343" s="11">
        <v>19522800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19522800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46395355</v>
      </c>
      <c r="X343" s="11">
        <v>0</v>
      </c>
      <c r="Y343" s="17">
        <v>46395355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46395355</v>
      </c>
      <c r="AG343" s="11">
        <v>0</v>
      </c>
      <c r="AH343" s="12">
        <v>46395355</v>
      </c>
      <c r="AI343" s="11">
        <v>46395355</v>
      </c>
      <c r="AJ343" s="11">
        <v>46395355</v>
      </c>
      <c r="AK343" s="11">
        <v>46395355</v>
      </c>
      <c r="AL343" s="11">
        <v>0</v>
      </c>
      <c r="AM343" s="11">
        <v>0</v>
      </c>
      <c r="AN343" s="11">
        <v>0</v>
      </c>
      <c r="AO343" s="11">
        <v>0</v>
      </c>
      <c r="AP343" s="11">
        <v>0</v>
      </c>
      <c r="AQ343" s="11">
        <v>0</v>
      </c>
      <c r="AR343" t="s">
        <v>661</v>
      </c>
      <c r="AS343" s="4" t="str">
        <f t="shared" si="138"/>
        <v>Colciencias 7%  Sorteo Extraordinario</v>
      </c>
      <c r="AT343" t="str">
        <f t="shared" si="139"/>
        <v>181Colciencias 7%  Sorteo Extraordinario46395355</v>
      </c>
      <c r="AU343" t="str">
        <f>+_xlfn.XLOOKUP(AT343,CRUCE!J:J,CRUCE!M:M)</f>
        <v>READY</v>
      </c>
      <c r="AV343" t="s">
        <v>1907</v>
      </c>
      <c r="AW343" s="23">
        <f>+SUMIFS(CRUCE!D:D,CRUCE!A:A,'2022'!D343,CRUCE!B:B,'2022'!AS343)/COUNTIFS(D:D,D343,AS:AS,AS343)</f>
        <v>46395355</v>
      </c>
      <c r="AX343" s="23">
        <f t="shared" si="140"/>
        <v>46395355</v>
      </c>
      <c r="AY343" s="23">
        <f t="shared" si="141"/>
        <v>0</v>
      </c>
    </row>
    <row r="344" spans="1:51" x14ac:dyDescent="0.3">
      <c r="A344">
        <v>2022</v>
      </c>
      <c r="B344">
        <v>318</v>
      </c>
      <c r="C344">
        <v>1102070010306</v>
      </c>
      <c r="D344" s="5">
        <v>181</v>
      </c>
      <c r="E344" s="8" t="s">
        <v>772</v>
      </c>
      <c r="F344">
        <v>1102070010306</v>
      </c>
      <c r="G344" s="8" t="s">
        <v>773</v>
      </c>
      <c r="H344" t="s">
        <v>643</v>
      </c>
      <c r="I344" s="11">
        <v>117136800</v>
      </c>
      <c r="J344" s="11">
        <v>117136800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117136800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151052428</v>
      </c>
      <c r="X344" s="11">
        <v>0</v>
      </c>
      <c r="Y344" s="17">
        <v>151052428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151052428</v>
      </c>
      <c r="AG344" s="11">
        <v>0</v>
      </c>
      <c r="AH344" s="12">
        <v>151052428</v>
      </c>
      <c r="AI344" s="11">
        <v>151052428</v>
      </c>
      <c r="AJ344" s="11">
        <v>151052428</v>
      </c>
      <c r="AK344" s="11">
        <v>151052428</v>
      </c>
      <c r="AL344" s="11">
        <v>0</v>
      </c>
      <c r="AM344" s="11">
        <v>0</v>
      </c>
      <c r="AN344" s="11">
        <v>0</v>
      </c>
      <c r="AO344" s="11">
        <v>0</v>
      </c>
      <c r="AP344" s="11">
        <v>0</v>
      </c>
      <c r="AQ344" s="11">
        <v>0</v>
      </c>
      <c r="AR344" t="s">
        <v>661</v>
      </c>
      <c r="AS344" s="4" t="str">
        <f t="shared" si="138"/>
        <v>Colciencias 7% Explotacion Sorteo Ordinario</v>
      </c>
      <c r="AT344" t="str">
        <f t="shared" si="139"/>
        <v>181Colciencias 7% Explotacion Sorteo Ordinario151052428</v>
      </c>
      <c r="AU344" t="str">
        <f>+_xlfn.XLOOKUP(AT344,CRUCE!J:J,CRUCE!M:M)</f>
        <v>READY</v>
      </c>
      <c r="AV344" t="s">
        <v>1907</v>
      </c>
      <c r="AW344" s="23">
        <f>+SUMIFS(CRUCE!D:D,CRUCE!A:A,'2022'!D344,CRUCE!B:B,'2022'!AS344)/COUNTIFS(D:D,D344,AS:AS,AS344)</f>
        <v>151052428</v>
      </c>
      <c r="AX344" s="23">
        <f t="shared" si="140"/>
        <v>151052428</v>
      </c>
      <c r="AY344" s="23">
        <f t="shared" si="141"/>
        <v>0</v>
      </c>
    </row>
    <row r="345" spans="1:51" hidden="1" x14ac:dyDescent="0.3">
      <c r="A345">
        <v>2022</v>
      </c>
      <c r="B345">
        <v>318</v>
      </c>
      <c r="C345">
        <v>11020700104</v>
      </c>
      <c r="D345" s="5" t="s">
        <v>44</v>
      </c>
      <c r="E345" s="8" t="s">
        <v>774</v>
      </c>
      <c r="F345">
        <v>11020700104</v>
      </c>
      <c r="G345" s="8" t="s">
        <v>775</v>
      </c>
      <c r="H345" t="s">
        <v>643</v>
      </c>
      <c r="I345" s="11">
        <v>6177689520</v>
      </c>
      <c r="J345" s="11">
        <v>6177689520</v>
      </c>
      <c r="K345" s="11">
        <v>343541.66</v>
      </c>
      <c r="L345" s="11">
        <v>0</v>
      </c>
      <c r="M345" s="11">
        <v>343541.66</v>
      </c>
      <c r="N345" s="11">
        <v>343541.66</v>
      </c>
      <c r="O345" s="11">
        <v>0</v>
      </c>
      <c r="P345" s="11">
        <v>6178033061.6599998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7254547188</v>
      </c>
      <c r="X345" s="11">
        <v>0</v>
      </c>
      <c r="Y345" s="17">
        <v>7254547188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7254547188</v>
      </c>
      <c r="AG345" s="11">
        <v>0</v>
      </c>
      <c r="AH345" s="12">
        <v>7254547188</v>
      </c>
      <c r="AI345" s="11">
        <v>7254547188</v>
      </c>
      <c r="AJ345" s="11">
        <v>5440910391</v>
      </c>
      <c r="AK345" s="11">
        <v>5440910391</v>
      </c>
      <c r="AL345" s="11">
        <v>1813636797</v>
      </c>
      <c r="AM345" s="11">
        <v>1813636797</v>
      </c>
      <c r="AN345" s="11">
        <v>0</v>
      </c>
      <c r="AO345" s="11">
        <v>1813636797</v>
      </c>
      <c r="AP345" s="11">
        <v>0</v>
      </c>
      <c r="AQ345" s="11">
        <v>0</v>
      </c>
      <c r="AR345" t="s">
        <v>48</v>
      </c>
      <c r="AS345"/>
      <c r="AW345"/>
      <c r="AX345"/>
      <c r="AY345"/>
    </row>
    <row r="346" spans="1:51" x14ac:dyDescent="0.3">
      <c r="A346">
        <v>2022</v>
      </c>
      <c r="B346">
        <v>318</v>
      </c>
      <c r="C346">
        <v>1102070010401</v>
      </c>
      <c r="D346" s="5">
        <v>154</v>
      </c>
      <c r="E346" s="8" t="s">
        <v>776</v>
      </c>
      <c r="F346">
        <v>1102070010401</v>
      </c>
      <c r="G346" s="8" t="s">
        <v>777</v>
      </c>
      <c r="H346" t="s">
        <v>643</v>
      </c>
      <c r="I346" s="11">
        <v>4200828873.5999999</v>
      </c>
      <c r="J346" s="11">
        <v>4200828873.5999999</v>
      </c>
      <c r="K346" s="11">
        <v>343541.66</v>
      </c>
      <c r="L346" s="11">
        <v>0</v>
      </c>
      <c r="M346" s="11">
        <v>343541.66</v>
      </c>
      <c r="N346" s="11">
        <v>343541.66</v>
      </c>
      <c r="O346" s="11">
        <v>0</v>
      </c>
      <c r="P346" s="11">
        <v>4201172415.2600002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4933092087</v>
      </c>
      <c r="X346" s="11">
        <v>0</v>
      </c>
      <c r="Y346" s="17">
        <v>4933092087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4933092087</v>
      </c>
      <c r="AG346" s="11">
        <v>0</v>
      </c>
      <c r="AH346" s="12">
        <v>4933092087</v>
      </c>
      <c r="AI346" s="11">
        <v>4933092087</v>
      </c>
      <c r="AJ346" s="11">
        <v>4933092087</v>
      </c>
      <c r="AK346" s="11">
        <v>4933092087</v>
      </c>
      <c r="AL346" s="11">
        <v>0</v>
      </c>
      <c r="AM346" s="11">
        <v>0</v>
      </c>
      <c r="AN346" s="11">
        <v>0</v>
      </c>
      <c r="AO346" s="11">
        <v>0</v>
      </c>
      <c r="AP346" s="11">
        <v>0</v>
      </c>
      <c r="AQ346" s="11">
        <v>0</v>
      </c>
      <c r="AR346" t="s">
        <v>651</v>
      </c>
      <c r="AS346" s="4" t="str">
        <f t="shared" ref="AS346:AS348" si="142">+G346</f>
        <v>Juegos y  Apuestas Permanentes  Régimen Subsidiado 68%</v>
      </c>
      <c r="AT346" t="str">
        <f t="shared" ref="AT346:AT348" si="143">+D346&amp;AS346&amp;Y346</f>
        <v>154Juegos y  Apuestas Permanentes  Régimen Subsidiado 68%4933092087</v>
      </c>
      <c r="AU346" t="str">
        <f>+_xlfn.XLOOKUP(AT346,CRUCE!J:J,CRUCE!M:M)</f>
        <v>READY</v>
      </c>
      <c r="AV346" t="s">
        <v>1907</v>
      </c>
      <c r="AW346" s="23">
        <f>+SUMIFS(CRUCE!D:D,CRUCE!A:A,'2022'!D346,CRUCE!B:B,'2022'!AS346)/COUNTIFS(D:D,D346,AS:AS,AS346)</f>
        <v>4933092087</v>
      </c>
      <c r="AX346" s="23">
        <f t="shared" ref="AX346:AX348" si="144">+SUMIFS(Y:Y,D:D,D346,AS:AS,AS346)/COUNTIFS(D:D,D346,AS:AS,AS346)</f>
        <v>4933092087</v>
      </c>
      <c r="AY346" s="23">
        <f t="shared" ref="AY346:AY348" si="145">+AW346-AX346</f>
        <v>0</v>
      </c>
    </row>
    <row r="347" spans="1:51" x14ac:dyDescent="0.3">
      <c r="A347">
        <v>2022</v>
      </c>
      <c r="B347">
        <v>318</v>
      </c>
      <c r="C347">
        <v>1102070010402</v>
      </c>
      <c r="D347" s="5">
        <v>72</v>
      </c>
      <c r="E347" s="8" t="s">
        <v>778</v>
      </c>
      <c r="F347">
        <v>1102070010402</v>
      </c>
      <c r="G347" s="8" t="s">
        <v>779</v>
      </c>
      <c r="H347" t="s">
        <v>643</v>
      </c>
      <c r="I347" s="11">
        <v>1544422380</v>
      </c>
      <c r="J347" s="11">
        <v>1544422380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1544422380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1813636797</v>
      </c>
      <c r="X347" s="11">
        <v>0</v>
      </c>
      <c r="Y347" s="17">
        <v>1813636797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1813636797</v>
      </c>
      <c r="AG347" s="11">
        <v>0</v>
      </c>
      <c r="AH347" s="12">
        <v>1813636797</v>
      </c>
      <c r="AI347" s="11">
        <v>1813636797</v>
      </c>
      <c r="AJ347" s="11">
        <v>0</v>
      </c>
      <c r="AK347" s="11">
        <v>0</v>
      </c>
      <c r="AL347" s="11">
        <v>1813636797</v>
      </c>
      <c r="AM347" s="11">
        <v>1813636797</v>
      </c>
      <c r="AN347" s="11">
        <v>0</v>
      </c>
      <c r="AO347" s="11">
        <v>1813636797</v>
      </c>
      <c r="AP347" s="11">
        <v>0</v>
      </c>
      <c r="AQ347" s="11">
        <v>0</v>
      </c>
      <c r="AR347" t="s">
        <v>656</v>
      </c>
      <c r="AS347" s="4" t="str">
        <f t="shared" si="142"/>
        <v>Juegos y Apuestas Permanentes  25%</v>
      </c>
      <c r="AT347" t="str">
        <f t="shared" si="143"/>
        <v>72Juegos y Apuestas Permanentes  25%1813636797</v>
      </c>
      <c r="AU347" t="str">
        <f>+_xlfn.XLOOKUP(AT347,CRUCE!J:J,CRUCE!M:M)</f>
        <v>READY</v>
      </c>
      <c r="AV347" t="s">
        <v>1907</v>
      </c>
      <c r="AW347" s="23">
        <f>+SUMIFS(CRUCE!D:D,CRUCE!A:A,'2022'!D347,CRUCE!B:B,'2022'!AS347)/COUNTIFS(D:D,D347,AS:AS,AS347)</f>
        <v>1813636797</v>
      </c>
      <c r="AX347" s="23">
        <f t="shared" si="144"/>
        <v>1813636797</v>
      </c>
      <c r="AY347" s="23">
        <f t="shared" si="145"/>
        <v>0</v>
      </c>
    </row>
    <row r="348" spans="1:51" x14ac:dyDescent="0.3">
      <c r="A348">
        <v>2022</v>
      </c>
      <c r="B348">
        <v>318</v>
      </c>
      <c r="C348">
        <v>1102070010403</v>
      </c>
      <c r="D348" s="5">
        <v>181</v>
      </c>
      <c r="E348" s="8" t="s">
        <v>780</v>
      </c>
      <c r="F348">
        <v>1102070010403</v>
      </c>
      <c r="G348" s="8" t="s">
        <v>781</v>
      </c>
      <c r="H348" t="s">
        <v>643</v>
      </c>
      <c r="I348" s="11">
        <v>432438266.39999998</v>
      </c>
      <c r="J348" s="11">
        <v>432438266.39999998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432438266.39999998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507818304</v>
      </c>
      <c r="X348" s="11">
        <v>0</v>
      </c>
      <c r="Y348" s="17">
        <v>507818304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507818304</v>
      </c>
      <c r="AG348" s="11">
        <v>0</v>
      </c>
      <c r="AH348" s="12">
        <v>507818304</v>
      </c>
      <c r="AI348" s="11">
        <v>507818304</v>
      </c>
      <c r="AJ348" s="11">
        <v>507818304</v>
      </c>
      <c r="AK348" s="11">
        <v>507818304</v>
      </c>
      <c r="AL348" s="11">
        <v>0</v>
      </c>
      <c r="AM348" s="11">
        <v>0</v>
      </c>
      <c r="AN348" s="11">
        <v>0</v>
      </c>
      <c r="AO348" s="11">
        <v>0</v>
      </c>
      <c r="AP348" s="11">
        <v>0</v>
      </c>
      <c r="AQ348" s="11">
        <v>0</v>
      </c>
      <c r="AR348" t="s">
        <v>661</v>
      </c>
      <c r="AS348" s="4" t="str">
        <f t="shared" si="142"/>
        <v>Colciencias 7% Juegos Y Apuestas Permanentes</v>
      </c>
      <c r="AT348" t="str">
        <f t="shared" si="143"/>
        <v>181Colciencias 7% Juegos Y Apuestas Permanentes507818304</v>
      </c>
      <c r="AU348" t="str">
        <f>+_xlfn.XLOOKUP(AT348,CRUCE!J:J,CRUCE!M:M)</f>
        <v>READY</v>
      </c>
      <c r="AV348" t="s">
        <v>1907</v>
      </c>
      <c r="AW348" s="23">
        <f>+SUMIFS(CRUCE!D:D,CRUCE!A:A,'2022'!D348,CRUCE!B:B,'2022'!AS348)/COUNTIFS(D:D,D348,AS:AS,AS348)</f>
        <v>507818304</v>
      </c>
      <c r="AX348" s="23">
        <f t="shared" si="144"/>
        <v>507818304</v>
      </c>
      <c r="AY348" s="23">
        <f t="shared" si="145"/>
        <v>0</v>
      </c>
    </row>
    <row r="349" spans="1:51" hidden="1" x14ac:dyDescent="0.3">
      <c r="A349">
        <v>2022</v>
      </c>
      <c r="B349">
        <v>318</v>
      </c>
      <c r="C349">
        <v>11020700105</v>
      </c>
      <c r="D349" s="5" t="s">
        <v>44</v>
      </c>
      <c r="E349" s="8" t="s">
        <v>782</v>
      </c>
      <c r="F349">
        <v>11020700105</v>
      </c>
      <c r="G349" s="8" t="s">
        <v>783</v>
      </c>
      <c r="H349" t="s">
        <v>643</v>
      </c>
      <c r="I349" s="11">
        <v>20000000</v>
      </c>
      <c r="J349" s="11">
        <v>20000000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20000000</v>
      </c>
      <c r="Q349" s="11">
        <v>0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27241060</v>
      </c>
      <c r="X349" s="11">
        <v>0</v>
      </c>
      <c r="Y349" s="17">
        <v>27241060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27241060</v>
      </c>
      <c r="AG349" s="11">
        <v>0</v>
      </c>
      <c r="AH349" s="12">
        <v>27241060</v>
      </c>
      <c r="AI349" s="11">
        <v>27241060</v>
      </c>
      <c r="AJ349" s="11">
        <v>20430795</v>
      </c>
      <c r="AK349" s="11">
        <v>20430795</v>
      </c>
      <c r="AL349" s="11">
        <v>6810265</v>
      </c>
      <c r="AM349" s="11">
        <v>6810265</v>
      </c>
      <c r="AN349" s="11">
        <v>0</v>
      </c>
      <c r="AO349" s="11">
        <v>6810265</v>
      </c>
      <c r="AP349" s="11">
        <v>0</v>
      </c>
      <c r="AQ349" s="11">
        <v>0</v>
      </c>
      <c r="AR349" t="s">
        <v>48</v>
      </c>
      <c r="AS349"/>
      <c r="AW349"/>
      <c r="AX349"/>
      <c r="AY349"/>
    </row>
    <row r="350" spans="1:51" x14ac:dyDescent="0.3">
      <c r="A350">
        <v>2022</v>
      </c>
      <c r="B350">
        <v>318</v>
      </c>
      <c r="C350">
        <v>1102070010501</v>
      </c>
      <c r="D350" s="5">
        <v>154</v>
      </c>
      <c r="E350" s="8" t="s">
        <v>784</v>
      </c>
      <c r="F350">
        <v>1102070010501</v>
      </c>
      <c r="G350" s="8" t="s">
        <v>785</v>
      </c>
      <c r="H350" t="s">
        <v>643</v>
      </c>
      <c r="I350" s="11">
        <v>13600000</v>
      </c>
      <c r="J350" s="11">
        <v>13600000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13600000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18523921</v>
      </c>
      <c r="X350" s="11">
        <v>0</v>
      </c>
      <c r="Y350" s="17">
        <v>18523921</v>
      </c>
      <c r="Z350" s="11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18523921</v>
      </c>
      <c r="AG350" s="11">
        <v>0</v>
      </c>
      <c r="AH350" s="12">
        <v>18523921</v>
      </c>
      <c r="AI350" s="11">
        <v>18523921</v>
      </c>
      <c r="AJ350" s="11">
        <v>18523921</v>
      </c>
      <c r="AK350" s="11">
        <v>18523921</v>
      </c>
      <c r="AL350" s="11">
        <v>0</v>
      </c>
      <c r="AM350" s="11">
        <v>0</v>
      </c>
      <c r="AN350" s="11">
        <v>0</v>
      </c>
      <c r="AO350" s="11">
        <v>0</v>
      </c>
      <c r="AP350" s="11">
        <v>0</v>
      </c>
      <c r="AQ350" s="11">
        <v>0</v>
      </c>
      <c r="AR350" t="s">
        <v>651</v>
      </c>
      <c r="AS350" s="4" t="str">
        <f t="shared" ref="AS350:AS352" si="146">+G350</f>
        <v>Rifas Departamentales 68%</v>
      </c>
      <c r="AT350" t="str">
        <f t="shared" ref="AT350:AT352" si="147">+D350&amp;AS350&amp;Y350</f>
        <v>154Rifas Departamentales 68%18523921</v>
      </c>
      <c r="AU350" t="str">
        <f>+_xlfn.XLOOKUP(AT350,CRUCE!J:J,CRUCE!M:M)</f>
        <v>READY</v>
      </c>
      <c r="AV350" t="s">
        <v>1907</v>
      </c>
      <c r="AW350" s="23">
        <f>+SUMIFS(CRUCE!D:D,CRUCE!A:A,'2022'!D350,CRUCE!B:B,'2022'!AS350)/COUNTIFS(D:D,D350,AS:AS,AS350)</f>
        <v>18523921</v>
      </c>
      <c r="AX350" s="23">
        <f t="shared" ref="AX350:AX352" si="148">+SUMIFS(Y:Y,D:D,D350,AS:AS,AS350)/COUNTIFS(D:D,D350,AS:AS,AS350)</f>
        <v>18523921</v>
      </c>
      <c r="AY350" s="23">
        <f t="shared" ref="AY350:AY352" si="149">+AW350-AX350</f>
        <v>0</v>
      </c>
    </row>
    <row r="351" spans="1:51" x14ac:dyDescent="0.3">
      <c r="A351">
        <v>2022</v>
      </c>
      <c r="B351">
        <v>318</v>
      </c>
      <c r="C351">
        <v>1102070010502</v>
      </c>
      <c r="D351" s="5">
        <v>72</v>
      </c>
      <c r="E351" s="8" t="s">
        <v>786</v>
      </c>
      <c r="F351">
        <v>1102070010502</v>
      </c>
      <c r="G351" s="8" t="s">
        <v>787</v>
      </c>
      <c r="H351" t="s">
        <v>643</v>
      </c>
      <c r="I351" s="11">
        <v>5000000</v>
      </c>
      <c r="J351" s="11">
        <v>5000000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5000000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6810265</v>
      </c>
      <c r="X351" s="11">
        <v>0</v>
      </c>
      <c r="Y351" s="17">
        <v>6810265</v>
      </c>
      <c r="Z351" s="11">
        <v>0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6810265</v>
      </c>
      <c r="AG351" s="11">
        <v>0</v>
      </c>
      <c r="AH351" s="12">
        <v>6810265</v>
      </c>
      <c r="AI351" s="11">
        <v>6810265</v>
      </c>
      <c r="AJ351" s="11">
        <v>0</v>
      </c>
      <c r="AK351" s="11">
        <v>0</v>
      </c>
      <c r="AL351" s="11">
        <v>6810265</v>
      </c>
      <c r="AM351" s="11">
        <v>6810265</v>
      </c>
      <c r="AN351" s="11">
        <v>0</v>
      </c>
      <c r="AO351" s="11">
        <v>6810265</v>
      </c>
      <c r="AP351" s="11">
        <v>0</v>
      </c>
      <c r="AQ351" s="11">
        <v>0</v>
      </c>
      <c r="AR351" t="s">
        <v>656</v>
      </c>
      <c r="AS351" s="4" t="str">
        <f t="shared" si="146"/>
        <v>Rifas Departamentales - Otros 25%</v>
      </c>
      <c r="AT351" t="str">
        <f t="shared" si="147"/>
        <v>72Rifas Departamentales - Otros 25%6810265</v>
      </c>
      <c r="AU351" t="str">
        <f>+_xlfn.XLOOKUP(AT351,CRUCE!J:J,CRUCE!M:M)</f>
        <v>READY</v>
      </c>
      <c r="AV351" t="s">
        <v>1907</v>
      </c>
      <c r="AW351" s="23">
        <f>+SUMIFS(CRUCE!D:D,CRUCE!A:A,'2022'!D351,CRUCE!B:B,'2022'!AS351)/COUNTIFS(D:D,D351,AS:AS,AS351)</f>
        <v>6810265</v>
      </c>
      <c r="AX351" s="23">
        <f t="shared" si="148"/>
        <v>6810265</v>
      </c>
      <c r="AY351" s="23">
        <f t="shared" si="149"/>
        <v>0</v>
      </c>
    </row>
    <row r="352" spans="1:51" x14ac:dyDescent="0.3">
      <c r="A352">
        <v>2022</v>
      </c>
      <c r="B352">
        <v>318</v>
      </c>
      <c r="C352">
        <v>1102070010503</v>
      </c>
      <c r="D352" s="5">
        <v>181</v>
      </c>
      <c r="E352" s="8" t="s">
        <v>788</v>
      </c>
      <c r="F352">
        <v>1102070010503</v>
      </c>
      <c r="G352" s="8" t="s">
        <v>789</v>
      </c>
      <c r="H352" t="s">
        <v>643</v>
      </c>
      <c r="I352" s="11">
        <v>1400000</v>
      </c>
      <c r="J352" s="11">
        <v>1400000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1400000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1906874</v>
      </c>
      <c r="X352" s="11">
        <v>0</v>
      </c>
      <c r="Y352" s="17">
        <v>1906874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1906874</v>
      </c>
      <c r="AG352" s="11">
        <v>0</v>
      </c>
      <c r="AH352" s="12">
        <v>1906874</v>
      </c>
      <c r="AI352" s="11">
        <v>1906874</v>
      </c>
      <c r="AJ352" s="11">
        <v>1906874</v>
      </c>
      <c r="AK352" s="11">
        <v>1906874</v>
      </c>
      <c r="AL352" s="11">
        <v>0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t="s">
        <v>661</v>
      </c>
      <c r="AS352" s="4" t="str">
        <f t="shared" si="146"/>
        <v>Colciencias 7% Rifas Departamentales</v>
      </c>
      <c r="AT352" t="str">
        <f t="shared" si="147"/>
        <v>181Colciencias 7% Rifas Departamentales1906874</v>
      </c>
      <c r="AU352" t="str">
        <f>+_xlfn.XLOOKUP(AT352,CRUCE!J:J,CRUCE!M:M)</f>
        <v>READY</v>
      </c>
      <c r="AV352" t="s">
        <v>1907</v>
      </c>
      <c r="AW352" s="23">
        <f>+SUMIFS(CRUCE!D:D,CRUCE!A:A,'2022'!D352,CRUCE!B:B,'2022'!AS352)/COUNTIFS(D:D,D352,AS:AS,AS352)</f>
        <v>1906874</v>
      </c>
      <c r="AX352" s="23">
        <f t="shared" si="148"/>
        <v>1906874</v>
      </c>
      <c r="AY352" s="23">
        <f t="shared" si="149"/>
        <v>0</v>
      </c>
    </row>
    <row r="353" spans="1:51" hidden="1" x14ac:dyDescent="0.3">
      <c r="A353">
        <v>2022</v>
      </c>
      <c r="B353">
        <v>318</v>
      </c>
      <c r="C353">
        <v>11020700109</v>
      </c>
      <c r="D353" s="5" t="s">
        <v>44</v>
      </c>
      <c r="E353" s="8" t="s">
        <v>790</v>
      </c>
      <c r="F353">
        <v>11020700109</v>
      </c>
      <c r="G353" s="8" t="s">
        <v>791</v>
      </c>
      <c r="H353" t="s">
        <v>643</v>
      </c>
      <c r="I353" s="11">
        <v>919337675.97000003</v>
      </c>
      <c r="J353" s="11">
        <v>919337675.97000003</v>
      </c>
      <c r="K353" s="11">
        <v>10443148.060000001</v>
      </c>
      <c r="L353" s="11">
        <v>0</v>
      </c>
      <c r="M353" s="11">
        <v>10443148.060000001</v>
      </c>
      <c r="N353" s="11">
        <v>10443148.060000001</v>
      </c>
      <c r="O353" s="11">
        <v>0</v>
      </c>
      <c r="P353" s="11">
        <v>929780824.02999997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780933574</v>
      </c>
      <c r="X353" s="11">
        <v>0</v>
      </c>
      <c r="Y353" s="17">
        <v>780933574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780933574</v>
      </c>
      <c r="AG353" s="11">
        <v>0</v>
      </c>
      <c r="AH353" s="12">
        <v>780933574</v>
      </c>
      <c r="AI353" s="11">
        <v>780933574</v>
      </c>
      <c r="AJ353" s="11">
        <v>585700180</v>
      </c>
      <c r="AK353" s="11">
        <v>585700180</v>
      </c>
      <c r="AL353" s="11">
        <v>195233394</v>
      </c>
      <c r="AM353" s="11">
        <v>195233394</v>
      </c>
      <c r="AN353" s="11">
        <v>0</v>
      </c>
      <c r="AO353" s="11">
        <v>195233394</v>
      </c>
      <c r="AP353" s="11">
        <v>0</v>
      </c>
      <c r="AQ353" s="11">
        <v>0</v>
      </c>
      <c r="AR353" t="s">
        <v>48</v>
      </c>
      <c r="AS353"/>
      <c r="AW353"/>
      <c r="AX353"/>
      <c r="AY353"/>
    </row>
    <row r="354" spans="1:51" x14ac:dyDescent="0.3">
      <c r="A354">
        <v>2022</v>
      </c>
      <c r="B354">
        <v>318</v>
      </c>
      <c r="C354">
        <v>1102070010901</v>
      </c>
      <c r="D354" s="5">
        <v>154</v>
      </c>
      <c r="E354" s="8" t="s">
        <v>792</v>
      </c>
      <c r="F354">
        <v>1102070010901</v>
      </c>
      <c r="G354" s="8" t="s">
        <v>793</v>
      </c>
      <c r="H354" t="s">
        <v>643</v>
      </c>
      <c r="I354" s="11">
        <v>514829098.56</v>
      </c>
      <c r="J354" s="11">
        <v>514829098.56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514829098.56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227792839</v>
      </c>
      <c r="X354" s="11">
        <v>0</v>
      </c>
      <c r="Y354" s="17">
        <v>227792839</v>
      </c>
      <c r="Z354" s="11">
        <v>0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227792839</v>
      </c>
      <c r="AG354" s="11">
        <v>0</v>
      </c>
      <c r="AH354" s="12">
        <v>227792839</v>
      </c>
      <c r="AI354" s="11">
        <v>227792839</v>
      </c>
      <c r="AJ354" s="11">
        <v>227792839</v>
      </c>
      <c r="AK354" s="11">
        <v>227792839</v>
      </c>
      <c r="AL354" s="11">
        <v>0</v>
      </c>
      <c r="AM354" s="11">
        <v>0</v>
      </c>
      <c r="AN354" s="11">
        <v>0</v>
      </c>
      <c r="AO354" s="11">
        <v>0</v>
      </c>
      <c r="AP354" s="11">
        <v>0</v>
      </c>
      <c r="AQ354" s="11">
        <v>0</v>
      </c>
      <c r="AR354" t="s">
        <v>651</v>
      </c>
      <c r="AS354" s="4" t="str">
        <f t="shared" ref="AS354:AS359" si="150">+G354</f>
        <v>Juegos Novedosos - Super Astro 68%</v>
      </c>
      <c r="AT354" t="str">
        <f t="shared" ref="AT354:AT359" si="151">+D354&amp;AS354&amp;Y354</f>
        <v>154Juegos Novedosos - Super Astro 68%227792839</v>
      </c>
      <c r="AU354" t="str">
        <f>+_xlfn.XLOOKUP(AT354,CRUCE!J:J,CRUCE!M:M)</f>
        <v>READY</v>
      </c>
      <c r="AV354" t="s">
        <v>1907</v>
      </c>
      <c r="AW354" s="23">
        <f>+SUMIFS(CRUCE!D:D,CRUCE!A:A,'2022'!D354,CRUCE!B:B,'2022'!AS354)/COUNTIFS(D:D,D354,AS:AS,AS354)</f>
        <v>227792839</v>
      </c>
      <c r="AX354" s="23">
        <f t="shared" ref="AX354:AX359" si="152">+SUMIFS(Y:Y,D:D,D354,AS:AS,AS354)/COUNTIFS(D:D,D354,AS:AS,AS354)</f>
        <v>227792839</v>
      </c>
      <c r="AY354" s="23">
        <f t="shared" ref="AY354:AY359" si="153">+AW354-AX354</f>
        <v>0</v>
      </c>
    </row>
    <row r="355" spans="1:51" x14ac:dyDescent="0.3">
      <c r="A355">
        <v>2022</v>
      </c>
      <c r="B355">
        <v>318</v>
      </c>
      <c r="C355">
        <v>1102070010902</v>
      </c>
      <c r="D355" s="5">
        <v>154</v>
      </c>
      <c r="E355" s="8" t="s">
        <v>794</v>
      </c>
      <c r="F355">
        <v>1102070010902</v>
      </c>
      <c r="G355" s="8" t="s">
        <v>795</v>
      </c>
      <c r="H355" t="s">
        <v>643</v>
      </c>
      <c r="I355" s="11">
        <v>110320521.12</v>
      </c>
      <c r="J355" s="11">
        <v>110320521.12</v>
      </c>
      <c r="K355" s="11">
        <v>10443148.060000001</v>
      </c>
      <c r="L355" s="11">
        <v>0</v>
      </c>
      <c r="M355" s="11">
        <v>10443148.060000001</v>
      </c>
      <c r="N355" s="11">
        <v>10443148.060000001</v>
      </c>
      <c r="O355" s="11">
        <v>0</v>
      </c>
      <c r="P355" s="11">
        <v>120763669.18000001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332054145</v>
      </c>
      <c r="X355" s="11">
        <v>0</v>
      </c>
      <c r="Y355" s="17">
        <v>332054145</v>
      </c>
      <c r="Z355" s="11">
        <v>0</v>
      </c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11">
        <v>332054145</v>
      </c>
      <c r="AG355" s="11">
        <v>0</v>
      </c>
      <c r="AH355" s="12">
        <v>332054145</v>
      </c>
      <c r="AI355" s="11">
        <v>332054145</v>
      </c>
      <c r="AJ355" s="11">
        <v>332054145</v>
      </c>
      <c r="AK355" s="11">
        <v>332054145</v>
      </c>
      <c r="AL355" s="11">
        <v>0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t="s">
        <v>651</v>
      </c>
      <c r="AS355" s="4" t="str">
        <f t="shared" si="150"/>
        <v>Juegos Novedosos -otros- 68%</v>
      </c>
      <c r="AT355" t="str">
        <f t="shared" si="151"/>
        <v>154Juegos Novedosos -otros- 68%332054145</v>
      </c>
      <c r="AU355" t="str">
        <f>+_xlfn.XLOOKUP(AT355,CRUCE!J:J,CRUCE!M:M)</f>
        <v>READY</v>
      </c>
      <c r="AV355" t="s">
        <v>1907</v>
      </c>
      <c r="AW355" s="23">
        <f>+SUMIFS(CRUCE!D:D,CRUCE!A:A,'2022'!D355,CRUCE!B:B,'2022'!AS355)/COUNTIFS(D:D,D355,AS:AS,AS355)</f>
        <v>332054145</v>
      </c>
      <c r="AX355" s="23">
        <f t="shared" si="152"/>
        <v>332054145</v>
      </c>
      <c r="AY355" s="23">
        <f t="shared" si="153"/>
        <v>0</v>
      </c>
    </row>
    <row r="356" spans="1:51" x14ac:dyDescent="0.3">
      <c r="A356">
        <v>2022</v>
      </c>
      <c r="B356">
        <v>318</v>
      </c>
      <c r="C356">
        <v>1102070010903</v>
      </c>
      <c r="D356" s="5">
        <v>72</v>
      </c>
      <c r="E356" s="8" t="s">
        <v>796</v>
      </c>
      <c r="F356">
        <v>1102070010903</v>
      </c>
      <c r="G356" s="8" t="s">
        <v>797</v>
      </c>
      <c r="H356" t="s">
        <v>643</v>
      </c>
      <c r="I356" s="11">
        <v>193060911.93000001</v>
      </c>
      <c r="J356" s="11">
        <v>193060911.93000001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193060911.93000001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79674715</v>
      </c>
      <c r="X356" s="11">
        <v>0</v>
      </c>
      <c r="Y356" s="17">
        <v>79674715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79674715</v>
      </c>
      <c r="AG356" s="11">
        <v>0</v>
      </c>
      <c r="AH356" s="12">
        <v>79674715</v>
      </c>
      <c r="AI356" s="11">
        <v>79674715</v>
      </c>
      <c r="AJ356" s="11">
        <v>0</v>
      </c>
      <c r="AK356" s="11">
        <v>0</v>
      </c>
      <c r="AL356" s="11">
        <v>79674715</v>
      </c>
      <c r="AM356" s="11">
        <v>79674715</v>
      </c>
      <c r="AN356" s="11">
        <v>0</v>
      </c>
      <c r="AO356" s="11">
        <v>79674715</v>
      </c>
      <c r="AP356" s="11">
        <v>0</v>
      </c>
      <c r="AQ356" s="11">
        <v>0</v>
      </c>
      <c r="AR356" t="s">
        <v>656</v>
      </c>
      <c r="AS356" s="4" t="str">
        <f t="shared" si="150"/>
        <v>Juegos Novedosos - Super Astro 25%</v>
      </c>
      <c r="AT356" t="str">
        <f t="shared" si="151"/>
        <v>72Juegos Novedosos - Super Astro 25%79674715</v>
      </c>
      <c r="AU356" t="str">
        <f>+_xlfn.XLOOKUP(AT356,CRUCE!J:J,CRUCE!M:M)</f>
        <v>READY</v>
      </c>
      <c r="AV356" t="s">
        <v>1907</v>
      </c>
      <c r="AW356" s="23">
        <f>+SUMIFS(CRUCE!D:D,CRUCE!A:A,'2022'!D356,CRUCE!B:B,'2022'!AS356)/COUNTIFS(D:D,D356,AS:AS,AS356)</f>
        <v>79674715</v>
      </c>
      <c r="AX356" s="23">
        <f t="shared" si="152"/>
        <v>79674715</v>
      </c>
      <c r="AY356" s="23">
        <f t="shared" si="153"/>
        <v>0</v>
      </c>
    </row>
    <row r="357" spans="1:51" x14ac:dyDescent="0.3">
      <c r="A357">
        <v>2022</v>
      </c>
      <c r="B357">
        <v>318</v>
      </c>
      <c r="C357">
        <v>1102070010904</v>
      </c>
      <c r="D357" s="5">
        <v>72</v>
      </c>
      <c r="E357" s="8" t="s">
        <v>798</v>
      </c>
      <c r="F357">
        <v>1102070010904</v>
      </c>
      <c r="G357" s="8" t="s">
        <v>799</v>
      </c>
      <c r="H357" t="s">
        <v>643</v>
      </c>
      <c r="I357" s="11">
        <v>36773507.039999999</v>
      </c>
      <c r="J357" s="11">
        <v>36773507.039999999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36773507.039999999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115558679</v>
      </c>
      <c r="X357" s="11">
        <v>0</v>
      </c>
      <c r="Y357" s="17">
        <v>115558679</v>
      </c>
      <c r="Z357" s="11">
        <v>0</v>
      </c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11">
        <v>115558679</v>
      </c>
      <c r="AG357" s="11">
        <v>0</v>
      </c>
      <c r="AH357" s="12">
        <v>115558679</v>
      </c>
      <c r="AI357" s="11">
        <v>115558679</v>
      </c>
      <c r="AJ357" s="11">
        <v>0</v>
      </c>
      <c r="AK357" s="11">
        <v>0</v>
      </c>
      <c r="AL357" s="11">
        <v>115558679</v>
      </c>
      <c r="AM357" s="11">
        <v>115558679</v>
      </c>
      <c r="AN357" s="11">
        <v>0</v>
      </c>
      <c r="AO357" s="11">
        <v>115558679</v>
      </c>
      <c r="AP357" s="11">
        <v>0</v>
      </c>
      <c r="AQ357" s="11">
        <v>0</v>
      </c>
      <c r="AR357" t="s">
        <v>656</v>
      </c>
      <c r="AS357" s="4" t="str">
        <f t="shared" si="150"/>
        <v>Juegos Novedosos 25% -otros-</v>
      </c>
      <c r="AT357" t="str">
        <f t="shared" si="151"/>
        <v>72Juegos Novedosos 25% -otros-115558679</v>
      </c>
      <c r="AU357" t="str">
        <f>+_xlfn.XLOOKUP(AT357,CRUCE!J:J,CRUCE!M:M)</f>
        <v>READY</v>
      </c>
      <c r="AV357" t="s">
        <v>1907</v>
      </c>
      <c r="AW357" s="23">
        <f>+SUMIFS(CRUCE!D:D,CRUCE!A:A,'2022'!D357,CRUCE!B:B,'2022'!AS357)/COUNTIFS(D:D,D357,AS:AS,AS357)</f>
        <v>115558679</v>
      </c>
      <c r="AX357" s="23">
        <f t="shared" si="152"/>
        <v>115558679</v>
      </c>
      <c r="AY357" s="23">
        <f t="shared" si="153"/>
        <v>0</v>
      </c>
    </row>
    <row r="358" spans="1:51" x14ac:dyDescent="0.3">
      <c r="A358">
        <v>2022</v>
      </c>
      <c r="B358">
        <v>318</v>
      </c>
      <c r="C358">
        <v>1102070010905</v>
      </c>
      <c r="D358" s="5">
        <v>181</v>
      </c>
      <c r="E358" s="8" t="s">
        <v>800</v>
      </c>
      <c r="F358">
        <v>1102070010905</v>
      </c>
      <c r="G358" s="8" t="s">
        <v>801</v>
      </c>
      <c r="H358" t="s">
        <v>643</v>
      </c>
      <c r="I358" s="11">
        <v>55160260.560000002</v>
      </c>
      <c r="J358" s="11">
        <v>55160260.560000002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55160260.560000002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11231305</v>
      </c>
      <c r="X358" s="11">
        <v>0</v>
      </c>
      <c r="Y358" s="17">
        <v>11231305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11231305</v>
      </c>
      <c r="AG358" s="11">
        <v>0</v>
      </c>
      <c r="AH358" s="12">
        <v>11231305</v>
      </c>
      <c r="AI358" s="11">
        <v>11231305</v>
      </c>
      <c r="AJ358" s="11">
        <v>11231305</v>
      </c>
      <c r="AK358" s="11">
        <v>11231305</v>
      </c>
      <c r="AL358" s="11">
        <v>0</v>
      </c>
      <c r="AM358" s="11">
        <v>0</v>
      </c>
      <c r="AN358" s="11">
        <v>0</v>
      </c>
      <c r="AO358" s="11">
        <v>0</v>
      </c>
      <c r="AP358" s="11">
        <v>0</v>
      </c>
      <c r="AQ358" s="11">
        <v>0</v>
      </c>
      <c r="AR358" t="s">
        <v>661</v>
      </c>
      <c r="AS358" s="4" t="str">
        <f t="shared" si="150"/>
        <v>Colciencias 7%  Juegos Novedosos Super Astro</v>
      </c>
      <c r="AT358" t="str">
        <f t="shared" si="151"/>
        <v>181Colciencias 7%  Juegos Novedosos Super Astro11231305</v>
      </c>
      <c r="AU358" t="str">
        <f>+_xlfn.XLOOKUP(AT358,CRUCE!J:J,CRUCE!M:M)</f>
        <v>READY</v>
      </c>
      <c r="AV358" t="s">
        <v>1907</v>
      </c>
      <c r="AW358" s="23">
        <f>+SUMIFS(CRUCE!D:D,CRUCE!A:A,'2022'!D358,CRUCE!B:B,'2022'!AS358)/COUNTIFS(D:D,D358,AS:AS,AS358)</f>
        <v>11231305</v>
      </c>
      <c r="AX358" s="23">
        <f t="shared" si="152"/>
        <v>11231305</v>
      </c>
      <c r="AY358" s="23">
        <f t="shared" si="153"/>
        <v>0</v>
      </c>
    </row>
    <row r="359" spans="1:51" x14ac:dyDescent="0.3">
      <c r="A359">
        <v>2022</v>
      </c>
      <c r="B359">
        <v>318</v>
      </c>
      <c r="C359">
        <v>1102070010906</v>
      </c>
      <c r="D359" s="5">
        <v>181</v>
      </c>
      <c r="E359" s="8" t="s">
        <v>802</v>
      </c>
      <c r="F359">
        <v>1102070010906</v>
      </c>
      <c r="G359" s="8" t="s">
        <v>803</v>
      </c>
      <c r="H359" t="s">
        <v>643</v>
      </c>
      <c r="I359" s="11">
        <v>9193376.7599999998</v>
      </c>
      <c r="J359" s="11">
        <v>9193376.7599999998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9193376.7599999998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14621891</v>
      </c>
      <c r="X359" s="11">
        <v>0</v>
      </c>
      <c r="Y359" s="17">
        <v>14621891</v>
      </c>
      <c r="Z359" s="11">
        <v>0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14621891</v>
      </c>
      <c r="AG359" s="11">
        <v>0</v>
      </c>
      <c r="AH359" s="12">
        <v>14621891</v>
      </c>
      <c r="AI359" s="11">
        <v>14621891</v>
      </c>
      <c r="AJ359" s="11">
        <v>14621891</v>
      </c>
      <c r="AK359" s="11">
        <v>14621891</v>
      </c>
      <c r="AL359" s="11">
        <v>0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t="s">
        <v>661</v>
      </c>
      <c r="AS359" s="4" t="str">
        <f t="shared" si="150"/>
        <v>Colciencias 7%  Juegos Novedosos -otros-</v>
      </c>
      <c r="AT359" t="str">
        <f t="shared" si="151"/>
        <v>181Colciencias 7%  Juegos Novedosos -otros-14621891</v>
      </c>
      <c r="AU359" t="str">
        <f>+_xlfn.XLOOKUP(AT359,CRUCE!J:J,CRUCE!M:M)</f>
        <v>READY</v>
      </c>
      <c r="AV359" t="s">
        <v>1907</v>
      </c>
      <c r="AW359" s="23">
        <f>+SUMIFS(CRUCE!D:D,CRUCE!A:A,'2022'!D359,CRUCE!B:B,'2022'!AS359)/COUNTIFS(D:D,D359,AS:AS,AS359)</f>
        <v>14621891</v>
      </c>
      <c r="AX359" s="23">
        <f t="shared" si="152"/>
        <v>14621891</v>
      </c>
      <c r="AY359" s="23">
        <f t="shared" si="153"/>
        <v>0</v>
      </c>
    </row>
    <row r="360" spans="1:51" hidden="1" x14ac:dyDescent="0.3">
      <c r="A360">
        <v>2022</v>
      </c>
      <c r="B360">
        <v>318</v>
      </c>
      <c r="C360">
        <v>110207002</v>
      </c>
      <c r="D360" s="5" t="s">
        <v>44</v>
      </c>
      <c r="E360" s="8" t="s">
        <v>804</v>
      </c>
      <c r="F360">
        <v>110207002</v>
      </c>
      <c r="G360" s="8" t="s">
        <v>349</v>
      </c>
      <c r="H360" t="s">
        <v>643</v>
      </c>
      <c r="I360" s="11">
        <v>7858326764.2399998</v>
      </c>
      <c r="J360" s="11">
        <v>7858326764.2399998</v>
      </c>
      <c r="K360" s="11">
        <v>1206912987.3099999</v>
      </c>
      <c r="L360" s="11">
        <v>0</v>
      </c>
      <c r="M360" s="11">
        <v>1206912987.3099999</v>
      </c>
      <c r="N360" s="11">
        <v>1206912987.3099999</v>
      </c>
      <c r="O360" s="11">
        <v>0</v>
      </c>
      <c r="P360" s="11">
        <v>9065239751.5499992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12656454993.969999</v>
      </c>
      <c r="X360" s="11">
        <v>541952758.47000003</v>
      </c>
      <c r="Y360" s="17">
        <v>12114502235.5</v>
      </c>
      <c r="Z360" s="11">
        <v>0</v>
      </c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v>12656454993.969999</v>
      </c>
      <c r="AG360" s="11">
        <v>541952758.47000003</v>
      </c>
      <c r="AH360" s="12">
        <v>12114502235.5</v>
      </c>
      <c r="AI360" s="11">
        <v>12114502235.5</v>
      </c>
      <c r="AJ360" s="11">
        <v>1468031974.6600001</v>
      </c>
      <c r="AK360" s="11">
        <v>1468031974.6600001</v>
      </c>
      <c r="AL360" s="11">
        <v>10646470260.84</v>
      </c>
      <c r="AM360" s="11">
        <v>10775745340.84</v>
      </c>
      <c r="AN360" s="11">
        <v>129275080</v>
      </c>
      <c r="AO360" s="11">
        <v>10775745340.84</v>
      </c>
      <c r="AP360" s="11">
        <v>0</v>
      </c>
      <c r="AQ360" s="11">
        <v>129275080</v>
      </c>
      <c r="AR360" t="s">
        <v>48</v>
      </c>
      <c r="AS360"/>
      <c r="AW360"/>
      <c r="AX360"/>
      <c r="AY360"/>
    </row>
    <row r="361" spans="1:51" hidden="1" x14ac:dyDescent="0.3">
      <c r="A361">
        <v>2022</v>
      </c>
      <c r="B361">
        <v>318</v>
      </c>
      <c r="C361">
        <v>11020700201</v>
      </c>
      <c r="D361" s="5" t="s">
        <v>44</v>
      </c>
      <c r="E361" s="8" t="s">
        <v>805</v>
      </c>
      <c r="F361">
        <v>11020700201</v>
      </c>
      <c r="G361" s="8" t="s">
        <v>351</v>
      </c>
      <c r="H361" t="s">
        <v>643</v>
      </c>
      <c r="I361" s="11">
        <v>7858326764.2399998</v>
      </c>
      <c r="J361" s="11">
        <v>7858326764.2399998</v>
      </c>
      <c r="K361" s="11">
        <v>1206912987.3099999</v>
      </c>
      <c r="L361" s="11">
        <v>0</v>
      </c>
      <c r="M361" s="11">
        <v>1206912987.3099999</v>
      </c>
      <c r="N361" s="11">
        <v>1206912987.3099999</v>
      </c>
      <c r="O361" s="11">
        <v>0</v>
      </c>
      <c r="P361" s="11">
        <v>9065239751.5499992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12649238143.969999</v>
      </c>
      <c r="X361" s="11">
        <v>541952758.47000003</v>
      </c>
      <c r="Y361" s="17">
        <v>12107285385.5</v>
      </c>
      <c r="Z361" s="11">
        <v>0</v>
      </c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11">
        <v>12649238143.969999</v>
      </c>
      <c r="AG361" s="11">
        <v>541952758.47000003</v>
      </c>
      <c r="AH361" s="12">
        <v>12107285385.5</v>
      </c>
      <c r="AI361" s="11">
        <v>12107285385.5</v>
      </c>
      <c r="AJ361" s="11">
        <v>1468031974.6600001</v>
      </c>
      <c r="AK361" s="11">
        <v>1468031974.6600001</v>
      </c>
      <c r="AL361" s="11">
        <v>10639253410.84</v>
      </c>
      <c r="AM361" s="11">
        <v>10768528490.84</v>
      </c>
      <c r="AN361" s="11">
        <v>129275080</v>
      </c>
      <c r="AO361" s="11">
        <v>10768528490.84</v>
      </c>
      <c r="AP361" s="11">
        <v>0</v>
      </c>
      <c r="AQ361" s="11">
        <v>129275080</v>
      </c>
      <c r="AR361" t="s">
        <v>48</v>
      </c>
      <c r="AS361"/>
      <c r="AW361"/>
      <c r="AX361"/>
      <c r="AY361"/>
    </row>
    <row r="362" spans="1:51" hidden="1" x14ac:dyDescent="0.3">
      <c r="A362">
        <v>2022</v>
      </c>
      <c r="B362">
        <v>318</v>
      </c>
      <c r="C362">
        <v>1102070020102</v>
      </c>
      <c r="D362" s="5" t="s">
        <v>44</v>
      </c>
      <c r="E362" s="8" t="s">
        <v>806</v>
      </c>
      <c r="F362">
        <v>1102070020102</v>
      </c>
      <c r="G362" s="8" t="s">
        <v>353</v>
      </c>
      <c r="H362" t="s">
        <v>643</v>
      </c>
      <c r="I362" s="11">
        <v>314175904.06999999</v>
      </c>
      <c r="J362" s="11">
        <v>314175904.06999999</v>
      </c>
      <c r="K362" s="11">
        <v>10598024.220000001</v>
      </c>
      <c r="L362" s="11">
        <v>0</v>
      </c>
      <c r="M362" s="11">
        <v>10598024.220000001</v>
      </c>
      <c r="N362" s="11">
        <v>10598024.220000001</v>
      </c>
      <c r="O362" s="11">
        <v>0</v>
      </c>
      <c r="P362" s="11">
        <v>324773928.29000002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792775628</v>
      </c>
      <c r="X362" s="11">
        <v>337133983.87</v>
      </c>
      <c r="Y362" s="17">
        <v>455641644.13</v>
      </c>
      <c r="Z362" s="11">
        <v>0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792775628</v>
      </c>
      <c r="AG362" s="11">
        <v>337133983.87</v>
      </c>
      <c r="AH362" s="12">
        <v>455641644.13</v>
      </c>
      <c r="AI362" s="11">
        <v>455641644.13</v>
      </c>
      <c r="AJ362" s="11">
        <v>-8020508.8700000001</v>
      </c>
      <c r="AK362" s="11">
        <v>-8020508.8700000001</v>
      </c>
      <c r="AL362" s="11">
        <v>463662153</v>
      </c>
      <c r="AM362" s="11">
        <v>463664743</v>
      </c>
      <c r="AN362" s="11">
        <v>2590</v>
      </c>
      <c r="AO362" s="11">
        <v>463664743</v>
      </c>
      <c r="AP362" s="11">
        <v>0</v>
      </c>
      <c r="AQ362" s="11">
        <v>2590</v>
      </c>
      <c r="AR362" t="s">
        <v>48</v>
      </c>
      <c r="AS362"/>
      <c r="AW362"/>
      <c r="AX362"/>
      <c r="AY362"/>
    </row>
    <row r="363" spans="1:51" hidden="1" x14ac:dyDescent="0.3">
      <c r="A363">
        <v>2022</v>
      </c>
      <c r="B363">
        <v>318</v>
      </c>
      <c r="C363">
        <v>110207002010201</v>
      </c>
      <c r="D363" s="5" t="s">
        <v>44</v>
      </c>
      <c r="E363" s="8" t="s">
        <v>807</v>
      </c>
      <c r="F363">
        <v>110207002010201</v>
      </c>
      <c r="G363" s="8" t="s">
        <v>355</v>
      </c>
      <c r="H363" t="s">
        <v>643</v>
      </c>
      <c r="I363" s="11">
        <v>232490168.97999999</v>
      </c>
      <c r="J363" s="11">
        <v>232490168.97999999</v>
      </c>
      <c r="K363" s="11">
        <v>10598024.220000001</v>
      </c>
      <c r="L363" s="11">
        <v>0</v>
      </c>
      <c r="M363" s="11">
        <v>10598024.220000001</v>
      </c>
      <c r="N363" s="11">
        <v>10598024.220000001</v>
      </c>
      <c r="O363" s="11">
        <v>0</v>
      </c>
      <c r="P363" s="11">
        <v>243088193.19999999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405094390.5</v>
      </c>
      <c r="X363" s="11">
        <v>7707635.6600000001</v>
      </c>
      <c r="Y363" s="17">
        <v>397386754.83999997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405094390.5</v>
      </c>
      <c r="AG363" s="11">
        <v>7707635.6600000001</v>
      </c>
      <c r="AH363" s="12">
        <v>397386754.83999997</v>
      </c>
      <c r="AI363" s="11">
        <v>397386754.83999997</v>
      </c>
      <c r="AJ363" s="11">
        <v>-7705693.1600000001</v>
      </c>
      <c r="AK363" s="11">
        <v>-7705693.1600000001</v>
      </c>
      <c r="AL363" s="11">
        <v>405092448</v>
      </c>
      <c r="AM363" s="11">
        <v>405094390.5</v>
      </c>
      <c r="AN363" s="11">
        <v>1942.5</v>
      </c>
      <c r="AO363" s="11">
        <v>405094390.5</v>
      </c>
      <c r="AP363" s="11">
        <v>0</v>
      </c>
      <c r="AQ363" s="11">
        <v>1942.5</v>
      </c>
      <c r="AR363" t="s">
        <v>48</v>
      </c>
      <c r="AS363"/>
      <c r="AW363"/>
      <c r="AX363"/>
      <c r="AY363"/>
    </row>
    <row r="364" spans="1:51" x14ac:dyDescent="0.3">
      <c r="A364">
        <v>2022</v>
      </c>
      <c r="B364">
        <v>318</v>
      </c>
      <c r="C364">
        <v>1.1020700201020099E+17</v>
      </c>
      <c r="D364" s="5">
        <v>154</v>
      </c>
      <c r="E364" s="8" t="s">
        <v>1256</v>
      </c>
      <c r="F364">
        <v>1.1020700201020099E+17</v>
      </c>
      <c r="G364" s="8" t="s">
        <v>1091</v>
      </c>
      <c r="H364" t="s">
        <v>643</v>
      </c>
      <c r="I364" s="11">
        <v>75402216.939999998</v>
      </c>
      <c r="J364" s="11">
        <v>75402216.939999998</v>
      </c>
      <c r="K364" s="11">
        <v>10598024.220000001</v>
      </c>
      <c r="L364" s="11">
        <v>0</v>
      </c>
      <c r="M364" s="11">
        <v>10598024.220000001</v>
      </c>
      <c r="N364" s="11">
        <v>10598024.220000001</v>
      </c>
      <c r="O364" s="11">
        <v>0</v>
      </c>
      <c r="P364" s="11">
        <v>86000241.159999996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173261371.5</v>
      </c>
      <c r="X364" s="11">
        <v>3695438.72</v>
      </c>
      <c r="Y364" s="17">
        <v>169565932.78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173261371.5</v>
      </c>
      <c r="AG364" s="11">
        <v>3695438.72</v>
      </c>
      <c r="AH364" s="12">
        <v>169565932.78</v>
      </c>
      <c r="AI364" s="11">
        <v>169565932.78</v>
      </c>
      <c r="AJ364" s="11">
        <v>-3695438.72</v>
      </c>
      <c r="AK364" s="11">
        <v>-3695438.72</v>
      </c>
      <c r="AL364" s="11">
        <v>173261371.5</v>
      </c>
      <c r="AM364" s="11">
        <v>173261371.5</v>
      </c>
      <c r="AN364" s="11">
        <v>0</v>
      </c>
      <c r="AO364" s="11">
        <v>173261371.5</v>
      </c>
      <c r="AP364" s="11">
        <v>0</v>
      </c>
      <c r="AQ364" s="11">
        <v>0</v>
      </c>
      <c r="AR364" t="s">
        <v>651</v>
      </c>
      <c r="AS364" s="4" t="str">
        <f t="shared" ref="AS364:AS369" si="154">+G364</f>
        <v>Derechos de monopolio por la introducción de licores destilados de producción nacional (Monopolio pa</v>
      </c>
      <c r="AT364" t="str">
        <f t="shared" ref="AT364:AT369" si="155">+D364&amp;AS364&amp;Y364</f>
        <v>154Derechos de monopolio por la introducción de licores destilados de producción nacional (Monopolio pa169565932,78</v>
      </c>
      <c r="AU364" t="str">
        <f>+_xlfn.XLOOKUP(AT364,CRUCE!J:J,CRUCE!M:M)</f>
        <v>READY</v>
      </c>
      <c r="AV364" t="s">
        <v>1907</v>
      </c>
      <c r="AW364" s="23">
        <f>+SUMIFS(CRUCE!D:D,CRUCE!A:A,'2022'!D364,CRUCE!B:B,'2022'!AS364)/COUNTIFS(D:D,D364,AS:AS,AS364)</f>
        <v>169565932.78</v>
      </c>
      <c r="AX364" s="23">
        <f t="shared" ref="AX364:AX369" si="156">+SUMIFS(Y:Y,D:D,D364,AS:AS,AS364)/COUNTIFS(D:D,D364,AS:AS,AS364)</f>
        <v>169565932.78</v>
      </c>
      <c r="AY364" s="23">
        <f t="shared" ref="AY364:AY369" si="157">+AW364-AX364</f>
        <v>0</v>
      </c>
    </row>
    <row r="365" spans="1:51" x14ac:dyDescent="0.3">
      <c r="A365">
        <v>2022</v>
      </c>
      <c r="B365">
        <v>318</v>
      </c>
      <c r="C365">
        <v>1.1020700201020099E+17</v>
      </c>
      <c r="D365" s="5">
        <v>58</v>
      </c>
      <c r="E365" s="8" t="s">
        <v>1257</v>
      </c>
      <c r="F365">
        <v>1.1020700201020099E+17</v>
      </c>
      <c r="G365" s="8" t="s">
        <v>1091</v>
      </c>
      <c r="H365" t="s">
        <v>643</v>
      </c>
      <c r="I365" s="11">
        <v>37701108.469999999</v>
      </c>
      <c r="J365" s="11">
        <v>37701108.469999999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37701108.469999999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86630685.75</v>
      </c>
      <c r="X365" s="11">
        <v>1847719.36</v>
      </c>
      <c r="Y365" s="17">
        <v>84782966.390000001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86630685.75</v>
      </c>
      <c r="AG365" s="11">
        <v>1847719.36</v>
      </c>
      <c r="AH365" s="12">
        <v>84782966.390000001</v>
      </c>
      <c r="AI365" s="11">
        <v>84782966.390000001</v>
      </c>
      <c r="AJ365" s="11">
        <v>-1847719.36</v>
      </c>
      <c r="AK365" s="11">
        <v>-1847719.36</v>
      </c>
      <c r="AL365" s="11">
        <v>86630685.75</v>
      </c>
      <c r="AM365" s="11">
        <v>86630685.75</v>
      </c>
      <c r="AN365" s="11">
        <v>0</v>
      </c>
      <c r="AO365" s="11">
        <v>86630685.75</v>
      </c>
      <c r="AP365" s="11">
        <v>0</v>
      </c>
      <c r="AQ365" s="11">
        <v>0</v>
      </c>
      <c r="AR365" t="s">
        <v>684</v>
      </c>
      <c r="AS365" s="4" t="str">
        <f t="shared" si="154"/>
        <v>Derechos de monopolio por la introducción de licores destilados de producción nacional (Monopolio pa</v>
      </c>
      <c r="AT365" t="str">
        <f t="shared" si="155"/>
        <v>58Derechos de monopolio por la introducción de licores destilados de producción nacional (Monopolio pa84782966,39</v>
      </c>
      <c r="AU365" t="str">
        <f>+_xlfn.XLOOKUP(AT365,CRUCE!J:J,CRUCE!M:M)</f>
        <v>READY</v>
      </c>
      <c r="AV365" t="s">
        <v>1907</v>
      </c>
      <c r="AW365" s="23">
        <f>+SUMIFS(CRUCE!D:D,CRUCE!A:A,'2022'!D365,CRUCE!B:B,'2022'!AS365)/COUNTIFS(D:D,D365,AS:AS,AS365)</f>
        <v>84782966.390000001</v>
      </c>
      <c r="AX365" s="23">
        <f t="shared" si="156"/>
        <v>84782966.390000001</v>
      </c>
      <c r="AY365" s="23">
        <f t="shared" si="157"/>
        <v>0</v>
      </c>
    </row>
    <row r="366" spans="1:51" x14ac:dyDescent="0.3">
      <c r="A366">
        <v>2022</v>
      </c>
      <c r="B366">
        <v>318</v>
      </c>
      <c r="C366">
        <v>1.1020700201020099E+17</v>
      </c>
      <c r="D366" s="5">
        <v>72</v>
      </c>
      <c r="E366" s="8" t="s">
        <v>1258</v>
      </c>
      <c r="F366">
        <v>1.1020700201020099E+17</v>
      </c>
      <c r="G366" s="8" t="s">
        <v>1091</v>
      </c>
      <c r="H366" t="s">
        <v>643</v>
      </c>
      <c r="I366" s="11">
        <v>37701108.469999999</v>
      </c>
      <c r="J366" s="11">
        <v>37701108.469999999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37701108.469999999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86630685.75</v>
      </c>
      <c r="X366" s="11">
        <v>1847719.36</v>
      </c>
      <c r="Y366" s="17">
        <v>84782966.390000001</v>
      </c>
      <c r="Z366" s="11">
        <v>0</v>
      </c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11">
        <v>86630685.75</v>
      </c>
      <c r="AG366" s="11">
        <v>1847719.36</v>
      </c>
      <c r="AH366" s="12">
        <v>84782966.390000001</v>
      </c>
      <c r="AI366" s="11">
        <v>84782966.390000001</v>
      </c>
      <c r="AJ366" s="11">
        <v>-1847719.36</v>
      </c>
      <c r="AK366" s="11">
        <v>-1847719.36</v>
      </c>
      <c r="AL366" s="11">
        <v>86630685.75</v>
      </c>
      <c r="AM366" s="11">
        <v>86630685.75</v>
      </c>
      <c r="AN366" s="11">
        <v>0</v>
      </c>
      <c r="AO366" s="11">
        <v>86630685.75</v>
      </c>
      <c r="AP366" s="11">
        <v>0</v>
      </c>
      <c r="AQ366" s="11">
        <v>0</v>
      </c>
      <c r="AR366" t="s">
        <v>656</v>
      </c>
      <c r="AS366" s="4" t="str">
        <f t="shared" si="154"/>
        <v>Derechos de monopolio por la introducción de licores destilados de producción nacional (Monopolio pa</v>
      </c>
      <c r="AT366" t="str">
        <f t="shared" si="155"/>
        <v>72Derechos de monopolio por la introducción de licores destilados de producción nacional (Monopolio pa84782966,39</v>
      </c>
      <c r="AU366" t="str">
        <f>+_xlfn.XLOOKUP(AT366,CRUCE!J:J,CRUCE!M:M)</f>
        <v>READY</v>
      </c>
      <c r="AV366" t="s">
        <v>1907</v>
      </c>
      <c r="AW366" s="23">
        <f>+SUMIFS(CRUCE!D:D,CRUCE!A:A,'2022'!D366,CRUCE!B:B,'2022'!AS366)/COUNTIFS(D:D,D366,AS:AS,AS366)</f>
        <v>84782966.390000001</v>
      </c>
      <c r="AX366" s="23">
        <f t="shared" si="156"/>
        <v>84782966.390000001</v>
      </c>
      <c r="AY366" s="23">
        <f t="shared" si="157"/>
        <v>0</v>
      </c>
    </row>
    <row r="367" spans="1:51" x14ac:dyDescent="0.3">
      <c r="A367">
        <v>2022</v>
      </c>
      <c r="B367">
        <v>318</v>
      </c>
      <c r="C367">
        <v>1.1020700201020099E+17</v>
      </c>
      <c r="D367" s="5">
        <v>154</v>
      </c>
      <c r="E367" s="8" t="s">
        <v>1259</v>
      </c>
      <c r="F367">
        <v>1.1020700201020099E+17</v>
      </c>
      <c r="G367" s="8" t="s">
        <v>1093</v>
      </c>
      <c r="H367" t="s">
        <v>643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7">
        <v>0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2">
        <v>0</v>
      </c>
      <c r="AI367" s="11">
        <v>0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0</v>
      </c>
      <c r="AR367" t="s">
        <v>651</v>
      </c>
      <c r="AS367" s="4" t="str">
        <f t="shared" si="154"/>
        <v>Derechos de monopolio por la introducción de licores destilados de producción Nacional</v>
      </c>
      <c r="AT367" t="str">
        <f t="shared" si="155"/>
        <v>154Derechos de monopolio por la introducción de licores destilados de producción Nacional0</v>
      </c>
      <c r="AU367" t="str">
        <f>+_xlfn.XLOOKUP(AT367,CRUCE!J:J,CRUCE!M:M)</f>
        <v>READY</v>
      </c>
      <c r="AV367" t="s">
        <v>1907</v>
      </c>
      <c r="AW367" s="23">
        <f>+SUMIFS(CRUCE!D:D,CRUCE!A:A,'2022'!D367,CRUCE!B:B,'2022'!AS367)/COUNTIFS(D:D,D367,AS:AS,AS367)</f>
        <v>0</v>
      </c>
      <c r="AX367" s="23">
        <f t="shared" si="156"/>
        <v>0</v>
      </c>
      <c r="AY367" s="23">
        <f t="shared" si="157"/>
        <v>0</v>
      </c>
    </row>
    <row r="368" spans="1:51" x14ac:dyDescent="0.3">
      <c r="A368">
        <v>2022</v>
      </c>
      <c r="B368">
        <v>318</v>
      </c>
      <c r="C368">
        <v>1.1020700201020099E+17</v>
      </c>
      <c r="D368" s="5">
        <v>58</v>
      </c>
      <c r="E368" s="8" t="s">
        <v>1260</v>
      </c>
      <c r="F368">
        <v>1.1020700201020099E+17</v>
      </c>
      <c r="G368" s="8" t="s">
        <v>1093</v>
      </c>
      <c r="H368" t="s">
        <v>643</v>
      </c>
      <c r="I368" s="11">
        <v>40842867.549999997</v>
      </c>
      <c r="J368" s="11">
        <v>40842867.549999997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40842867.549999997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29286147.5</v>
      </c>
      <c r="X368" s="11">
        <v>158702.85999999999</v>
      </c>
      <c r="Y368" s="17">
        <v>29127444.640000001</v>
      </c>
      <c r="Z368" s="11"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29286147.5</v>
      </c>
      <c r="AG368" s="11">
        <v>158702.85999999999</v>
      </c>
      <c r="AH368" s="12">
        <v>29127444.640000001</v>
      </c>
      <c r="AI368" s="11">
        <v>29127444.640000001</v>
      </c>
      <c r="AJ368" s="11">
        <v>-157407.85999999999</v>
      </c>
      <c r="AK368" s="11">
        <v>-157407.85999999999</v>
      </c>
      <c r="AL368" s="11">
        <v>29284852.5</v>
      </c>
      <c r="AM368" s="11">
        <v>29286147.5</v>
      </c>
      <c r="AN368" s="11">
        <v>1295</v>
      </c>
      <c r="AO368" s="11">
        <v>29286147.5</v>
      </c>
      <c r="AP368" s="11">
        <v>0</v>
      </c>
      <c r="AQ368" s="11">
        <v>1295</v>
      </c>
      <c r="AR368" t="s">
        <v>684</v>
      </c>
      <c r="AS368" s="4" t="str">
        <f t="shared" si="154"/>
        <v>Derechos de monopolio por la introducción de licores destilados de producción Nacional</v>
      </c>
      <c r="AT368" t="str">
        <f t="shared" si="155"/>
        <v>58Derechos de monopolio por la introducción de licores destilados de producción Nacional29127444,64</v>
      </c>
      <c r="AU368" t="str">
        <f>+_xlfn.XLOOKUP(AT368,CRUCE!J:J,CRUCE!M:M)</f>
        <v>READY</v>
      </c>
      <c r="AV368" t="s">
        <v>1907</v>
      </c>
      <c r="AW368" s="23">
        <f>+SUMIFS(CRUCE!D:D,CRUCE!A:A,'2022'!D368,CRUCE!B:B,'2022'!AS368)/COUNTIFS(D:D,D368,AS:AS,AS368)</f>
        <v>29127444.640000001</v>
      </c>
      <c r="AX368" s="23">
        <f t="shared" si="156"/>
        <v>29127444.640000001</v>
      </c>
      <c r="AY368" s="23">
        <f t="shared" si="157"/>
        <v>0</v>
      </c>
    </row>
    <row r="369" spans="1:51" x14ac:dyDescent="0.3">
      <c r="A369">
        <v>2022</v>
      </c>
      <c r="B369">
        <v>318</v>
      </c>
      <c r="C369">
        <v>1.1020700201020099E+17</v>
      </c>
      <c r="D369" s="5">
        <v>72</v>
      </c>
      <c r="E369" s="8" t="s">
        <v>1261</v>
      </c>
      <c r="F369">
        <v>1.1020700201020099E+17</v>
      </c>
      <c r="G369" s="8" t="s">
        <v>1093</v>
      </c>
      <c r="H369" t="s">
        <v>643</v>
      </c>
      <c r="I369" s="11">
        <v>40842867.549999997</v>
      </c>
      <c r="J369" s="11">
        <v>40842867.549999997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40842867.549999997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29285500</v>
      </c>
      <c r="X369" s="11">
        <v>158055.35999999999</v>
      </c>
      <c r="Y369" s="17">
        <v>29127444.640000001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29285500</v>
      </c>
      <c r="AG369" s="11">
        <v>158055.35999999999</v>
      </c>
      <c r="AH369" s="12">
        <v>29127444.640000001</v>
      </c>
      <c r="AI369" s="11">
        <v>29127444.640000001</v>
      </c>
      <c r="AJ369" s="11">
        <v>-157407.85999999999</v>
      </c>
      <c r="AK369" s="11">
        <v>-157407.85999999999</v>
      </c>
      <c r="AL369" s="11">
        <v>29284852.5</v>
      </c>
      <c r="AM369" s="11">
        <v>29285500</v>
      </c>
      <c r="AN369" s="11">
        <v>647.5</v>
      </c>
      <c r="AO369" s="11">
        <v>29285500</v>
      </c>
      <c r="AP369" s="11">
        <v>0</v>
      </c>
      <c r="AQ369" s="11">
        <v>647.5</v>
      </c>
      <c r="AR369" t="s">
        <v>656</v>
      </c>
      <c r="AS369" s="4" t="str">
        <f t="shared" si="154"/>
        <v>Derechos de monopolio por la introducción de licores destilados de producción Nacional</v>
      </c>
      <c r="AT369" t="str">
        <f t="shared" si="155"/>
        <v>72Derechos de monopolio por la introducción de licores destilados de producción Nacional29127444,64</v>
      </c>
      <c r="AU369" t="str">
        <f>+_xlfn.XLOOKUP(AT369,CRUCE!J:J,CRUCE!M:M)</f>
        <v>READY</v>
      </c>
      <c r="AV369" t="s">
        <v>1907</v>
      </c>
      <c r="AW369" s="23">
        <f>+SUMIFS(CRUCE!D:D,CRUCE!A:A,'2022'!D369,CRUCE!B:B,'2022'!AS369)/COUNTIFS(D:D,D369,AS:AS,AS369)</f>
        <v>29127444.640000001</v>
      </c>
      <c r="AX369" s="23">
        <f t="shared" si="156"/>
        <v>29127444.640000001</v>
      </c>
      <c r="AY369" s="23">
        <f t="shared" si="157"/>
        <v>0</v>
      </c>
    </row>
    <row r="370" spans="1:51" hidden="1" x14ac:dyDescent="0.3">
      <c r="A370">
        <v>2022</v>
      </c>
      <c r="B370">
        <v>318</v>
      </c>
      <c r="C370">
        <v>110207002010202</v>
      </c>
      <c r="D370" s="5" t="s">
        <v>44</v>
      </c>
      <c r="E370" s="8" t="s">
        <v>1262</v>
      </c>
      <c r="F370">
        <v>110207002010202</v>
      </c>
      <c r="G370" s="8" t="s">
        <v>1096</v>
      </c>
      <c r="H370" t="s">
        <v>643</v>
      </c>
      <c r="I370" s="11">
        <v>81685735.090000004</v>
      </c>
      <c r="J370" s="11">
        <v>81685735.090000004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81685735.090000004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387681237.5</v>
      </c>
      <c r="X370" s="11">
        <v>329426348.20999998</v>
      </c>
      <c r="Y370" s="17">
        <v>58254889.289999999</v>
      </c>
      <c r="Z370" s="11">
        <v>0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387681237.5</v>
      </c>
      <c r="AG370" s="11">
        <v>329426348.20999998</v>
      </c>
      <c r="AH370" s="12">
        <v>58254889.289999999</v>
      </c>
      <c r="AI370" s="11">
        <v>58254889.289999999</v>
      </c>
      <c r="AJ370" s="11">
        <v>-314815.71000000002</v>
      </c>
      <c r="AK370" s="11">
        <v>-314815.71000000002</v>
      </c>
      <c r="AL370" s="11">
        <v>58569705</v>
      </c>
      <c r="AM370" s="11">
        <v>58570352.5</v>
      </c>
      <c r="AN370" s="11">
        <v>647.5</v>
      </c>
      <c r="AO370" s="11">
        <v>58570352.5</v>
      </c>
      <c r="AP370" s="11">
        <v>0</v>
      </c>
      <c r="AQ370" s="11">
        <v>647.5</v>
      </c>
      <c r="AR370" t="s">
        <v>48</v>
      </c>
      <c r="AS370"/>
      <c r="AW370"/>
      <c r="AX370"/>
      <c r="AY370"/>
    </row>
    <row r="371" spans="1:51" x14ac:dyDescent="0.3">
      <c r="A371">
        <v>2022</v>
      </c>
      <c r="B371">
        <v>318</v>
      </c>
      <c r="C371">
        <v>1.10207002010202E+17</v>
      </c>
      <c r="D371" s="5">
        <v>154</v>
      </c>
      <c r="E371" s="8" t="s">
        <v>1263</v>
      </c>
      <c r="F371">
        <v>1.10207002010202E+17</v>
      </c>
      <c r="G371" s="8" t="s">
        <v>1096</v>
      </c>
      <c r="H371" t="s">
        <v>643</v>
      </c>
      <c r="I371" s="11">
        <v>81685735.090000004</v>
      </c>
      <c r="J371" s="11">
        <v>81685735.090000004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81685735.090000004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387681237.5</v>
      </c>
      <c r="X371" s="11">
        <v>329426348.20999998</v>
      </c>
      <c r="Y371" s="17">
        <v>58254889.289999999</v>
      </c>
      <c r="Z371" s="11">
        <v>0</v>
      </c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387681237.5</v>
      </c>
      <c r="AG371" s="11">
        <v>329426348.20999998</v>
      </c>
      <c r="AH371" s="12">
        <v>58254889.289999999</v>
      </c>
      <c r="AI371" s="11">
        <v>58254889.289999999</v>
      </c>
      <c r="AJ371" s="11">
        <v>-314815.71000000002</v>
      </c>
      <c r="AK371" s="11">
        <v>-314815.71000000002</v>
      </c>
      <c r="AL371" s="11">
        <v>58569705</v>
      </c>
      <c r="AM371" s="11">
        <v>58570352.5</v>
      </c>
      <c r="AN371" s="11">
        <v>647.5</v>
      </c>
      <c r="AO371" s="11">
        <v>58570352.5</v>
      </c>
      <c r="AP371" s="11">
        <v>0</v>
      </c>
      <c r="AQ371" s="11">
        <v>647.5</v>
      </c>
      <c r="AR371" t="s">
        <v>651</v>
      </c>
      <c r="AS371" s="4" t="str">
        <f t="shared" ref="AS371:AS373" si="158">+G371</f>
        <v>Derechos de monopolio por la introducción de licores destilados de producción extranjera</v>
      </c>
      <c r="AT371" t="str">
        <f t="shared" ref="AT371:AT373" si="159">+D371&amp;AS371&amp;Y371</f>
        <v>154Derechos de monopolio por la introducción de licores destilados de producción extranjera58254889,29</v>
      </c>
      <c r="AU371" t="str">
        <f>+_xlfn.XLOOKUP(AT371,CRUCE!J:J,CRUCE!M:M)</f>
        <v>READY</v>
      </c>
      <c r="AV371" t="s">
        <v>1907</v>
      </c>
      <c r="AW371" s="23">
        <f>+SUMIFS(CRUCE!D:D,CRUCE!A:A,'2022'!D371,CRUCE!B:B,'2022'!AS371)/COUNTIFS(D:D,D371,AS:AS,AS371)</f>
        <v>58254889.289999999</v>
      </c>
      <c r="AX371" s="23">
        <f t="shared" ref="AX371:AX373" si="160">+SUMIFS(Y:Y,D:D,D371,AS:AS,AS371)/COUNTIFS(D:D,D371,AS:AS,AS371)</f>
        <v>58254889.289999999</v>
      </c>
      <c r="AY371" s="23">
        <f t="shared" ref="AY371:AY373" si="161">+AW371-AX371</f>
        <v>0</v>
      </c>
    </row>
    <row r="372" spans="1:51" x14ac:dyDescent="0.3">
      <c r="A372">
        <v>2022</v>
      </c>
      <c r="B372">
        <v>318</v>
      </c>
      <c r="C372">
        <v>1.10207002010202E+17</v>
      </c>
      <c r="D372" s="5">
        <v>58</v>
      </c>
      <c r="E372" s="8" t="s">
        <v>1264</v>
      </c>
      <c r="F372">
        <v>1.10207002010202E+17</v>
      </c>
      <c r="G372" s="8" t="s">
        <v>1096</v>
      </c>
      <c r="H372" t="s">
        <v>643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7">
        <v>0</v>
      </c>
      <c r="Z372" s="11">
        <v>0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12">
        <v>0</v>
      </c>
      <c r="AI372" s="11">
        <v>0</v>
      </c>
      <c r="AJ372" s="11">
        <v>0</v>
      </c>
      <c r="AK372" s="11">
        <v>0</v>
      </c>
      <c r="AL372" s="11">
        <v>0</v>
      </c>
      <c r="AM372" s="11">
        <v>0</v>
      </c>
      <c r="AN372" s="11">
        <v>0</v>
      </c>
      <c r="AO372" s="11">
        <v>0</v>
      </c>
      <c r="AP372" s="11">
        <v>0</v>
      </c>
      <c r="AQ372" s="11">
        <v>0</v>
      </c>
      <c r="AR372" t="s">
        <v>684</v>
      </c>
      <c r="AS372" s="4" t="str">
        <f t="shared" si="158"/>
        <v>Derechos de monopolio por la introducción de licores destilados de producción extranjera</v>
      </c>
      <c r="AT372" t="str">
        <f t="shared" si="159"/>
        <v>58Derechos de monopolio por la introducción de licores destilados de producción extranjera0</v>
      </c>
      <c r="AU372" t="str">
        <f>+_xlfn.XLOOKUP(AT372,CRUCE!J:J,CRUCE!M:M)</f>
        <v>READY</v>
      </c>
      <c r="AV372" t="s">
        <v>1907</v>
      </c>
      <c r="AW372" s="23">
        <f>+SUMIFS(CRUCE!D:D,CRUCE!A:A,'2022'!D372,CRUCE!B:B,'2022'!AS372)/COUNTIFS(D:D,D372,AS:AS,AS372)</f>
        <v>0</v>
      </c>
      <c r="AX372" s="23">
        <f t="shared" si="160"/>
        <v>0</v>
      </c>
      <c r="AY372" s="23">
        <f t="shared" si="161"/>
        <v>0</v>
      </c>
    </row>
    <row r="373" spans="1:51" x14ac:dyDescent="0.3">
      <c r="A373">
        <v>2022</v>
      </c>
      <c r="B373">
        <v>318</v>
      </c>
      <c r="C373">
        <v>1.10207002010202E+17</v>
      </c>
      <c r="D373" s="5">
        <v>72</v>
      </c>
      <c r="E373" s="8" t="s">
        <v>1265</v>
      </c>
      <c r="F373">
        <v>1.10207002010202E+17</v>
      </c>
      <c r="G373" s="8" t="s">
        <v>1096</v>
      </c>
      <c r="H373" t="s">
        <v>643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7">
        <v>0</v>
      </c>
      <c r="Z373" s="11">
        <v>0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2">
        <v>0</v>
      </c>
      <c r="AI373" s="11">
        <v>0</v>
      </c>
      <c r="AJ373" s="11">
        <v>0</v>
      </c>
      <c r="AK373" s="11">
        <v>0</v>
      </c>
      <c r="AL373" s="11">
        <v>0</v>
      </c>
      <c r="AM373" s="11">
        <v>0</v>
      </c>
      <c r="AN373" s="11">
        <v>0</v>
      </c>
      <c r="AO373" s="11">
        <v>0</v>
      </c>
      <c r="AP373" s="11">
        <v>0</v>
      </c>
      <c r="AQ373" s="11">
        <v>0</v>
      </c>
      <c r="AR373" t="s">
        <v>656</v>
      </c>
      <c r="AS373" s="4" t="str">
        <f t="shared" si="158"/>
        <v>Derechos de monopolio por la introducción de licores destilados de producción extranjera</v>
      </c>
      <c r="AT373" t="str">
        <f t="shared" si="159"/>
        <v>72Derechos de monopolio por la introducción de licores destilados de producción extranjera0</v>
      </c>
      <c r="AU373" t="str">
        <f>+_xlfn.XLOOKUP(AT373,CRUCE!J:J,CRUCE!M:M)</f>
        <v>READY</v>
      </c>
      <c r="AV373" t="s">
        <v>1907</v>
      </c>
      <c r="AW373" s="23">
        <f>+SUMIFS(CRUCE!D:D,CRUCE!A:A,'2022'!D373,CRUCE!B:B,'2022'!AS373)/COUNTIFS(D:D,D373,AS:AS,AS373)</f>
        <v>0</v>
      </c>
      <c r="AX373" s="23">
        <f t="shared" si="160"/>
        <v>0</v>
      </c>
      <c r="AY373" s="23">
        <f t="shared" si="161"/>
        <v>0</v>
      </c>
    </row>
    <row r="374" spans="1:51" hidden="1" x14ac:dyDescent="0.3">
      <c r="A374">
        <v>2022</v>
      </c>
      <c r="B374">
        <v>318</v>
      </c>
      <c r="C374">
        <v>1102070020103</v>
      </c>
      <c r="D374" s="5" t="s">
        <v>44</v>
      </c>
      <c r="E374" s="8" t="s">
        <v>1266</v>
      </c>
      <c r="F374">
        <v>1102070020103</v>
      </c>
      <c r="G374" s="8" t="s">
        <v>359</v>
      </c>
      <c r="H374" t="s">
        <v>643</v>
      </c>
      <c r="I374" s="11">
        <v>7544150860.1700001</v>
      </c>
      <c r="J374" s="11">
        <v>7544150860.1700001</v>
      </c>
      <c r="K374" s="11">
        <v>1196314963.0899999</v>
      </c>
      <c r="L374" s="11">
        <v>0</v>
      </c>
      <c r="M374" s="11">
        <v>1196314963.0899999</v>
      </c>
      <c r="N374" s="11">
        <v>1196314963.0899999</v>
      </c>
      <c r="O374" s="11">
        <v>0</v>
      </c>
      <c r="P374" s="11">
        <v>8740465823.2600002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11856462515.969999</v>
      </c>
      <c r="X374" s="11">
        <v>204818774.59999999</v>
      </c>
      <c r="Y374" s="17">
        <v>11651643741.370001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11856462515.969999</v>
      </c>
      <c r="AG374" s="11">
        <v>204818774.59999999</v>
      </c>
      <c r="AH374" s="12">
        <v>11651643741.370001</v>
      </c>
      <c r="AI374" s="11">
        <v>11651643741.370001</v>
      </c>
      <c r="AJ374" s="11">
        <v>1476052483.53</v>
      </c>
      <c r="AK374" s="11">
        <v>1476052483.53</v>
      </c>
      <c r="AL374" s="11">
        <v>10175591257.84</v>
      </c>
      <c r="AM374" s="11">
        <v>10304863747.84</v>
      </c>
      <c r="AN374" s="11">
        <v>129272490</v>
      </c>
      <c r="AO374" s="11">
        <v>10304863747.84</v>
      </c>
      <c r="AP374" s="11">
        <v>0</v>
      </c>
      <c r="AQ374" s="11">
        <v>129272490</v>
      </c>
      <c r="AR374" t="s">
        <v>48</v>
      </c>
      <c r="AS374"/>
      <c r="AW374"/>
      <c r="AX374"/>
      <c r="AY374"/>
    </row>
    <row r="375" spans="1:51" hidden="1" x14ac:dyDescent="0.3">
      <c r="A375">
        <v>2022</v>
      </c>
      <c r="B375">
        <v>318</v>
      </c>
      <c r="C375">
        <v>110207002010302</v>
      </c>
      <c r="D375" s="5" t="s">
        <v>44</v>
      </c>
      <c r="E375" s="8" t="s">
        <v>1267</v>
      </c>
      <c r="F375">
        <v>110207002010302</v>
      </c>
      <c r="G375" s="8" t="s">
        <v>361</v>
      </c>
      <c r="H375" t="s">
        <v>643</v>
      </c>
      <c r="I375" s="11">
        <v>7544150860.1700001</v>
      </c>
      <c r="J375" s="11">
        <v>7544150860.1700001</v>
      </c>
      <c r="K375" s="11">
        <v>1196314963.0899999</v>
      </c>
      <c r="L375" s="11">
        <v>0</v>
      </c>
      <c r="M375" s="11">
        <v>1196314963.0899999</v>
      </c>
      <c r="N375" s="11">
        <v>1196314963.0899999</v>
      </c>
      <c r="O375" s="11">
        <v>0</v>
      </c>
      <c r="P375" s="11">
        <v>8740465823.2600002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11856462515.969999</v>
      </c>
      <c r="X375" s="11">
        <v>204818774.59999999</v>
      </c>
      <c r="Y375" s="17">
        <v>11651643741.370001</v>
      </c>
      <c r="Z375" s="11">
        <v>0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11856462515.969999</v>
      </c>
      <c r="AG375" s="11">
        <v>204818774.59999999</v>
      </c>
      <c r="AH375" s="12">
        <v>11651643741.370001</v>
      </c>
      <c r="AI375" s="11">
        <v>11651643741.370001</v>
      </c>
      <c r="AJ375" s="11">
        <v>1476052483.53</v>
      </c>
      <c r="AK375" s="11">
        <v>1476052483.53</v>
      </c>
      <c r="AL375" s="11">
        <v>10175591257.84</v>
      </c>
      <c r="AM375" s="11">
        <v>10304863747.84</v>
      </c>
      <c r="AN375" s="11">
        <v>129272490</v>
      </c>
      <c r="AO375" s="11">
        <v>10304863747.84</v>
      </c>
      <c r="AP375" s="11">
        <v>0</v>
      </c>
      <c r="AQ375" s="11">
        <v>129272490</v>
      </c>
      <c r="AR375" t="s">
        <v>48</v>
      </c>
      <c r="AS375"/>
      <c r="AW375"/>
      <c r="AX375"/>
      <c r="AY375"/>
    </row>
    <row r="376" spans="1:51" x14ac:dyDescent="0.3">
      <c r="A376">
        <v>2022</v>
      </c>
      <c r="B376">
        <v>318</v>
      </c>
      <c r="C376">
        <v>1.10207002010302E+17</v>
      </c>
      <c r="D376" s="5">
        <v>154</v>
      </c>
      <c r="E376" s="8" t="s">
        <v>1268</v>
      </c>
      <c r="F376">
        <v>1.10207002010302E+17</v>
      </c>
      <c r="G376" s="8" t="s">
        <v>363</v>
      </c>
      <c r="H376" t="s">
        <v>643</v>
      </c>
      <c r="I376" s="11">
        <v>1395844720.4100001</v>
      </c>
      <c r="J376" s="11">
        <v>1395844720.4100001</v>
      </c>
      <c r="K376" s="11">
        <v>296314963.08999997</v>
      </c>
      <c r="L376" s="11">
        <v>0</v>
      </c>
      <c r="M376" s="11">
        <v>296314963.08999997</v>
      </c>
      <c r="N376" s="11">
        <v>296314963.08999997</v>
      </c>
      <c r="O376" s="11">
        <v>0</v>
      </c>
      <c r="P376" s="11">
        <v>1692159683.5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4547954409.9200001</v>
      </c>
      <c r="X376" s="11">
        <v>102389387.3</v>
      </c>
      <c r="Y376" s="17">
        <v>4445565022.6199999</v>
      </c>
      <c r="Z376" s="11">
        <v>0</v>
      </c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11">
        <v>4547954409.9200001</v>
      </c>
      <c r="AG376" s="11">
        <v>102389387.3</v>
      </c>
      <c r="AH376" s="12">
        <v>4445565022.6199999</v>
      </c>
      <c r="AI376" s="11">
        <v>4445565022.6199999</v>
      </c>
      <c r="AJ376" s="11">
        <v>91088988.700000003</v>
      </c>
      <c r="AK376" s="11">
        <v>91088988.700000003</v>
      </c>
      <c r="AL376" s="11">
        <v>4354476033.9200001</v>
      </c>
      <c r="AM376" s="11">
        <v>4419092278.9200001</v>
      </c>
      <c r="AN376" s="11">
        <v>64616245</v>
      </c>
      <c r="AO376" s="11">
        <v>4419092278.9200001</v>
      </c>
      <c r="AP376" s="11">
        <v>0</v>
      </c>
      <c r="AQ376" s="11">
        <v>64616245</v>
      </c>
      <c r="AR376" t="s">
        <v>651</v>
      </c>
      <c r="AS376" s="4" t="str">
        <f t="shared" ref="AS376:AS378" si="162">+G376</f>
        <v>Participación por el consumo de licores destilados introducidos de producción nacional</v>
      </c>
      <c r="AT376" t="str">
        <f t="shared" ref="AT376:AT378" si="163">+D376&amp;AS376&amp;Y376</f>
        <v>154Participación por el consumo de licores destilados introducidos de producción nacional4445565022,62</v>
      </c>
      <c r="AU376" t="str">
        <f>+_xlfn.XLOOKUP(AT376,CRUCE!J:J,CRUCE!M:M)</f>
        <v>READY</v>
      </c>
      <c r="AV376" t="s">
        <v>1907</v>
      </c>
      <c r="AW376" s="23">
        <f>+SUMIFS(CRUCE!D:D,CRUCE!A:A,'2022'!D376,CRUCE!B:B,'2022'!AS376)/COUNTIFS(D:D,D376,AS:AS,AS376)</f>
        <v>4445565022.6199999</v>
      </c>
      <c r="AX376" s="23">
        <f t="shared" ref="AX376:AX378" si="164">+SUMIFS(Y:Y,D:D,D376,AS:AS,AS376)/COUNTIFS(D:D,D376,AS:AS,AS376)</f>
        <v>4445565022.6199999</v>
      </c>
      <c r="AY376" s="23">
        <f t="shared" ref="AY376:AY378" si="165">+AW376-AX376</f>
        <v>0</v>
      </c>
    </row>
    <row r="377" spans="1:51" x14ac:dyDescent="0.3">
      <c r="A377">
        <v>2022</v>
      </c>
      <c r="B377">
        <v>318</v>
      </c>
      <c r="C377">
        <v>1.10207002010302E+17</v>
      </c>
      <c r="D377" s="5">
        <v>58</v>
      </c>
      <c r="E377" s="8" t="s">
        <v>1269</v>
      </c>
      <c r="F377">
        <v>1.10207002010302E+17</v>
      </c>
      <c r="G377" s="8" t="s">
        <v>363</v>
      </c>
      <c r="H377" t="s">
        <v>643</v>
      </c>
      <c r="I377" s="11">
        <v>697922360.19000006</v>
      </c>
      <c r="J377" s="11">
        <v>697922360.19000006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697922360.19000006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2209546139.46</v>
      </c>
      <c r="X377" s="11">
        <v>51194693.649999999</v>
      </c>
      <c r="Y377" s="17">
        <v>2158351445.8099999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2209546139.46</v>
      </c>
      <c r="AG377" s="11">
        <v>51194693.649999999</v>
      </c>
      <c r="AH377" s="12">
        <v>2158351445.8099999</v>
      </c>
      <c r="AI377" s="11">
        <v>2158351445.8099999</v>
      </c>
      <c r="AJ377" s="11">
        <v>-18886571.149999999</v>
      </c>
      <c r="AK377" s="11">
        <v>-18886571.149999999</v>
      </c>
      <c r="AL377" s="11">
        <v>2177238016.96</v>
      </c>
      <c r="AM377" s="11">
        <v>2209546139.46</v>
      </c>
      <c r="AN377" s="11">
        <v>32308122.5</v>
      </c>
      <c r="AO377" s="11">
        <v>2209546139.46</v>
      </c>
      <c r="AP377" s="11">
        <v>0</v>
      </c>
      <c r="AQ377" s="11">
        <v>32308122.5</v>
      </c>
      <c r="AR377" t="s">
        <v>684</v>
      </c>
      <c r="AS377" s="4" t="str">
        <f t="shared" si="162"/>
        <v>Participación por el consumo de licores destilados introducidos de producción nacional</v>
      </c>
      <c r="AT377" t="str">
        <f t="shared" si="163"/>
        <v>58Participación por el consumo de licores destilados introducidos de producción nacional2158351445,81</v>
      </c>
      <c r="AU377" t="str">
        <f>+_xlfn.XLOOKUP(AT377,CRUCE!J:J,CRUCE!M:M)</f>
        <v>READY</v>
      </c>
      <c r="AV377" t="s">
        <v>1907</v>
      </c>
      <c r="AW377" s="23">
        <f>+SUMIFS(CRUCE!D:D,CRUCE!A:A,'2022'!D377,CRUCE!B:B,'2022'!AS377)/COUNTIFS(D:D,D377,AS:AS,AS377)</f>
        <v>2158351445.8099999</v>
      </c>
      <c r="AX377" s="23">
        <f t="shared" si="164"/>
        <v>2158351445.8099999</v>
      </c>
      <c r="AY377" s="23">
        <f t="shared" si="165"/>
        <v>0</v>
      </c>
    </row>
    <row r="378" spans="1:51" x14ac:dyDescent="0.3">
      <c r="A378">
        <v>2022</v>
      </c>
      <c r="B378">
        <v>318</v>
      </c>
      <c r="C378">
        <v>1.10207002010302E+17</v>
      </c>
      <c r="D378" s="5">
        <v>72</v>
      </c>
      <c r="E378" s="8" t="s">
        <v>1270</v>
      </c>
      <c r="F378">
        <v>1.10207002010302E+17</v>
      </c>
      <c r="G378" s="8" t="s">
        <v>363</v>
      </c>
      <c r="H378" t="s">
        <v>643</v>
      </c>
      <c r="I378" s="11">
        <v>697922360.20000005</v>
      </c>
      <c r="J378" s="11">
        <v>697922360.20000005</v>
      </c>
      <c r="K378" s="11">
        <v>900000000</v>
      </c>
      <c r="L378" s="11">
        <v>0</v>
      </c>
      <c r="M378" s="11">
        <v>900000000</v>
      </c>
      <c r="N378" s="11">
        <v>900000000</v>
      </c>
      <c r="O378" s="11">
        <v>0</v>
      </c>
      <c r="P378" s="11">
        <v>1597922360.2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2209586139.46</v>
      </c>
      <c r="X378" s="11">
        <v>51234693.649999999</v>
      </c>
      <c r="Y378" s="17">
        <v>2158351445.8099999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2209586139.46</v>
      </c>
      <c r="AG378" s="11">
        <v>51234693.649999999</v>
      </c>
      <c r="AH378" s="12">
        <v>2158351445.8099999</v>
      </c>
      <c r="AI378" s="11">
        <v>2158351445.8099999</v>
      </c>
      <c r="AJ378" s="11">
        <v>-18886571.149999999</v>
      </c>
      <c r="AK378" s="11">
        <v>-18886571.149999999</v>
      </c>
      <c r="AL378" s="11">
        <v>2177238016.96</v>
      </c>
      <c r="AM378" s="11">
        <v>2209586139.46</v>
      </c>
      <c r="AN378" s="11">
        <v>32348122.5</v>
      </c>
      <c r="AO378" s="11">
        <v>2209586139.46</v>
      </c>
      <c r="AP378" s="11">
        <v>0</v>
      </c>
      <c r="AQ378" s="11">
        <v>32348122.5</v>
      </c>
      <c r="AR378" t="s">
        <v>656</v>
      </c>
      <c r="AS378" s="4" t="str">
        <f t="shared" si="162"/>
        <v>Participación por el consumo de licores destilados introducidos de producción nacional</v>
      </c>
      <c r="AT378" t="str">
        <f t="shared" si="163"/>
        <v>72Participación por el consumo de licores destilados introducidos de producción nacional2158351445,81</v>
      </c>
      <c r="AU378" t="str">
        <f>+_xlfn.XLOOKUP(AT378,CRUCE!J:J,CRUCE!M:M)</f>
        <v>READY</v>
      </c>
      <c r="AV378" t="s">
        <v>1907</v>
      </c>
      <c r="AW378" s="23">
        <f>+SUMIFS(CRUCE!D:D,CRUCE!A:A,'2022'!D378,CRUCE!B:B,'2022'!AS378)/COUNTIFS(D:D,D378,AS:AS,AS378)</f>
        <v>2158351445.8099999</v>
      </c>
      <c r="AX378" s="23">
        <f t="shared" si="164"/>
        <v>2158351445.8099999</v>
      </c>
      <c r="AY378" s="23">
        <f t="shared" si="165"/>
        <v>0</v>
      </c>
    </row>
    <row r="379" spans="1:51" hidden="1" x14ac:dyDescent="0.3">
      <c r="A379">
        <v>2022</v>
      </c>
      <c r="B379">
        <v>318</v>
      </c>
      <c r="C379">
        <v>1.10207002010302E+17</v>
      </c>
      <c r="D379" s="5" t="s">
        <v>44</v>
      </c>
      <c r="E379" s="8" t="s">
        <v>1271</v>
      </c>
      <c r="F379">
        <v>1.10207002010302E+17</v>
      </c>
      <c r="G379" s="8" t="s">
        <v>1102</v>
      </c>
      <c r="H379" t="s">
        <v>643</v>
      </c>
      <c r="I379" s="11">
        <v>4752461419.3699999</v>
      </c>
      <c r="J379" s="11">
        <v>4752461419.3699999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4752461419.3699999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2889375827.1300001</v>
      </c>
      <c r="X379" s="11">
        <v>0</v>
      </c>
      <c r="Y379" s="17">
        <v>2889375827.1300001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2889375827.1300001</v>
      </c>
      <c r="AG379" s="11">
        <v>0</v>
      </c>
      <c r="AH379" s="12">
        <v>2889375827.1300001</v>
      </c>
      <c r="AI379" s="11">
        <v>2889375827.1300001</v>
      </c>
      <c r="AJ379" s="11">
        <v>1422736637.1300001</v>
      </c>
      <c r="AK379" s="11">
        <v>1422736637.1300001</v>
      </c>
      <c r="AL379" s="11">
        <v>1466639190</v>
      </c>
      <c r="AM379" s="11">
        <v>1466639190</v>
      </c>
      <c r="AN379" s="11">
        <v>0</v>
      </c>
      <c r="AO379" s="11">
        <v>1466639190</v>
      </c>
      <c r="AP379" s="11">
        <v>0</v>
      </c>
      <c r="AQ379" s="11">
        <v>0</v>
      </c>
      <c r="AR379" t="s">
        <v>48</v>
      </c>
      <c r="AS379"/>
      <c r="AW379"/>
      <c r="AX379"/>
      <c r="AY379"/>
    </row>
    <row r="380" spans="1:51" x14ac:dyDescent="0.3">
      <c r="A380">
        <v>2022</v>
      </c>
      <c r="B380">
        <v>318</v>
      </c>
      <c r="C380">
        <v>1.1020700201030201E+20</v>
      </c>
      <c r="D380" s="5">
        <v>154</v>
      </c>
      <c r="E380" s="8" t="s">
        <v>1272</v>
      </c>
      <c r="F380">
        <v>1.1020700201030201E+20</v>
      </c>
      <c r="G380" s="8" t="s">
        <v>1104</v>
      </c>
      <c r="H380" t="s">
        <v>643</v>
      </c>
      <c r="I380" s="11">
        <v>2376230709.8600001</v>
      </c>
      <c r="J380" s="11">
        <v>2376230709.8600001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2376230709.8600001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1402526572.0699999</v>
      </c>
      <c r="X380" s="11">
        <v>0</v>
      </c>
      <c r="Y380" s="17">
        <v>1402526572.0699999</v>
      </c>
      <c r="Z380" s="11">
        <v>0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1402526572.0699999</v>
      </c>
      <c r="AG380" s="11">
        <v>0</v>
      </c>
      <c r="AH380" s="12">
        <v>1402526572.0699999</v>
      </c>
      <c r="AI380" s="11">
        <v>1402526572.0699999</v>
      </c>
      <c r="AJ380" s="11">
        <v>1402526572.0699999</v>
      </c>
      <c r="AK380" s="11">
        <v>1402526572.0699999</v>
      </c>
      <c r="AL380" s="11">
        <v>0</v>
      </c>
      <c r="AM380" s="11">
        <v>0</v>
      </c>
      <c r="AN380" s="11">
        <v>0</v>
      </c>
      <c r="AO380" s="11">
        <v>0</v>
      </c>
      <c r="AP380" s="11">
        <v>0</v>
      </c>
      <c r="AQ380" s="11">
        <v>0</v>
      </c>
      <c r="AR380" t="s">
        <v>651</v>
      </c>
      <c r="AS380" s="4" t="str">
        <f t="shared" ref="AS380:AS382" si="166">+G380</f>
        <v>Participación por el consumo de licores destilados introducidos de producción nacional recaudado p</v>
      </c>
      <c r="AT380" t="str">
        <f t="shared" ref="AT380:AT382" si="167">+D380&amp;AS380&amp;Y380</f>
        <v>154Participación por el consumo de licores destilados introducidos de producción nacional recaudado p1402526572,07</v>
      </c>
      <c r="AU380" t="str">
        <f>+_xlfn.XLOOKUP(AT380,CRUCE!J:J,CRUCE!M:M)</f>
        <v>READY</v>
      </c>
      <c r="AV380" t="s">
        <v>1907</v>
      </c>
      <c r="AW380" s="23">
        <f>+SUMIFS(CRUCE!D:D,CRUCE!A:A,'2022'!D380,CRUCE!B:B,'2022'!AS380)/COUNTIFS(D:D,D380,AS:AS,AS380)</f>
        <v>1402526572.0699999</v>
      </c>
      <c r="AX380" s="23">
        <f t="shared" ref="AX380:AX382" si="168">+SUMIFS(Y:Y,D:D,D380,AS:AS,AS380)/COUNTIFS(D:D,D380,AS:AS,AS380)</f>
        <v>1402526572.0699999</v>
      </c>
      <c r="AY380" s="23">
        <f t="shared" ref="AY380:AY382" si="169">+AW380-AX380</f>
        <v>0</v>
      </c>
    </row>
    <row r="381" spans="1:51" x14ac:dyDescent="0.3">
      <c r="A381">
        <v>2022</v>
      </c>
      <c r="B381">
        <v>318</v>
      </c>
      <c r="C381">
        <v>1.1020700201030201E+20</v>
      </c>
      <c r="D381" s="5">
        <v>58</v>
      </c>
      <c r="E381" s="8" t="s">
        <v>1273</v>
      </c>
      <c r="F381">
        <v>1.1020700201030201E+20</v>
      </c>
      <c r="G381" s="8" t="s">
        <v>1108</v>
      </c>
      <c r="H381" t="s">
        <v>643</v>
      </c>
      <c r="I381" s="11">
        <v>1188115354.47</v>
      </c>
      <c r="J381" s="11">
        <v>1188115354.47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1188115354.47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743424627.52999997</v>
      </c>
      <c r="X381" s="11">
        <v>0</v>
      </c>
      <c r="Y381" s="17">
        <v>743424627.52999997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743424627.52999997</v>
      </c>
      <c r="AG381" s="11">
        <v>0</v>
      </c>
      <c r="AH381" s="12">
        <v>743424627.52999997</v>
      </c>
      <c r="AI381" s="11">
        <v>743424627.52999997</v>
      </c>
      <c r="AJ381" s="11">
        <v>10105032.529999999</v>
      </c>
      <c r="AK381" s="11">
        <v>10105032.529999999</v>
      </c>
      <c r="AL381" s="11">
        <v>733319595</v>
      </c>
      <c r="AM381" s="11">
        <v>733319595</v>
      </c>
      <c r="AN381" s="11">
        <v>0</v>
      </c>
      <c r="AO381" s="11">
        <v>733319595</v>
      </c>
      <c r="AP381" s="11">
        <v>0</v>
      </c>
      <c r="AQ381" s="11">
        <v>0</v>
      </c>
      <c r="AR381" t="s">
        <v>684</v>
      </c>
      <c r="AS381" s="4" t="str">
        <f t="shared" si="166"/>
        <v>Participación por el consumo de licores destilados introducidos de producción extranjera recaudado p</v>
      </c>
      <c r="AT381" t="str">
        <f t="shared" si="167"/>
        <v>58Participación por el consumo de licores destilados introducidos de producción extranjera recaudado p743424627,53</v>
      </c>
      <c r="AU381" t="str">
        <f>+_xlfn.XLOOKUP(AT381,CRUCE!J:J,CRUCE!M:M)</f>
        <v>READY</v>
      </c>
      <c r="AV381" t="s">
        <v>1907</v>
      </c>
      <c r="AW381" s="23">
        <f>+SUMIFS(CRUCE!D:D,CRUCE!A:A,'2022'!D381,CRUCE!B:B,'2022'!AS381)/COUNTIFS(D:D,D381,AS:AS,AS381)</f>
        <v>743424627.52999997</v>
      </c>
      <c r="AX381" s="23">
        <f t="shared" si="168"/>
        <v>743424627.52999997</v>
      </c>
      <c r="AY381" s="23">
        <f t="shared" si="169"/>
        <v>0</v>
      </c>
    </row>
    <row r="382" spans="1:51" x14ac:dyDescent="0.3">
      <c r="A382">
        <v>2022</v>
      </c>
      <c r="B382">
        <v>318</v>
      </c>
      <c r="C382">
        <v>1.1020700201030201E+20</v>
      </c>
      <c r="D382" s="5">
        <v>72</v>
      </c>
      <c r="E382" s="8" t="s">
        <v>1274</v>
      </c>
      <c r="F382">
        <v>1.1020700201030201E+20</v>
      </c>
      <c r="G382" s="8" t="s">
        <v>1108</v>
      </c>
      <c r="H382" t="s">
        <v>643</v>
      </c>
      <c r="I382" s="11">
        <v>1188115355.04</v>
      </c>
      <c r="J382" s="11">
        <v>1188115355.04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1188115355.04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743424627.52999997</v>
      </c>
      <c r="X382" s="11">
        <v>0</v>
      </c>
      <c r="Y382" s="17">
        <v>743424627.52999997</v>
      </c>
      <c r="Z382" s="11">
        <v>0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743424627.52999997</v>
      </c>
      <c r="AG382" s="11">
        <v>0</v>
      </c>
      <c r="AH382" s="12">
        <v>743424627.52999997</v>
      </c>
      <c r="AI382" s="11">
        <v>743424627.52999997</v>
      </c>
      <c r="AJ382" s="11">
        <v>10105032.529999999</v>
      </c>
      <c r="AK382" s="11">
        <v>10105032.529999999</v>
      </c>
      <c r="AL382" s="11">
        <v>733319595</v>
      </c>
      <c r="AM382" s="11">
        <v>733319595</v>
      </c>
      <c r="AN382" s="11">
        <v>0</v>
      </c>
      <c r="AO382" s="11">
        <v>733319595</v>
      </c>
      <c r="AP382" s="11">
        <v>0</v>
      </c>
      <c r="AQ382" s="11">
        <v>0</v>
      </c>
      <c r="AR382" t="s">
        <v>656</v>
      </c>
      <c r="AS382" s="4" t="str">
        <f t="shared" si="166"/>
        <v>Participación por el consumo de licores destilados introducidos de producción extranjera recaudado p</v>
      </c>
      <c r="AT382" t="str">
        <f t="shared" si="167"/>
        <v>72Participación por el consumo de licores destilados introducidos de producción extranjera recaudado p743424627,53</v>
      </c>
      <c r="AU382" t="str">
        <f>+_xlfn.XLOOKUP(AT382,CRUCE!J:J,CRUCE!M:M)</f>
        <v>READY</v>
      </c>
      <c r="AV382" t="s">
        <v>1907</v>
      </c>
      <c r="AW382" s="23">
        <f>+SUMIFS(CRUCE!D:D,CRUCE!A:A,'2022'!D382,CRUCE!B:B,'2022'!AS382)/COUNTIFS(D:D,D382,AS:AS,AS382)</f>
        <v>743424627.52999997</v>
      </c>
      <c r="AX382" s="23">
        <f t="shared" si="168"/>
        <v>743424627.52999997</v>
      </c>
      <c r="AY382" s="23">
        <f t="shared" si="169"/>
        <v>0</v>
      </c>
    </row>
    <row r="383" spans="1:51" hidden="1" x14ac:dyDescent="0.3">
      <c r="A383">
        <v>2022</v>
      </c>
      <c r="B383">
        <v>318</v>
      </c>
      <c r="C383">
        <v>11020700202</v>
      </c>
      <c r="D383" s="5" t="s">
        <v>44</v>
      </c>
      <c r="E383" s="8" t="s">
        <v>1275</v>
      </c>
      <c r="F383">
        <v>11020700202</v>
      </c>
      <c r="G383" s="8" t="s">
        <v>1112</v>
      </c>
      <c r="H383" t="s">
        <v>643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7216850</v>
      </c>
      <c r="X383" s="11">
        <v>0</v>
      </c>
      <c r="Y383" s="17">
        <v>7216850</v>
      </c>
      <c r="Z383" s="11">
        <v>0</v>
      </c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11">
        <v>7216850</v>
      </c>
      <c r="AG383" s="11">
        <v>0</v>
      </c>
      <c r="AH383" s="12">
        <v>7216850</v>
      </c>
      <c r="AI383" s="11">
        <v>7216850</v>
      </c>
      <c r="AJ383" s="11">
        <v>0</v>
      </c>
      <c r="AK383" s="11">
        <v>0</v>
      </c>
      <c r="AL383" s="11">
        <v>7216850</v>
      </c>
      <c r="AM383" s="11">
        <v>7216850</v>
      </c>
      <c r="AN383" s="11">
        <v>0</v>
      </c>
      <c r="AO383" s="11">
        <v>7216850</v>
      </c>
      <c r="AP383" s="11">
        <v>0</v>
      </c>
      <c r="AQ383" s="11">
        <v>0</v>
      </c>
      <c r="AR383" t="s">
        <v>48</v>
      </c>
      <c r="AS383"/>
      <c r="AW383"/>
      <c r="AX383"/>
      <c r="AY383"/>
    </row>
    <row r="384" spans="1:51" x14ac:dyDescent="0.3">
      <c r="A384">
        <v>2022</v>
      </c>
      <c r="B384">
        <v>318</v>
      </c>
      <c r="C384">
        <v>1102070020201</v>
      </c>
      <c r="D384" s="5">
        <v>154</v>
      </c>
      <c r="E384" s="8" t="s">
        <v>1276</v>
      </c>
      <c r="F384">
        <v>1102070020201</v>
      </c>
      <c r="G384" s="8" t="s">
        <v>1114</v>
      </c>
      <c r="H384" t="s">
        <v>643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3608425</v>
      </c>
      <c r="X384" s="11">
        <v>0</v>
      </c>
      <c r="Y384" s="17">
        <v>3608425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3608425</v>
      </c>
      <c r="AG384" s="11">
        <v>0</v>
      </c>
      <c r="AH384" s="12">
        <v>3608425</v>
      </c>
      <c r="AI384" s="11">
        <v>3608425</v>
      </c>
      <c r="AJ384" s="11">
        <v>0</v>
      </c>
      <c r="AK384" s="11">
        <v>0</v>
      </c>
      <c r="AL384" s="11">
        <v>3608425</v>
      </c>
      <c r="AM384" s="11">
        <v>3608425</v>
      </c>
      <c r="AN384" s="11">
        <v>0</v>
      </c>
      <c r="AO384" s="11">
        <v>3608425</v>
      </c>
      <c r="AP384" s="11">
        <v>0</v>
      </c>
      <c r="AQ384" s="11">
        <v>0</v>
      </c>
      <c r="AR384" t="s">
        <v>651</v>
      </c>
      <c r="AS384" s="4" t="str">
        <f t="shared" ref="AS384:AS386" si="170">+G384</f>
        <v>Participación por la utilización de alcohol potable producido</v>
      </c>
      <c r="AT384" t="str">
        <f t="shared" ref="AT384:AT386" si="171">+D384&amp;AS384&amp;Y384</f>
        <v>154Participación por la utilización de alcohol potable producido3608425</v>
      </c>
      <c r="AU384" t="str">
        <f>+_xlfn.XLOOKUP(AT384,CRUCE!J:J,CRUCE!M:M)</f>
        <v>READY</v>
      </c>
      <c r="AV384" t="s">
        <v>1907</v>
      </c>
      <c r="AW384" s="23">
        <f>+SUMIFS(CRUCE!D:D,CRUCE!A:A,'2022'!D384,CRUCE!B:B,'2022'!AS384)/COUNTIFS(D:D,D384,AS:AS,AS384)</f>
        <v>3608425</v>
      </c>
      <c r="AX384" s="23">
        <f t="shared" ref="AX384:AX386" si="172">+SUMIFS(Y:Y,D:D,D384,AS:AS,AS384)/COUNTIFS(D:D,D384,AS:AS,AS384)</f>
        <v>3608425</v>
      </c>
      <c r="AY384" s="23">
        <f t="shared" ref="AY384:AY386" si="173">+AW384-AX384</f>
        <v>0</v>
      </c>
    </row>
    <row r="385" spans="1:51" x14ac:dyDescent="0.3">
      <c r="A385">
        <v>2022</v>
      </c>
      <c r="B385">
        <v>318</v>
      </c>
      <c r="C385">
        <v>1102070020201</v>
      </c>
      <c r="D385" s="5">
        <v>58</v>
      </c>
      <c r="E385" s="8" t="s">
        <v>1277</v>
      </c>
      <c r="F385">
        <v>1102070020201</v>
      </c>
      <c r="G385" s="8" t="s">
        <v>1114</v>
      </c>
      <c r="H385" t="s">
        <v>643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1804212.5</v>
      </c>
      <c r="X385" s="11">
        <v>0</v>
      </c>
      <c r="Y385" s="17">
        <v>1804212.5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1804212.5</v>
      </c>
      <c r="AG385" s="11">
        <v>0</v>
      </c>
      <c r="AH385" s="12">
        <v>1804212.5</v>
      </c>
      <c r="AI385" s="11">
        <v>1804212.5</v>
      </c>
      <c r="AJ385" s="11">
        <v>0</v>
      </c>
      <c r="AK385" s="11">
        <v>0</v>
      </c>
      <c r="AL385" s="11">
        <v>1804212.5</v>
      </c>
      <c r="AM385" s="11">
        <v>1804212.5</v>
      </c>
      <c r="AN385" s="11">
        <v>0</v>
      </c>
      <c r="AO385" s="11">
        <v>1804212.5</v>
      </c>
      <c r="AP385" s="11">
        <v>0</v>
      </c>
      <c r="AQ385" s="11">
        <v>0</v>
      </c>
      <c r="AR385" t="s">
        <v>684</v>
      </c>
      <c r="AS385" s="4" t="str">
        <f t="shared" si="170"/>
        <v>Participación por la utilización de alcohol potable producido</v>
      </c>
      <c r="AT385" t="str">
        <f t="shared" si="171"/>
        <v>58Participación por la utilización de alcohol potable producido1804212,5</v>
      </c>
      <c r="AU385" t="str">
        <f>+_xlfn.XLOOKUP(AT385,CRUCE!J:J,CRUCE!M:M)</f>
        <v>READY</v>
      </c>
      <c r="AV385" t="s">
        <v>1907</v>
      </c>
      <c r="AW385" s="23">
        <f>+SUMIFS(CRUCE!D:D,CRUCE!A:A,'2022'!D385,CRUCE!B:B,'2022'!AS385)/COUNTIFS(D:D,D385,AS:AS,AS385)</f>
        <v>1804212.5</v>
      </c>
      <c r="AX385" s="23">
        <f t="shared" si="172"/>
        <v>1804212.5</v>
      </c>
      <c r="AY385" s="23">
        <f t="shared" si="173"/>
        <v>0</v>
      </c>
    </row>
    <row r="386" spans="1:51" x14ac:dyDescent="0.3">
      <c r="A386">
        <v>2022</v>
      </c>
      <c r="B386">
        <v>318</v>
      </c>
      <c r="C386">
        <v>1102070020201</v>
      </c>
      <c r="D386" s="5">
        <v>72</v>
      </c>
      <c r="E386" s="8" t="s">
        <v>1278</v>
      </c>
      <c r="F386">
        <v>1102070020201</v>
      </c>
      <c r="G386" s="8" t="s">
        <v>1114</v>
      </c>
      <c r="H386" t="s">
        <v>643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1804212.5</v>
      </c>
      <c r="X386" s="11">
        <v>0</v>
      </c>
      <c r="Y386" s="17">
        <v>1804212.5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1804212.5</v>
      </c>
      <c r="AG386" s="11">
        <v>0</v>
      </c>
      <c r="AH386" s="12">
        <v>1804212.5</v>
      </c>
      <c r="AI386" s="11">
        <v>1804212.5</v>
      </c>
      <c r="AJ386" s="11">
        <v>0</v>
      </c>
      <c r="AK386" s="11">
        <v>0</v>
      </c>
      <c r="AL386" s="11">
        <v>1804212.5</v>
      </c>
      <c r="AM386" s="11">
        <v>1804212.5</v>
      </c>
      <c r="AN386" s="11">
        <v>0</v>
      </c>
      <c r="AO386" s="11">
        <v>1804212.5</v>
      </c>
      <c r="AP386" s="11">
        <v>0</v>
      </c>
      <c r="AQ386" s="11">
        <v>0</v>
      </c>
      <c r="AR386" t="s">
        <v>656</v>
      </c>
      <c r="AS386" s="4" t="str">
        <f t="shared" si="170"/>
        <v>Participación por la utilización de alcohol potable producido</v>
      </c>
      <c r="AT386" t="str">
        <f t="shared" si="171"/>
        <v>72Participación por la utilización de alcohol potable producido1804212,5</v>
      </c>
      <c r="AU386" t="str">
        <f>+_xlfn.XLOOKUP(AT386,CRUCE!J:J,CRUCE!M:M)</f>
        <v>READY</v>
      </c>
      <c r="AV386" t="s">
        <v>1907</v>
      </c>
      <c r="AW386" s="23">
        <f>+SUMIFS(CRUCE!D:D,CRUCE!A:A,'2022'!D386,CRUCE!B:B,'2022'!AS386)/COUNTIFS(D:D,D386,AS:AS,AS386)</f>
        <v>1804212.5</v>
      </c>
      <c r="AX386" s="23">
        <f t="shared" si="172"/>
        <v>1804212.5</v>
      </c>
      <c r="AY386" s="23">
        <f t="shared" si="173"/>
        <v>0</v>
      </c>
    </row>
    <row r="387" spans="1:51" hidden="1" x14ac:dyDescent="0.3">
      <c r="A387">
        <v>2022</v>
      </c>
      <c r="B387">
        <v>318</v>
      </c>
      <c r="C387">
        <v>12</v>
      </c>
      <c r="D387" s="5" t="s">
        <v>44</v>
      </c>
      <c r="E387" s="8" t="s">
        <v>813</v>
      </c>
      <c r="F387">
        <v>12</v>
      </c>
      <c r="G387" s="8" t="s">
        <v>367</v>
      </c>
      <c r="H387" t="s">
        <v>643</v>
      </c>
      <c r="I387" s="11">
        <v>400715436</v>
      </c>
      <c r="J387" s="11">
        <v>400715436</v>
      </c>
      <c r="K387" s="11">
        <v>10415653476.200001</v>
      </c>
      <c r="L387" s="11">
        <v>9062908</v>
      </c>
      <c r="M387" s="11">
        <v>10406590568.200001</v>
      </c>
      <c r="N387" s="11">
        <v>10415653476.200001</v>
      </c>
      <c r="O387" s="11">
        <v>9062908</v>
      </c>
      <c r="P387" s="11">
        <v>10807306004.200001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12065924462.41</v>
      </c>
      <c r="X387" s="11">
        <v>13430067.4</v>
      </c>
      <c r="Y387" s="17">
        <v>12052494395.01</v>
      </c>
      <c r="Z387" s="11">
        <v>0</v>
      </c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11">
        <v>12065924462.41</v>
      </c>
      <c r="AG387" s="11">
        <v>13430067.4</v>
      </c>
      <c r="AH387" s="12">
        <v>12052494395.01</v>
      </c>
      <c r="AI387" s="11">
        <v>12052494395.01</v>
      </c>
      <c r="AJ387" s="11">
        <v>11829097704.52</v>
      </c>
      <c r="AK387" s="11">
        <v>11829097704.52</v>
      </c>
      <c r="AL387" s="11">
        <v>223396690.49000001</v>
      </c>
      <c r="AM387" s="11">
        <v>236826757.88999999</v>
      </c>
      <c r="AN387" s="11">
        <v>13430067.4</v>
      </c>
      <c r="AO387" s="11">
        <v>236826757.88999999</v>
      </c>
      <c r="AP387" s="11">
        <v>0</v>
      </c>
      <c r="AQ387" s="11">
        <v>13430067.4</v>
      </c>
      <c r="AR387" t="s">
        <v>48</v>
      </c>
      <c r="AS387"/>
      <c r="AW387"/>
      <c r="AX387"/>
      <c r="AY387"/>
    </row>
    <row r="388" spans="1:51" hidden="1" x14ac:dyDescent="0.3">
      <c r="A388">
        <v>2022</v>
      </c>
      <c r="B388">
        <v>318</v>
      </c>
      <c r="C388">
        <v>1205</v>
      </c>
      <c r="D388" s="5" t="s">
        <v>44</v>
      </c>
      <c r="E388" s="8" t="s">
        <v>814</v>
      </c>
      <c r="F388">
        <v>1205</v>
      </c>
      <c r="G388" s="8" t="s">
        <v>379</v>
      </c>
      <c r="H388" t="s">
        <v>643</v>
      </c>
      <c r="I388" s="11">
        <v>7000000</v>
      </c>
      <c r="J388" s="11">
        <v>7000000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7000000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236826757.88999999</v>
      </c>
      <c r="X388" s="11">
        <v>13430067.4</v>
      </c>
      <c r="Y388" s="17">
        <v>223396690.49000001</v>
      </c>
      <c r="Z388" s="11">
        <v>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236826757.88999999</v>
      </c>
      <c r="AG388" s="11">
        <v>13430067.4</v>
      </c>
      <c r="AH388" s="12">
        <v>223396690.49000001</v>
      </c>
      <c r="AI388" s="11">
        <v>223396690.49000001</v>
      </c>
      <c r="AJ388" s="11">
        <v>0</v>
      </c>
      <c r="AK388" s="11">
        <v>0</v>
      </c>
      <c r="AL388" s="11">
        <v>223396690.49000001</v>
      </c>
      <c r="AM388" s="11">
        <v>236826757.88999999</v>
      </c>
      <c r="AN388" s="11">
        <v>13430067.4</v>
      </c>
      <c r="AO388" s="11">
        <v>236826757.88999999</v>
      </c>
      <c r="AP388" s="11">
        <v>0</v>
      </c>
      <c r="AQ388" s="11">
        <v>13430067.4</v>
      </c>
      <c r="AR388" t="s">
        <v>48</v>
      </c>
      <c r="AS388"/>
      <c r="AW388"/>
      <c r="AX388"/>
      <c r="AY388"/>
    </row>
    <row r="389" spans="1:51" hidden="1" x14ac:dyDescent="0.3">
      <c r="A389">
        <v>2022</v>
      </c>
      <c r="B389">
        <v>318</v>
      </c>
      <c r="C389">
        <v>120502</v>
      </c>
      <c r="D389" s="5" t="s">
        <v>44</v>
      </c>
      <c r="E389" s="8" t="s">
        <v>815</v>
      </c>
      <c r="F389">
        <v>120502</v>
      </c>
      <c r="G389" s="8" t="s">
        <v>381</v>
      </c>
      <c r="H389" t="s">
        <v>643</v>
      </c>
      <c r="I389" s="11">
        <v>7000000</v>
      </c>
      <c r="J389" s="11">
        <v>7000000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7000000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236826757.88999999</v>
      </c>
      <c r="X389" s="11">
        <v>13430067.4</v>
      </c>
      <c r="Y389" s="17">
        <v>223396690.49000001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236826757.88999999</v>
      </c>
      <c r="AG389" s="11">
        <v>13430067.4</v>
      </c>
      <c r="AH389" s="12">
        <v>223396690.49000001</v>
      </c>
      <c r="AI389" s="11">
        <v>223396690.49000001</v>
      </c>
      <c r="AJ389" s="11">
        <v>0</v>
      </c>
      <c r="AK389" s="11">
        <v>0</v>
      </c>
      <c r="AL389" s="11">
        <v>223396690.49000001</v>
      </c>
      <c r="AM389" s="11">
        <v>236826757.88999999</v>
      </c>
      <c r="AN389" s="11">
        <v>13430067.4</v>
      </c>
      <c r="AO389" s="11">
        <v>236826757.88999999</v>
      </c>
      <c r="AP389" s="11">
        <v>0</v>
      </c>
      <c r="AQ389" s="11">
        <v>13430067.4</v>
      </c>
      <c r="AR389" t="s">
        <v>48</v>
      </c>
      <c r="AS389"/>
      <c r="AW389"/>
      <c r="AX389"/>
      <c r="AY389"/>
    </row>
    <row r="390" spans="1:51" x14ac:dyDescent="0.3">
      <c r="A390">
        <v>2022</v>
      </c>
      <c r="B390">
        <v>318</v>
      </c>
      <c r="C390">
        <v>120502015</v>
      </c>
      <c r="D390" s="5">
        <v>63</v>
      </c>
      <c r="E390" s="8" t="s">
        <v>1279</v>
      </c>
      <c r="F390">
        <v>120502015</v>
      </c>
      <c r="G390" s="8" t="s">
        <v>1280</v>
      </c>
      <c r="H390" t="s">
        <v>643</v>
      </c>
      <c r="I390" s="11">
        <v>1000000</v>
      </c>
      <c r="J390" s="11">
        <v>1000000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1000000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1107493.71</v>
      </c>
      <c r="X390" s="11">
        <v>0</v>
      </c>
      <c r="Y390" s="17">
        <v>1107493.71</v>
      </c>
      <c r="Z390" s="11">
        <v>0</v>
      </c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11">
        <v>1107493.71</v>
      </c>
      <c r="AG390" s="11">
        <v>0</v>
      </c>
      <c r="AH390" s="12">
        <v>1107493.71</v>
      </c>
      <c r="AI390" s="11">
        <v>1107493.71</v>
      </c>
      <c r="AJ390" s="11">
        <v>0</v>
      </c>
      <c r="AK390" s="11">
        <v>0</v>
      </c>
      <c r="AL390" s="11">
        <v>1107493.71</v>
      </c>
      <c r="AM390" s="11">
        <v>1107493.71</v>
      </c>
      <c r="AN390" s="11">
        <v>0</v>
      </c>
      <c r="AO390" s="11">
        <v>1107493.71</v>
      </c>
      <c r="AP390" s="11">
        <v>0</v>
      </c>
      <c r="AQ390" s="11">
        <v>0</v>
      </c>
      <c r="AR390" t="s">
        <v>716</v>
      </c>
      <c r="AS390" s="4" t="str">
        <f t="shared" ref="AS390:AS401" si="174">+G390</f>
        <v>Depósitos Fondo de Estupefacientes</v>
      </c>
      <c r="AT390" t="str">
        <f t="shared" ref="AT390:AT401" si="175">+D390&amp;AS390&amp;Y390</f>
        <v>63Depósitos Fondo de Estupefacientes1107493,71</v>
      </c>
      <c r="AU390" t="str">
        <f>+_xlfn.XLOOKUP(AT390,CRUCE!J:J,CRUCE!M:M)</f>
        <v>READY</v>
      </c>
      <c r="AV390" t="s">
        <v>1907</v>
      </c>
      <c r="AW390" s="23">
        <f>+SUMIFS(CRUCE!D:D,CRUCE!A:A,'2022'!D390,CRUCE!B:B,'2022'!AS390)/COUNTIFS(D:D,D390,AS:AS,AS390)</f>
        <v>1107493.71</v>
      </c>
      <c r="AX390" s="23">
        <f t="shared" ref="AX390:AX401" si="176">+SUMIFS(Y:Y,D:D,D390,AS:AS,AS390)/COUNTIFS(D:D,D390,AS:AS,AS390)</f>
        <v>1107493.71</v>
      </c>
      <c r="AY390" s="23">
        <f t="shared" ref="AY390:AY401" si="177">+AW390-AX390</f>
        <v>0</v>
      </c>
    </row>
    <row r="391" spans="1:51" x14ac:dyDescent="0.3">
      <c r="A391">
        <v>2022</v>
      </c>
      <c r="B391">
        <v>318</v>
      </c>
      <c r="C391">
        <v>120502016</v>
      </c>
      <c r="D391" s="5">
        <v>58</v>
      </c>
      <c r="E391" s="8" t="s">
        <v>1281</v>
      </c>
      <c r="F391">
        <v>120502016</v>
      </c>
      <c r="G391" s="8" t="s">
        <v>1282</v>
      </c>
      <c r="H391" t="s">
        <v>643</v>
      </c>
      <c r="I391" s="11">
        <v>1000000</v>
      </c>
      <c r="J391" s="11">
        <v>1000000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1000000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  <c r="V391" s="11">
        <v>0</v>
      </c>
      <c r="W391" s="11">
        <v>81646374.129999995</v>
      </c>
      <c r="X391" s="11">
        <v>0</v>
      </c>
      <c r="Y391" s="17">
        <v>81646374.129999995</v>
      </c>
      <c r="Z391" s="11">
        <v>0</v>
      </c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11">
        <v>81646374.129999995</v>
      </c>
      <c r="AG391" s="11">
        <v>0</v>
      </c>
      <c r="AH391" s="12">
        <v>81646374.129999995</v>
      </c>
      <c r="AI391" s="11">
        <v>81646374.129999995</v>
      </c>
      <c r="AJ391" s="11">
        <v>0</v>
      </c>
      <c r="AK391" s="11">
        <v>0</v>
      </c>
      <c r="AL391" s="11">
        <v>81646374.129999995</v>
      </c>
      <c r="AM391" s="11">
        <v>81646374.129999995</v>
      </c>
      <c r="AN391" s="11">
        <v>0</v>
      </c>
      <c r="AO391" s="11">
        <v>81646374.129999995</v>
      </c>
      <c r="AP391" s="11">
        <v>0</v>
      </c>
      <c r="AQ391" s="11">
        <v>0</v>
      </c>
      <c r="AR391" t="s">
        <v>684</v>
      </c>
      <c r="AS391" s="4" t="str">
        <f t="shared" si="174"/>
        <v>Depósitos Rentas Cedidas</v>
      </c>
      <c r="AT391" t="str">
        <f t="shared" si="175"/>
        <v>58Depósitos Rentas Cedidas81646374,13</v>
      </c>
      <c r="AU391" t="str">
        <f>+_xlfn.XLOOKUP(AT391,CRUCE!J:J,CRUCE!M:M)</f>
        <v>READY</v>
      </c>
      <c r="AV391" t="s">
        <v>1907</v>
      </c>
      <c r="AW391" s="23">
        <f>+SUMIFS(CRUCE!D:D,CRUCE!A:A,'2022'!D391,CRUCE!B:B,'2022'!AS391)/COUNTIFS(D:D,D391,AS:AS,AS391)</f>
        <v>81646374.129999995</v>
      </c>
      <c r="AX391" s="23">
        <f t="shared" si="176"/>
        <v>81646374.129999995</v>
      </c>
      <c r="AY391" s="23">
        <f t="shared" si="177"/>
        <v>0</v>
      </c>
    </row>
    <row r="392" spans="1:51" x14ac:dyDescent="0.3">
      <c r="A392">
        <v>2022</v>
      </c>
      <c r="B392">
        <v>318</v>
      </c>
      <c r="C392">
        <v>120502016</v>
      </c>
      <c r="D392" s="5">
        <v>72</v>
      </c>
      <c r="E392" s="8" t="s">
        <v>1283</v>
      </c>
      <c r="F392">
        <v>120502016</v>
      </c>
      <c r="G392" s="8" t="s">
        <v>1282</v>
      </c>
      <c r="H392" t="s">
        <v>643</v>
      </c>
      <c r="I392" s="11">
        <v>1000000</v>
      </c>
      <c r="J392" s="11">
        <v>1000000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1000000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5202126.55</v>
      </c>
      <c r="X392" s="11">
        <v>0</v>
      </c>
      <c r="Y392" s="17">
        <v>5202126.55</v>
      </c>
      <c r="Z392" s="11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5202126.55</v>
      </c>
      <c r="AG392" s="11">
        <v>0</v>
      </c>
      <c r="AH392" s="12">
        <v>5202126.55</v>
      </c>
      <c r="AI392" s="11">
        <v>5202126.55</v>
      </c>
      <c r="AJ392" s="11">
        <v>0</v>
      </c>
      <c r="AK392" s="11">
        <v>0</v>
      </c>
      <c r="AL392" s="11">
        <v>5202126.55</v>
      </c>
      <c r="AM392" s="11">
        <v>5202126.55</v>
      </c>
      <c r="AN392" s="11">
        <v>0</v>
      </c>
      <c r="AO392" s="11">
        <v>5202126.55</v>
      </c>
      <c r="AP392" s="11">
        <v>0</v>
      </c>
      <c r="AQ392" s="11">
        <v>0</v>
      </c>
      <c r="AR392" t="s">
        <v>656</v>
      </c>
      <c r="AS392" s="4" t="str">
        <f t="shared" si="174"/>
        <v>Depósitos Rentas Cedidas</v>
      </c>
      <c r="AT392" t="str">
        <f t="shared" si="175"/>
        <v>72Depósitos Rentas Cedidas5202126,55</v>
      </c>
      <c r="AU392" t="str">
        <f>+_xlfn.XLOOKUP(AT392,CRUCE!J:J,CRUCE!M:M)</f>
        <v>READY</v>
      </c>
      <c r="AV392" t="s">
        <v>1907</v>
      </c>
      <c r="AW392" s="23">
        <f>+SUMIFS(CRUCE!D:D,CRUCE!A:A,'2022'!D392,CRUCE!B:B,'2022'!AS392)/COUNTIFS(D:D,D392,AS:AS,AS392)</f>
        <v>5202126.55</v>
      </c>
      <c r="AX392" s="23">
        <f t="shared" si="176"/>
        <v>5202126.55</v>
      </c>
      <c r="AY392" s="23">
        <f t="shared" si="177"/>
        <v>0</v>
      </c>
    </row>
    <row r="393" spans="1:51" x14ac:dyDescent="0.3">
      <c r="A393">
        <v>2022</v>
      </c>
      <c r="B393">
        <v>318</v>
      </c>
      <c r="C393">
        <v>120502017</v>
      </c>
      <c r="D393" s="5">
        <v>171</v>
      </c>
      <c r="E393" s="8" t="s">
        <v>1284</v>
      </c>
      <c r="F393">
        <v>120502017</v>
      </c>
      <c r="G393" s="8" t="s">
        <v>1285</v>
      </c>
      <c r="H393" t="s">
        <v>643</v>
      </c>
      <c r="I393" s="11">
        <v>1000000</v>
      </c>
      <c r="J393" s="11">
        <v>1000000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1000000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26830406.100000001</v>
      </c>
      <c r="X393" s="11">
        <v>0</v>
      </c>
      <c r="Y393" s="17">
        <v>26830406.100000001</v>
      </c>
      <c r="Z393" s="11">
        <v>0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26830406.100000001</v>
      </c>
      <c r="AG393" s="11">
        <v>0</v>
      </c>
      <c r="AH393" s="12">
        <v>26830406.100000001</v>
      </c>
      <c r="AI393" s="11">
        <v>26830406.100000001</v>
      </c>
      <c r="AJ393" s="11">
        <v>0</v>
      </c>
      <c r="AK393" s="11">
        <v>0</v>
      </c>
      <c r="AL393" s="11">
        <v>26830406.100000001</v>
      </c>
      <c r="AM393" s="11">
        <v>26830406.100000001</v>
      </c>
      <c r="AN393" s="11">
        <v>0</v>
      </c>
      <c r="AO393" s="11">
        <v>26830406.100000001</v>
      </c>
      <c r="AP393" s="11">
        <v>0</v>
      </c>
      <c r="AQ393" s="11">
        <v>0</v>
      </c>
      <c r="AR393" t="s">
        <v>730</v>
      </c>
      <c r="AS393" s="4" t="str">
        <f t="shared" si="174"/>
        <v>Depósitos Subsidio de la Oferta</v>
      </c>
      <c r="AT393" t="str">
        <f t="shared" si="175"/>
        <v>171Depósitos Subsidio de la Oferta26830406,1</v>
      </c>
      <c r="AU393" t="str">
        <f>+_xlfn.XLOOKUP(AT393,CRUCE!J:J,CRUCE!M:M)</f>
        <v>READY</v>
      </c>
      <c r="AV393" t="s">
        <v>1907</v>
      </c>
      <c r="AW393" s="23">
        <f>+SUMIFS(CRUCE!D:D,CRUCE!A:A,'2022'!D393,CRUCE!B:B,'2022'!AS393)/COUNTIFS(D:D,D393,AS:AS,AS393)</f>
        <v>26830406.100000001</v>
      </c>
      <c r="AX393" s="23">
        <f t="shared" si="176"/>
        <v>26830406.100000001</v>
      </c>
      <c r="AY393" s="23">
        <f t="shared" si="177"/>
        <v>0</v>
      </c>
    </row>
    <row r="394" spans="1:51" x14ac:dyDescent="0.3">
      <c r="A394">
        <v>2022</v>
      </c>
      <c r="B394">
        <v>318</v>
      </c>
      <c r="C394">
        <v>120502018</v>
      </c>
      <c r="D394" s="5">
        <v>61</v>
      </c>
      <c r="E394" s="8" t="s">
        <v>1286</v>
      </c>
      <c r="F394">
        <v>120502018</v>
      </c>
      <c r="G394" s="8" t="s">
        <v>1287</v>
      </c>
      <c r="H394" t="s">
        <v>643</v>
      </c>
      <c r="I394" s="11">
        <v>3000000</v>
      </c>
      <c r="J394" s="11">
        <v>3000000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3000000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105629190.52</v>
      </c>
      <c r="X394" s="11">
        <v>13426062.92</v>
      </c>
      <c r="Y394" s="17">
        <v>92203127.599999994</v>
      </c>
      <c r="Z394" s="11">
        <v>0</v>
      </c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105629190.52</v>
      </c>
      <c r="AG394" s="11">
        <v>13426062.92</v>
      </c>
      <c r="AH394" s="12">
        <v>92203127.599999994</v>
      </c>
      <c r="AI394" s="11">
        <v>92203127.599999994</v>
      </c>
      <c r="AJ394" s="11">
        <v>0</v>
      </c>
      <c r="AK394" s="11">
        <v>0</v>
      </c>
      <c r="AL394" s="11">
        <v>92203127.599999994</v>
      </c>
      <c r="AM394" s="11">
        <v>105629190.52</v>
      </c>
      <c r="AN394" s="11">
        <v>13426062.92</v>
      </c>
      <c r="AO394" s="11">
        <v>105629190.52</v>
      </c>
      <c r="AP394" s="11">
        <v>0</v>
      </c>
      <c r="AQ394" s="11">
        <v>13426062.92</v>
      </c>
      <c r="AR394" t="s">
        <v>727</v>
      </c>
      <c r="AS394" s="4" t="str">
        <f t="shared" si="174"/>
        <v>Depósitos Salud Púbica</v>
      </c>
      <c r="AT394" t="str">
        <f t="shared" si="175"/>
        <v>61Depósitos Salud Púbica92203127,6</v>
      </c>
      <c r="AU394" t="str">
        <f>+_xlfn.XLOOKUP(AT394,CRUCE!J:J,CRUCE!M:M)</f>
        <v>READY</v>
      </c>
      <c r="AV394" t="s">
        <v>1907</v>
      </c>
      <c r="AW394" s="23">
        <f>+SUMIFS(CRUCE!D:D,CRUCE!A:A,'2022'!D394,CRUCE!B:B,'2022'!AS394)/COUNTIFS(D:D,D394,AS:AS,AS394)</f>
        <v>92203127.599999994</v>
      </c>
      <c r="AX394" s="23">
        <f t="shared" si="176"/>
        <v>92203127.599999994</v>
      </c>
      <c r="AY394" s="23">
        <f t="shared" si="177"/>
        <v>0</v>
      </c>
    </row>
    <row r="395" spans="1:51" x14ac:dyDescent="0.3">
      <c r="A395">
        <v>2022</v>
      </c>
      <c r="B395">
        <v>318</v>
      </c>
      <c r="C395">
        <v>120502023</v>
      </c>
      <c r="D395" s="5">
        <v>161</v>
      </c>
      <c r="E395" s="8" t="s">
        <v>1288</v>
      </c>
      <c r="F395">
        <v>120502023</v>
      </c>
      <c r="G395" s="8" t="s">
        <v>1289</v>
      </c>
      <c r="H395" t="s">
        <v>643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21681.86</v>
      </c>
      <c r="X395" s="11">
        <v>2613.48</v>
      </c>
      <c r="Y395" s="17">
        <v>19068.38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21681.86</v>
      </c>
      <c r="AG395" s="11">
        <v>2613.48</v>
      </c>
      <c r="AH395" s="12">
        <v>19068.38</v>
      </c>
      <c r="AI395" s="11">
        <v>19068.38</v>
      </c>
      <c r="AJ395" s="11">
        <v>0</v>
      </c>
      <c r="AK395" s="11">
        <v>0</v>
      </c>
      <c r="AL395" s="11">
        <v>19068.38</v>
      </c>
      <c r="AM395" s="11">
        <v>21681.86</v>
      </c>
      <c r="AN395" s="11">
        <v>2613.48</v>
      </c>
      <c r="AO395" s="11">
        <v>21681.86</v>
      </c>
      <c r="AP395" s="11">
        <v>0</v>
      </c>
      <c r="AQ395" s="11">
        <v>2613.48</v>
      </c>
      <c r="AR395" t="s">
        <v>853</v>
      </c>
      <c r="AS395" s="4" t="str">
        <f t="shared" si="174"/>
        <v>Depósitos Cofinanciación Nacional Salud Púbilca</v>
      </c>
      <c r="AT395" t="str">
        <f t="shared" si="175"/>
        <v>161Depósitos Cofinanciación Nacional Salud Púbilca19068,38</v>
      </c>
      <c r="AU395" t="str">
        <f>+_xlfn.XLOOKUP(AT395,CRUCE!J:J,CRUCE!M:M)</f>
        <v>READY</v>
      </c>
      <c r="AV395" t="s">
        <v>1907</v>
      </c>
      <c r="AW395" s="23">
        <f>+SUMIFS(CRUCE!D:D,CRUCE!A:A,'2022'!D395,CRUCE!B:B,'2022'!AS395)/COUNTIFS(D:D,D395,AS:AS,AS395)</f>
        <v>19068.38</v>
      </c>
      <c r="AX395" s="23">
        <f t="shared" si="176"/>
        <v>19068.38</v>
      </c>
      <c r="AY395" s="23">
        <f t="shared" si="177"/>
        <v>0</v>
      </c>
    </row>
    <row r="396" spans="1:51" x14ac:dyDescent="0.3">
      <c r="A396">
        <v>2022</v>
      </c>
      <c r="B396">
        <v>318</v>
      </c>
      <c r="C396">
        <v>120502024</v>
      </c>
      <c r="D396" s="5">
        <v>102</v>
      </c>
      <c r="E396" s="8" t="s">
        <v>1290</v>
      </c>
      <c r="F396">
        <v>120502024</v>
      </c>
      <c r="G396" s="8" t="s">
        <v>1291</v>
      </c>
      <c r="H396" t="s">
        <v>643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1095.6300000000001</v>
      </c>
      <c r="X396" s="11">
        <v>0</v>
      </c>
      <c r="Y396" s="17">
        <v>1095.6300000000001</v>
      </c>
      <c r="Z396" s="11">
        <v>0</v>
      </c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11">
        <v>1095.6300000000001</v>
      </c>
      <c r="AG396" s="11">
        <v>0</v>
      </c>
      <c r="AH396" s="12">
        <v>1095.6300000000001</v>
      </c>
      <c r="AI396" s="11">
        <v>1095.6300000000001</v>
      </c>
      <c r="AJ396" s="11">
        <v>0</v>
      </c>
      <c r="AK396" s="11">
        <v>0</v>
      </c>
      <c r="AL396" s="11">
        <v>1095.6300000000001</v>
      </c>
      <c r="AM396" s="11">
        <v>1095.6300000000001</v>
      </c>
      <c r="AN396" s="11">
        <v>0</v>
      </c>
      <c r="AO396" s="11">
        <v>1095.6300000000001</v>
      </c>
      <c r="AP396" s="11">
        <v>0</v>
      </c>
      <c r="AQ396" s="11">
        <v>0</v>
      </c>
      <c r="AR396" t="s">
        <v>856</v>
      </c>
      <c r="AS396" s="4" t="str">
        <f t="shared" si="174"/>
        <v>Depósitos Cofinanciación Nacional de Otros Gastos en salud</v>
      </c>
      <c r="AT396" t="str">
        <f t="shared" si="175"/>
        <v>102Depósitos Cofinanciación Nacional de Otros Gastos en salud1095,63</v>
      </c>
      <c r="AU396" t="str">
        <f>+_xlfn.XLOOKUP(AT396,CRUCE!J:J,CRUCE!M:M)</f>
        <v>READY</v>
      </c>
      <c r="AV396" t="s">
        <v>1907</v>
      </c>
      <c r="AW396" s="23">
        <f>+SUMIFS(CRUCE!D:D,CRUCE!A:A,'2022'!D396,CRUCE!B:B,'2022'!AS396)/COUNTIFS(D:D,D396,AS:AS,AS396)</f>
        <v>1095.6300000000001</v>
      </c>
      <c r="AX396" s="23">
        <f t="shared" si="176"/>
        <v>1095.6300000000001</v>
      </c>
      <c r="AY396" s="23">
        <f t="shared" si="177"/>
        <v>0</v>
      </c>
    </row>
    <row r="397" spans="1:51" x14ac:dyDescent="0.3">
      <c r="A397">
        <v>2022</v>
      </c>
      <c r="B397">
        <v>318</v>
      </c>
      <c r="C397">
        <v>120502026</v>
      </c>
      <c r="D397" s="5">
        <v>152</v>
      </c>
      <c r="E397" s="8" t="s">
        <v>1292</v>
      </c>
      <c r="F397">
        <v>120502026</v>
      </c>
      <c r="G397" s="8" t="s">
        <v>1293</v>
      </c>
      <c r="H397" t="s">
        <v>643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364.09</v>
      </c>
      <c r="X397" s="11">
        <v>0</v>
      </c>
      <c r="Y397" s="17">
        <v>364.09</v>
      </c>
      <c r="Z397" s="11">
        <v>0</v>
      </c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11">
        <v>364.09</v>
      </c>
      <c r="AG397" s="11">
        <v>0</v>
      </c>
      <c r="AH397" s="12">
        <v>364.09</v>
      </c>
      <c r="AI397" s="11">
        <v>364.09</v>
      </c>
      <c r="AJ397" s="11">
        <v>0</v>
      </c>
      <c r="AK397" s="11">
        <v>0</v>
      </c>
      <c r="AL397" s="11">
        <v>364.09</v>
      </c>
      <c r="AM397" s="11">
        <v>364.09</v>
      </c>
      <c r="AN397" s="11">
        <v>0</v>
      </c>
      <c r="AO397" s="11">
        <v>364.09</v>
      </c>
      <c r="AP397" s="11">
        <v>0</v>
      </c>
      <c r="AQ397" s="11">
        <v>0</v>
      </c>
      <c r="AR397" t="s">
        <v>844</v>
      </c>
      <c r="AS397" s="4" t="str">
        <f t="shared" si="174"/>
        <v>Depósitos Excedentes Aportes Patronales</v>
      </c>
      <c r="AT397" t="str">
        <f t="shared" si="175"/>
        <v>152Depósitos Excedentes Aportes Patronales364,09</v>
      </c>
      <c r="AU397" t="str">
        <f>+_xlfn.XLOOKUP(AT397,CRUCE!J:J,CRUCE!M:M)</f>
        <v>READY</v>
      </c>
      <c r="AV397" t="s">
        <v>1907</v>
      </c>
      <c r="AW397" s="23">
        <f>+SUMIFS(CRUCE!D:D,CRUCE!A:A,'2022'!D397,CRUCE!B:B,'2022'!AS397)/COUNTIFS(D:D,D397,AS:AS,AS397)</f>
        <v>364.09</v>
      </c>
      <c r="AX397" s="23">
        <f t="shared" si="176"/>
        <v>364.09</v>
      </c>
      <c r="AY397" s="23">
        <f t="shared" si="177"/>
        <v>0</v>
      </c>
    </row>
    <row r="398" spans="1:51" x14ac:dyDescent="0.3">
      <c r="A398">
        <v>2022</v>
      </c>
      <c r="B398">
        <v>318</v>
      </c>
      <c r="C398">
        <v>120502027</v>
      </c>
      <c r="D398" s="5">
        <v>154</v>
      </c>
      <c r="E398" s="8" t="s">
        <v>1294</v>
      </c>
      <c r="F398">
        <v>120502027</v>
      </c>
      <c r="G398" s="8" t="s">
        <v>1295</v>
      </c>
      <c r="H398" t="s">
        <v>643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14203750.43</v>
      </c>
      <c r="X398" s="11">
        <v>1391</v>
      </c>
      <c r="Y398" s="17">
        <v>14202359.43</v>
      </c>
      <c r="Z398" s="11">
        <v>0</v>
      </c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11">
        <v>14203750.43</v>
      </c>
      <c r="AG398" s="11">
        <v>1391</v>
      </c>
      <c r="AH398" s="12">
        <v>14202359.43</v>
      </c>
      <c r="AI398" s="11">
        <v>14202359.43</v>
      </c>
      <c r="AJ398" s="11">
        <v>0</v>
      </c>
      <c r="AK398" s="11">
        <v>0</v>
      </c>
      <c r="AL398" s="11">
        <v>14202359.43</v>
      </c>
      <c r="AM398" s="11">
        <v>14203750.43</v>
      </c>
      <c r="AN398" s="11">
        <v>1391</v>
      </c>
      <c r="AO398" s="11">
        <v>14203750.43</v>
      </c>
      <c r="AP398" s="11">
        <v>0</v>
      </c>
      <c r="AQ398" s="11">
        <v>1391</v>
      </c>
      <c r="AR398" t="s">
        <v>651</v>
      </c>
      <c r="AS398" s="4" t="str">
        <f t="shared" si="174"/>
        <v>Depósitos Recursos ADRES</v>
      </c>
      <c r="AT398" t="str">
        <f t="shared" si="175"/>
        <v>154Depósitos Recursos ADRES14202359,43</v>
      </c>
      <c r="AU398" t="str">
        <f>+_xlfn.XLOOKUP(AT398,CRUCE!J:J,CRUCE!M:M)</f>
        <v>READY</v>
      </c>
      <c r="AV398" t="s">
        <v>1907</v>
      </c>
      <c r="AW398" s="23">
        <f>+SUMIFS(CRUCE!D:D,CRUCE!A:A,'2022'!D398,CRUCE!B:B,'2022'!AS398)/COUNTIFS(D:D,D398,AS:AS,AS398)</f>
        <v>14202359.43</v>
      </c>
      <c r="AX398" s="23">
        <f t="shared" si="176"/>
        <v>14202359.43</v>
      </c>
      <c r="AY398" s="23">
        <f t="shared" si="177"/>
        <v>0</v>
      </c>
    </row>
    <row r="399" spans="1:51" x14ac:dyDescent="0.3">
      <c r="A399">
        <v>2022</v>
      </c>
      <c r="B399">
        <v>318</v>
      </c>
      <c r="C399">
        <v>120502027</v>
      </c>
      <c r="D399" s="5">
        <v>167</v>
      </c>
      <c r="E399" s="8" t="s">
        <v>1296</v>
      </c>
      <c r="F399">
        <v>120502027</v>
      </c>
      <c r="G399" s="8" t="s">
        <v>1295</v>
      </c>
      <c r="H399" t="s">
        <v>643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  <c r="V399" s="11">
        <v>0</v>
      </c>
      <c r="W399" s="11">
        <v>132749.85999999999</v>
      </c>
      <c r="X399" s="11">
        <v>0</v>
      </c>
      <c r="Y399" s="17">
        <v>132749.85999999999</v>
      </c>
      <c r="Z399" s="11">
        <v>0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132749.85999999999</v>
      </c>
      <c r="AG399" s="11">
        <v>0</v>
      </c>
      <c r="AH399" s="12">
        <v>132749.85999999999</v>
      </c>
      <c r="AI399" s="11">
        <v>132749.85999999999</v>
      </c>
      <c r="AJ399" s="11">
        <v>0</v>
      </c>
      <c r="AK399" s="11">
        <v>0</v>
      </c>
      <c r="AL399" s="11">
        <v>132749.85999999999</v>
      </c>
      <c r="AM399" s="11">
        <v>132749.85999999999</v>
      </c>
      <c r="AN399" s="11">
        <v>0</v>
      </c>
      <c r="AO399" s="11">
        <v>132749.85999999999</v>
      </c>
      <c r="AP399" s="11">
        <v>0</v>
      </c>
      <c r="AQ399" s="11">
        <v>0</v>
      </c>
      <c r="AR399" t="s">
        <v>847</v>
      </c>
      <c r="AS399" s="4" t="str">
        <f t="shared" si="174"/>
        <v>Depósitos Recursos ADRES</v>
      </c>
      <c r="AT399" t="str">
        <f t="shared" si="175"/>
        <v>167Depósitos Recursos ADRES132749,86</v>
      </c>
      <c r="AU399" t="str">
        <f>+_xlfn.XLOOKUP(AT399,CRUCE!J:J,CRUCE!M:M)</f>
        <v>READY</v>
      </c>
      <c r="AV399" t="s">
        <v>1907</v>
      </c>
      <c r="AW399" s="23">
        <f>+SUMIFS(CRUCE!D:D,CRUCE!A:A,'2022'!D399,CRUCE!B:B,'2022'!AS399)/COUNTIFS(D:D,D399,AS:AS,AS399)</f>
        <v>132749.85999999999</v>
      </c>
      <c r="AX399" s="23">
        <f t="shared" si="176"/>
        <v>132749.85999999999</v>
      </c>
      <c r="AY399" s="23">
        <f t="shared" si="177"/>
        <v>0</v>
      </c>
    </row>
    <row r="400" spans="1:51" x14ac:dyDescent="0.3">
      <c r="A400">
        <v>2022</v>
      </c>
      <c r="B400">
        <v>318</v>
      </c>
      <c r="C400">
        <v>120502028</v>
      </c>
      <c r="D400" s="5">
        <v>65</v>
      </c>
      <c r="E400" s="8" t="s">
        <v>1297</v>
      </c>
      <c r="F400">
        <v>120502028</v>
      </c>
      <c r="G400" s="8" t="s">
        <v>1298</v>
      </c>
      <c r="H400" t="s">
        <v>643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2040377.8</v>
      </c>
      <c r="X400" s="11">
        <v>0</v>
      </c>
      <c r="Y400" s="17">
        <v>2040377.8</v>
      </c>
      <c r="Z400" s="11">
        <v>0</v>
      </c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11">
        <v>2040377.8</v>
      </c>
      <c r="AG400" s="11">
        <v>0</v>
      </c>
      <c r="AH400" s="12">
        <v>2040377.8</v>
      </c>
      <c r="AI400" s="11">
        <v>2040377.8</v>
      </c>
      <c r="AJ400" s="11">
        <v>0</v>
      </c>
      <c r="AK400" s="11">
        <v>0</v>
      </c>
      <c r="AL400" s="11">
        <v>2040377.8</v>
      </c>
      <c r="AM400" s="11">
        <v>2040377.8</v>
      </c>
      <c r="AN400" s="11">
        <v>0</v>
      </c>
      <c r="AO400" s="11">
        <v>2040377.8</v>
      </c>
      <c r="AP400" s="11">
        <v>0</v>
      </c>
      <c r="AQ400" s="11">
        <v>0</v>
      </c>
      <c r="AR400" t="s">
        <v>840</v>
      </c>
      <c r="AS400" s="4" t="str">
        <f t="shared" si="174"/>
        <v>Depositos Aportes de la Nacion</v>
      </c>
      <c r="AT400" t="str">
        <f t="shared" si="175"/>
        <v>65Depositos Aportes de la Nacion2040377,8</v>
      </c>
      <c r="AU400" t="str">
        <f>+_xlfn.XLOOKUP(AT400,CRUCE!J:J,CRUCE!M:M)</f>
        <v>READY</v>
      </c>
      <c r="AV400" t="s">
        <v>1907</v>
      </c>
      <c r="AW400" s="23">
        <f>+SUMIFS(CRUCE!D:D,CRUCE!A:A,'2022'!D400,CRUCE!B:B,'2022'!AS400)/COUNTIFS(D:D,D400,AS:AS,AS400)</f>
        <v>2040377.8</v>
      </c>
      <c r="AX400" s="23">
        <f t="shared" si="176"/>
        <v>2040377.8</v>
      </c>
      <c r="AY400" s="23">
        <f t="shared" si="177"/>
        <v>0</v>
      </c>
    </row>
    <row r="401" spans="1:51" x14ac:dyDescent="0.3">
      <c r="A401">
        <v>2022</v>
      </c>
      <c r="B401">
        <v>318</v>
      </c>
      <c r="C401">
        <v>120502029</v>
      </c>
      <c r="D401" s="5">
        <v>96</v>
      </c>
      <c r="E401" s="8" t="s">
        <v>1299</v>
      </c>
      <c r="F401">
        <v>120502029</v>
      </c>
      <c r="G401" s="8" t="s">
        <v>1300</v>
      </c>
      <c r="H401" t="s">
        <v>643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11147.21</v>
      </c>
      <c r="X401" s="11">
        <v>0</v>
      </c>
      <c r="Y401" s="17">
        <v>11147.21</v>
      </c>
      <c r="Z401" s="11">
        <v>0</v>
      </c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11147.21</v>
      </c>
      <c r="AG401" s="11">
        <v>0</v>
      </c>
      <c r="AH401" s="12">
        <v>11147.21</v>
      </c>
      <c r="AI401" s="11">
        <v>11147.21</v>
      </c>
      <c r="AJ401" s="11">
        <v>0</v>
      </c>
      <c r="AK401" s="11">
        <v>0</v>
      </c>
      <c r="AL401" s="11">
        <v>11147.21</v>
      </c>
      <c r="AM401" s="11">
        <v>11147.21</v>
      </c>
      <c r="AN401" s="11">
        <v>0</v>
      </c>
      <c r="AO401" s="11">
        <v>11147.21</v>
      </c>
      <c r="AP401" s="11">
        <v>0</v>
      </c>
      <c r="AQ401" s="11">
        <v>0</v>
      </c>
      <c r="AR401" t="s">
        <v>850</v>
      </c>
      <c r="AS401" s="4" t="str">
        <f t="shared" si="174"/>
        <v>Depósitos  Superávit Rentas Cedidas</v>
      </c>
      <c r="AT401" t="str">
        <f t="shared" si="175"/>
        <v>96Depósitos  Superávit Rentas Cedidas11147,21</v>
      </c>
      <c r="AU401" t="str">
        <f>+_xlfn.XLOOKUP(AT401,CRUCE!J:J,CRUCE!M:M)</f>
        <v>READY</v>
      </c>
      <c r="AV401" t="s">
        <v>1907</v>
      </c>
      <c r="AW401" s="23">
        <f>+SUMIFS(CRUCE!D:D,CRUCE!A:A,'2022'!D401,CRUCE!B:B,'2022'!AS401)/COUNTIFS(D:D,D401,AS:AS,AS401)</f>
        <v>11147.21</v>
      </c>
      <c r="AX401" s="23">
        <f t="shared" si="176"/>
        <v>11147.21</v>
      </c>
      <c r="AY401" s="23">
        <f t="shared" si="177"/>
        <v>0</v>
      </c>
    </row>
    <row r="402" spans="1:51" hidden="1" x14ac:dyDescent="0.3">
      <c r="A402">
        <v>2022</v>
      </c>
      <c r="B402">
        <v>318</v>
      </c>
      <c r="C402">
        <v>1208</v>
      </c>
      <c r="D402" s="5" t="s">
        <v>44</v>
      </c>
      <c r="E402" s="8" t="s">
        <v>857</v>
      </c>
      <c r="F402">
        <v>1208</v>
      </c>
      <c r="G402" s="8" t="s">
        <v>858</v>
      </c>
      <c r="H402" t="s">
        <v>643</v>
      </c>
      <c r="I402" s="11">
        <v>393715436</v>
      </c>
      <c r="J402" s="11">
        <v>393715436</v>
      </c>
      <c r="K402" s="11">
        <v>178238666.68000001</v>
      </c>
      <c r="L402" s="11">
        <v>0</v>
      </c>
      <c r="M402" s="11">
        <v>178238666.68000001</v>
      </c>
      <c r="N402" s="11">
        <v>178238666.68000001</v>
      </c>
      <c r="O402" s="11">
        <v>0</v>
      </c>
      <c r="P402" s="11">
        <v>571954102.67999995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1591682895</v>
      </c>
      <c r="X402" s="11">
        <v>0</v>
      </c>
      <c r="Y402" s="17">
        <v>1591682895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1591682895</v>
      </c>
      <c r="AG402" s="11">
        <v>0</v>
      </c>
      <c r="AH402" s="12">
        <v>1591682895</v>
      </c>
      <c r="AI402" s="11">
        <v>1591682895</v>
      </c>
      <c r="AJ402" s="11">
        <v>1591682895</v>
      </c>
      <c r="AK402" s="11">
        <v>1591682895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t="s">
        <v>48</v>
      </c>
      <c r="AS402"/>
      <c r="AW402"/>
      <c r="AX402"/>
      <c r="AY402"/>
    </row>
    <row r="403" spans="1:51" hidden="1" x14ac:dyDescent="0.3">
      <c r="A403">
        <v>2022</v>
      </c>
      <c r="B403">
        <v>318</v>
      </c>
      <c r="C403">
        <v>120804</v>
      </c>
      <c r="D403" s="5" t="s">
        <v>44</v>
      </c>
      <c r="E403" s="8" t="s">
        <v>859</v>
      </c>
      <c r="F403">
        <v>120804</v>
      </c>
      <c r="G403" s="8" t="s">
        <v>860</v>
      </c>
      <c r="H403" t="s">
        <v>643</v>
      </c>
      <c r="I403" s="11">
        <v>393715436</v>
      </c>
      <c r="J403" s="11">
        <v>393715436</v>
      </c>
      <c r="K403" s="11">
        <v>178238666.68000001</v>
      </c>
      <c r="L403" s="11">
        <v>0</v>
      </c>
      <c r="M403" s="11">
        <v>178238666.68000001</v>
      </c>
      <c r="N403" s="11">
        <v>178238666.68000001</v>
      </c>
      <c r="O403" s="11">
        <v>0</v>
      </c>
      <c r="P403" s="11">
        <v>571954102.67999995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1591682895</v>
      </c>
      <c r="X403" s="11">
        <v>0</v>
      </c>
      <c r="Y403" s="17">
        <v>1591682895</v>
      </c>
      <c r="Z403" s="11">
        <v>0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1591682895</v>
      </c>
      <c r="AG403" s="11">
        <v>0</v>
      </c>
      <c r="AH403" s="12">
        <v>1591682895</v>
      </c>
      <c r="AI403" s="11">
        <v>1591682895</v>
      </c>
      <c r="AJ403" s="11">
        <v>1591682895</v>
      </c>
      <c r="AK403" s="11">
        <v>1591682895</v>
      </c>
      <c r="AL403" s="11">
        <v>0</v>
      </c>
      <c r="AM403" s="11">
        <v>0</v>
      </c>
      <c r="AN403" s="11">
        <v>0</v>
      </c>
      <c r="AO403" s="11">
        <v>0</v>
      </c>
      <c r="AP403" s="11">
        <v>0</v>
      </c>
      <c r="AQ403" s="11">
        <v>0</v>
      </c>
      <c r="AR403" t="s">
        <v>48</v>
      </c>
      <c r="AS403"/>
      <c r="AW403"/>
      <c r="AX403"/>
      <c r="AY403"/>
    </row>
    <row r="404" spans="1:51" hidden="1" x14ac:dyDescent="0.3">
      <c r="A404">
        <v>2022</v>
      </c>
      <c r="B404">
        <v>318</v>
      </c>
      <c r="C404">
        <v>120804001</v>
      </c>
      <c r="D404" s="5" t="s">
        <v>44</v>
      </c>
      <c r="E404" s="8" t="s">
        <v>861</v>
      </c>
      <c r="F404">
        <v>120804001</v>
      </c>
      <c r="G404" s="8" t="s">
        <v>862</v>
      </c>
      <c r="H404" t="s">
        <v>643</v>
      </c>
      <c r="I404" s="11">
        <v>393715436</v>
      </c>
      <c r="J404" s="11">
        <v>393715436</v>
      </c>
      <c r="K404" s="11">
        <v>178238666.68000001</v>
      </c>
      <c r="L404" s="11">
        <v>0</v>
      </c>
      <c r="M404" s="11">
        <v>178238666.68000001</v>
      </c>
      <c r="N404" s="11">
        <v>178238666.68000001</v>
      </c>
      <c r="O404" s="11">
        <v>0</v>
      </c>
      <c r="P404" s="11">
        <v>571954102.67999995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1591682895</v>
      </c>
      <c r="X404" s="11">
        <v>0</v>
      </c>
      <c r="Y404" s="17">
        <v>1591682895</v>
      </c>
      <c r="Z404" s="11">
        <v>0</v>
      </c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11">
        <v>1591682895</v>
      </c>
      <c r="AG404" s="11">
        <v>0</v>
      </c>
      <c r="AH404" s="12">
        <v>1591682895</v>
      </c>
      <c r="AI404" s="11">
        <v>1591682895</v>
      </c>
      <c r="AJ404" s="11">
        <v>1591682895</v>
      </c>
      <c r="AK404" s="11">
        <v>1591682895</v>
      </c>
      <c r="AL404" s="11">
        <v>0</v>
      </c>
      <c r="AM404" s="11">
        <v>0</v>
      </c>
      <c r="AN404" s="11">
        <v>0</v>
      </c>
      <c r="AO404" s="11">
        <v>0</v>
      </c>
      <c r="AP404" s="11">
        <v>0</v>
      </c>
      <c r="AQ404" s="11">
        <v>0</v>
      </c>
      <c r="AR404" t="s">
        <v>48</v>
      </c>
      <c r="AS404"/>
      <c r="AW404"/>
      <c r="AX404"/>
      <c r="AY404"/>
    </row>
    <row r="405" spans="1:51" x14ac:dyDescent="0.3">
      <c r="A405">
        <v>2022</v>
      </c>
      <c r="B405">
        <v>318</v>
      </c>
      <c r="C405">
        <v>12080400101</v>
      </c>
      <c r="D405" s="5">
        <v>154</v>
      </c>
      <c r="E405" s="8" t="s">
        <v>863</v>
      </c>
      <c r="F405">
        <v>12080400101</v>
      </c>
      <c r="G405" s="8" t="s">
        <v>864</v>
      </c>
      <c r="H405" t="s">
        <v>643</v>
      </c>
      <c r="I405" s="11">
        <v>303160885.72000003</v>
      </c>
      <c r="J405" s="11">
        <v>303160885.72000003</v>
      </c>
      <c r="K405" s="11">
        <v>72451597.280000001</v>
      </c>
      <c r="L405" s="11">
        <v>0</v>
      </c>
      <c r="M405" s="11">
        <v>72451597.280000001</v>
      </c>
      <c r="N405" s="11">
        <v>72451597.280000001</v>
      </c>
      <c r="O405" s="11">
        <v>0</v>
      </c>
      <c r="P405" s="11">
        <v>375612483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821820626</v>
      </c>
      <c r="X405" s="11">
        <v>0</v>
      </c>
      <c r="Y405" s="17">
        <v>821820626</v>
      </c>
      <c r="Z405" s="11">
        <v>0</v>
      </c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11">
        <v>821820626</v>
      </c>
      <c r="AG405" s="11">
        <v>0</v>
      </c>
      <c r="AH405" s="12">
        <v>821820626</v>
      </c>
      <c r="AI405" s="11">
        <v>821820626</v>
      </c>
      <c r="AJ405" s="11">
        <v>821820626</v>
      </c>
      <c r="AK405" s="11">
        <v>821820626</v>
      </c>
      <c r="AL405" s="11">
        <v>0</v>
      </c>
      <c r="AM405" s="11">
        <v>0</v>
      </c>
      <c r="AN405" s="11">
        <v>0</v>
      </c>
      <c r="AO405" s="11">
        <v>0</v>
      </c>
      <c r="AP405" s="11">
        <v>0</v>
      </c>
      <c r="AQ405" s="11">
        <v>0</v>
      </c>
      <c r="AR405" t="s">
        <v>651</v>
      </c>
      <c r="AS405" s="4" t="str">
        <f t="shared" ref="AS405:AS407" si="178">+G405</f>
        <v>Premios de juegos de suerte y azar no reclamados - Juego de Loterias</v>
      </c>
      <c r="AT405" t="str">
        <f t="shared" ref="AT405:AT407" si="179">+D405&amp;AS405&amp;Y405</f>
        <v>154Premios de juegos de suerte y azar no reclamados - Juego de Loterias821820626</v>
      </c>
      <c r="AU405" t="str">
        <f>+_xlfn.XLOOKUP(AT405,CRUCE!J:J,CRUCE!M:M)</f>
        <v>READY</v>
      </c>
      <c r="AV405" t="s">
        <v>1907</v>
      </c>
      <c r="AW405" s="23">
        <f>+SUMIFS(CRUCE!D:D,CRUCE!A:A,'2022'!D405,CRUCE!B:B,'2022'!AS405)/COUNTIFS(D:D,D405,AS:AS,AS405)</f>
        <v>821820626</v>
      </c>
      <c r="AX405" s="23">
        <f t="shared" ref="AX405:AX407" si="180">+SUMIFS(Y:Y,D:D,D405,AS:AS,AS405)/COUNTIFS(D:D,D405,AS:AS,AS405)</f>
        <v>821820626</v>
      </c>
      <c r="AY405" s="23">
        <f t="shared" ref="AY405:AY407" si="181">+AW405-AX405</f>
        <v>0</v>
      </c>
    </row>
    <row r="406" spans="1:51" x14ac:dyDescent="0.3">
      <c r="A406">
        <v>2022</v>
      </c>
      <c r="B406">
        <v>318</v>
      </c>
      <c r="C406">
        <v>12080400102</v>
      </c>
      <c r="D406" s="5">
        <v>154</v>
      </c>
      <c r="E406" s="8" t="s">
        <v>865</v>
      </c>
      <c r="F406">
        <v>12080400102</v>
      </c>
      <c r="G406" s="8" t="s">
        <v>866</v>
      </c>
      <c r="H406" t="s">
        <v>643</v>
      </c>
      <c r="I406" s="11">
        <v>51183006.68</v>
      </c>
      <c r="J406" s="11">
        <v>51183006.68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51183006.68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469051182</v>
      </c>
      <c r="X406" s="11">
        <v>0</v>
      </c>
      <c r="Y406" s="17">
        <v>469051182</v>
      </c>
      <c r="Z406" s="11">
        <v>0</v>
      </c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11">
        <v>469051182</v>
      </c>
      <c r="AG406" s="11">
        <v>0</v>
      </c>
      <c r="AH406" s="12">
        <v>469051182</v>
      </c>
      <c r="AI406" s="11">
        <v>469051182</v>
      </c>
      <c r="AJ406" s="11">
        <v>469051182</v>
      </c>
      <c r="AK406" s="11">
        <v>469051182</v>
      </c>
      <c r="AL406" s="11">
        <v>0</v>
      </c>
      <c r="AM406" s="11">
        <v>0</v>
      </c>
      <c r="AN406" s="11">
        <v>0</v>
      </c>
      <c r="AO406" s="11">
        <v>0</v>
      </c>
      <c r="AP406" s="11">
        <v>0</v>
      </c>
      <c r="AQ406" s="11">
        <v>0</v>
      </c>
      <c r="AR406" t="s">
        <v>651</v>
      </c>
      <c r="AS406" s="4" t="str">
        <f t="shared" si="178"/>
        <v>Premios de juegos de suerte y azar no reclamados - Juego de apuestas permanentes o chance</v>
      </c>
      <c r="AT406" t="str">
        <f t="shared" si="179"/>
        <v>154Premios de juegos de suerte y azar no reclamados - Juego de apuestas permanentes o chance469051182</v>
      </c>
      <c r="AU406" t="str">
        <f>+_xlfn.XLOOKUP(AT406,CRUCE!J:J,CRUCE!M:M)</f>
        <v>READY</v>
      </c>
      <c r="AV406" t="s">
        <v>1907</v>
      </c>
      <c r="AW406" s="23">
        <f>+SUMIFS(CRUCE!D:D,CRUCE!A:A,'2022'!D406,CRUCE!B:B,'2022'!AS406)/COUNTIFS(D:D,D406,AS:AS,AS406)</f>
        <v>469051182</v>
      </c>
      <c r="AX406" s="23">
        <f t="shared" si="180"/>
        <v>469051182</v>
      </c>
      <c r="AY406" s="23">
        <f t="shared" si="181"/>
        <v>0</v>
      </c>
    </row>
    <row r="407" spans="1:51" x14ac:dyDescent="0.3">
      <c r="A407">
        <v>2022</v>
      </c>
      <c r="B407">
        <v>318</v>
      </c>
      <c r="C407">
        <v>12080400103</v>
      </c>
      <c r="D407" s="5">
        <v>154</v>
      </c>
      <c r="E407" s="8" t="s">
        <v>867</v>
      </c>
      <c r="F407">
        <v>12080400103</v>
      </c>
      <c r="G407" s="8" t="s">
        <v>868</v>
      </c>
      <c r="H407" t="s">
        <v>643</v>
      </c>
      <c r="I407" s="11">
        <v>39371543.600000001</v>
      </c>
      <c r="J407" s="11">
        <v>39371543.600000001</v>
      </c>
      <c r="K407" s="11">
        <v>105787069.40000001</v>
      </c>
      <c r="L407" s="11">
        <v>0</v>
      </c>
      <c r="M407" s="11">
        <v>105787069.40000001</v>
      </c>
      <c r="N407" s="11">
        <v>105787069.40000001</v>
      </c>
      <c r="O407" s="11">
        <v>0</v>
      </c>
      <c r="P407" s="11">
        <v>145158613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300811087</v>
      </c>
      <c r="X407" s="11">
        <v>0</v>
      </c>
      <c r="Y407" s="17">
        <v>300811087</v>
      </c>
      <c r="Z407" s="11">
        <v>0</v>
      </c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300811087</v>
      </c>
      <c r="AG407" s="11">
        <v>0</v>
      </c>
      <c r="AH407" s="12">
        <v>300811087</v>
      </c>
      <c r="AI407" s="11">
        <v>300811087</v>
      </c>
      <c r="AJ407" s="11">
        <v>300811087</v>
      </c>
      <c r="AK407" s="11">
        <v>300811087</v>
      </c>
      <c r="AL407" s="11">
        <v>0</v>
      </c>
      <c r="AM407" s="11">
        <v>0</v>
      </c>
      <c r="AN407" s="11">
        <v>0</v>
      </c>
      <c r="AO407" s="11">
        <v>0</v>
      </c>
      <c r="AP407" s="11">
        <v>0</v>
      </c>
      <c r="AQ407" s="11">
        <v>0</v>
      </c>
      <c r="AR407" t="s">
        <v>651</v>
      </c>
      <c r="AS407" s="4" t="str">
        <f t="shared" si="178"/>
        <v>Premios de juegos de suerte y azar no reclamados - Juegos novedosos - superastro</v>
      </c>
      <c r="AT407" t="str">
        <f t="shared" si="179"/>
        <v>154Premios de juegos de suerte y azar no reclamados - Juegos novedosos - superastro300811087</v>
      </c>
      <c r="AU407" t="str">
        <f>+_xlfn.XLOOKUP(AT407,CRUCE!J:J,CRUCE!M:M)</f>
        <v>READY</v>
      </c>
      <c r="AV407" t="s">
        <v>1907</v>
      </c>
      <c r="AW407" s="23">
        <f>+SUMIFS(CRUCE!D:D,CRUCE!A:A,'2022'!D407,CRUCE!B:B,'2022'!AS407)/COUNTIFS(D:D,D407,AS:AS,AS407)</f>
        <v>300811087</v>
      </c>
      <c r="AX407" s="23">
        <f t="shared" si="180"/>
        <v>300811087</v>
      </c>
      <c r="AY407" s="23">
        <f t="shared" si="181"/>
        <v>0</v>
      </c>
    </row>
    <row r="408" spans="1:51" hidden="1" x14ac:dyDescent="0.3">
      <c r="A408">
        <v>2022</v>
      </c>
      <c r="B408">
        <v>318</v>
      </c>
      <c r="C408">
        <v>1210</v>
      </c>
      <c r="D408" s="5" t="s">
        <v>44</v>
      </c>
      <c r="E408" s="8" t="s">
        <v>869</v>
      </c>
      <c r="F408">
        <v>1210</v>
      </c>
      <c r="G408" s="8" t="s">
        <v>474</v>
      </c>
      <c r="H408" t="s">
        <v>643</v>
      </c>
      <c r="I408" s="11">
        <v>0</v>
      </c>
      <c r="J408" s="11">
        <v>0</v>
      </c>
      <c r="K408" s="11">
        <v>10237414809.52</v>
      </c>
      <c r="L408" s="11">
        <v>9062908</v>
      </c>
      <c r="M408" s="11">
        <v>10228351901.52</v>
      </c>
      <c r="N408" s="11">
        <v>10237414809.52</v>
      </c>
      <c r="O408" s="11">
        <v>9062908</v>
      </c>
      <c r="P408" s="11">
        <v>10228351901.52</v>
      </c>
      <c r="Q408" s="11">
        <v>0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10237414809.52</v>
      </c>
      <c r="X408" s="11">
        <v>0</v>
      </c>
      <c r="Y408" s="17">
        <v>10237414809.52</v>
      </c>
      <c r="Z408" s="11">
        <v>0</v>
      </c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10237414809.52</v>
      </c>
      <c r="AG408" s="11">
        <v>0</v>
      </c>
      <c r="AH408" s="12">
        <v>10237414809.52</v>
      </c>
      <c r="AI408" s="11">
        <v>10237414809.52</v>
      </c>
      <c r="AJ408" s="11">
        <v>10237414809.52</v>
      </c>
      <c r="AK408" s="11">
        <v>10237414809.52</v>
      </c>
      <c r="AL408" s="11">
        <v>0</v>
      </c>
      <c r="AM408" s="11">
        <v>0</v>
      </c>
      <c r="AN408" s="11">
        <v>0</v>
      </c>
      <c r="AO408" s="11">
        <v>0</v>
      </c>
      <c r="AP408" s="11">
        <v>0</v>
      </c>
      <c r="AQ408" s="11">
        <v>0</v>
      </c>
      <c r="AR408" t="s">
        <v>48</v>
      </c>
      <c r="AS408"/>
      <c r="AW408"/>
      <c r="AX408"/>
      <c r="AY408"/>
    </row>
    <row r="409" spans="1:51" hidden="1" x14ac:dyDescent="0.3">
      <c r="A409">
        <v>2022</v>
      </c>
      <c r="B409">
        <v>318</v>
      </c>
      <c r="C409">
        <v>121002</v>
      </c>
      <c r="D409" s="5" t="s">
        <v>44</v>
      </c>
      <c r="E409" s="8" t="s">
        <v>870</v>
      </c>
      <c r="F409">
        <v>121002</v>
      </c>
      <c r="G409" s="8" t="s">
        <v>476</v>
      </c>
      <c r="H409" t="s">
        <v>643</v>
      </c>
      <c r="I409" s="11">
        <v>0</v>
      </c>
      <c r="J409" s="11">
        <v>0</v>
      </c>
      <c r="K409" s="11">
        <v>10237414809.52</v>
      </c>
      <c r="L409" s="11">
        <v>9062908</v>
      </c>
      <c r="M409" s="11">
        <v>10228351901.52</v>
      </c>
      <c r="N409" s="11">
        <v>10237414809.52</v>
      </c>
      <c r="O409" s="11">
        <v>9062908</v>
      </c>
      <c r="P409" s="11">
        <v>10228351901.52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10237414809.52</v>
      </c>
      <c r="X409" s="11">
        <v>0</v>
      </c>
      <c r="Y409" s="17">
        <v>10237414809.52</v>
      </c>
      <c r="Z409" s="11">
        <v>0</v>
      </c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10237414809.52</v>
      </c>
      <c r="AG409" s="11">
        <v>0</v>
      </c>
      <c r="AH409" s="12">
        <v>10237414809.52</v>
      </c>
      <c r="AI409" s="11">
        <v>10237414809.52</v>
      </c>
      <c r="AJ409" s="11">
        <v>10237414809.52</v>
      </c>
      <c r="AK409" s="11">
        <v>10237414809.52</v>
      </c>
      <c r="AL409" s="11">
        <v>0</v>
      </c>
      <c r="AM409" s="11">
        <v>0</v>
      </c>
      <c r="AN409" s="11">
        <v>0</v>
      </c>
      <c r="AO409" s="11">
        <v>0</v>
      </c>
      <c r="AP409" s="11">
        <v>0</v>
      </c>
      <c r="AQ409" s="11">
        <v>0</v>
      </c>
      <c r="AR409" t="s">
        <v>48</v>
      </c>
      <c r="AS409"/>
      <c r="AW409"/>
      <c r="AX409"/>
      <c r="AY409"/>
    </row>
    <row r="410" spans="1:51" hidden="1" x14ac:dyDescent="0.3">
      <c r="A410">
        <v>2022</v>
      </c>
      <c r="B410">
        <v>318</v>
      </c>
      <c r="C410">
        <v>121002002</v>
      </c>
      <c r="D410" s="5" t="s">
        <v>44</v>
      </c>
      <c r="E410" s="8" t="s">
        <v>871</v>
      </c>
      <c r="F410">
        <v>121002002</v>
      </c>
      <c r="G410" s="8" t="s">
        <v>482</v>
      </c>
      <c r="H410" t="s">
        <v>643</v>
      </c>
      <c r="I410" s="11">
        <v>0</v>
      </c>
      <c r="J410" s="11">
        <v>0</v>
      </c>
      <c r="K410" s="11">
        <v>10237414809.52</v>
      </c>
      <c r="L410" s="11">
        <v>9062908</v>
      </c>
      <c r="M410" s="11">
        <v>10228351901.52</v>
      </c>
      <c r="N410" s="11">
        <v>10237414809.52</v>
      </c>
      <c r="O410" s="11">
        <v>9062908</v>
      </c>
      <c r="P410" s="11">
        <v>10228351901.52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10237414809.52</v>
      </c>
      <c r="X410" s="11">
        <v>0</v>
      </c>
      <c r="Y410" s="17">
        <v>10237414809.52</v>
      </c>
      <c r="Z410" s="11">
        <v>0</v>
      </c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11">
        <v>10237414809.52</v>
      </c>
      <c r="AG410" s="11">
        <v>0</v>
      </c>
      <c r="AH410" s="12">
        <v>10237414809.52</v>
      </c>
      <c r="AI410" s="11">
        <v>10237414809.52</v>
      </c>
      <c r="AJ410" s="11">
        <v>10237414809.52</v>
      </c>
      <c r="AK410" s="11">
        <v>10237414809.52</v>
      </c>
      <c r="AL410" s="11">
        <v>0</v>
      </c>
      <c r="AM410" s="11">
        <v>0</v>
      </c>
      <c r="AN410" s="11">
        <v>0</v>
      </c>
      <c r="AO410" s="11">
        <v>0</v>
      </c>
      <c r="AP410" s="11">
        <v>0</v>
      </c>
      <c r="AQ410" s="11">
        <v>0</v>
      </c>
      <c r="AR410" t="s">
        <v>48</v>
      </c>
      <c r="AS410"/>
      <c r="AW410"/>
      <c r="AX410"/>
      <c r="AY410"/>
    </row>
    <row r="411" spans="1:51" x14ac:dyDescent="0.3">
      <c r="A411">
        <v>2022</v>
      </c>
      <c r="B411">
        <v>318</v>
      </c>
      <c r="C411">
        <v>12100200204</v>
      </c>
      <c r="D411" s="5">
        <v>98</v>
      </c>
      <c r="E411" s="8" t="s">
        <v>872</v>
      </c>
      <c r="F411">
        <v>12100200204</v>
      </c>
      <c r="G411" s="8" t="s">
        <v>873</v>
      </c>
      <c r="H411" t="s">
        <v>643</v>
      </c>
      <c r="I411" s="11">
        <v>0</v>
      </c>
      <c r="J411" s="11">
        <v>0</v>
      </c>
      <c r="K411" s="11">
        <v>2027315384.9400001</v>
      </c>
      <c r="L411" s="11">
        <v>9062908</v>
      </c>
      <c r="M411" s="11">
        <v>2018252476.9400001</v>
      </c>
      <c r="N411" s="11">
        <v>2027315384.9400001</v>
      </c>
      <c r="O411" s="11">
        <v>9062908</v>
      </c>
      <c r="P411" s="11">
        <v>2018252476.9400001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2027315384.9400001</v>
      </c>
      <c r="X411" s="11">
        <v>0</v>
      </c>
      <c r="Y411" s="17">
        <v>2027315384.9400001</v>
      </c>
      <c r="Z411" s="11">
        <v>0</v>
      </c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11">
        <v>2027315384.9400001</v>
      </c>
      <c r="AG411" s="11">
        <v>0</v>
      </c>
      <c r="AH411" s="12">
        <v>2027315384.9400001</v>
      </c>
      <c r="AI411" s="11">
        <v>2027315384.9400001</v>
      </c>
      <c r="AJ411" s="11">
        <v>2027315384.9400001</v>
      </c>
      <c r="AK411" s="11">
        <v>2027315384.9400001</v>
      </c>
      <c r="AL411" s="11">
        <v>0</v>
      </c>
      <c r="AM411" s="11">
        <v>0</v>
      </c>
      <c r="AN411" s="11">
        <v>0</v>
      </c>
      <c r="AO411" s="11">
        <v>0</v>
      </c>
      <c r="AP411" s="11">
        <v>0</v>
      </c>
      <c r="AQ411" s="11">
        <v>0</v>
      </c>
      <c r="AR411" t="s">
        <v>874</v>
      </c>
      <c r="AS411" s="4" t="str">
        <f t="shared" ref="AS411:AS421" si="182">+G411</f>
        <v>Superávit SGP Salud Pública</v>
      </c>
      <c r="AT411" t="str">
        <f t="shared" ref="AT411:AT423" si="183">+D411&amp;AS411&amp;Y411</f>
        <v>98Superávit SGP Salud Pública2027315384,94</v>
      </c>
      <c r="AU411" t="str">
        <f>+_xlfn.XLOOKUP(AT411,CRUCE!J:J,CRUCE!M:M)</f>
        <v>READY</v>
      </c>
      <c r="AV411" t="s">
        <v>1907</v>
      </c>
      <c r="AW411" s="23">
        <f>+SUMIFS(CRUCE!D:D,CRUCE!A:A,'2022'!D411,CRUCE!B:B,'2022'!AS411)/COUNTIFS(D:D,D411,AS:AS,AS411)</f>
        <v>2027315384.9400001</v>
      </c>
      <c r="AX411" s="23">
        <f t="shared" ref="AX411:AX423" si="184">+SUMIFS(Y:Y,D:D,D411,AS:AS,AS411)/COUNTIFS(D:D,D411,AS:AS,AS411)</f>
        <v>2027315384.9400001</v>
      </c>
      <c r="AY411" s="23">
        <f t="shared" ref="AY411:AY423" si="185">+AW411-AX411</f>
        <v>0</v>
      </c>
    </row>
    <row r="412" spans="1:51" x14ac:dyDescent="0.3">
      <c r="A412">
        <v>2022</v>
      </c>
      <c r="B412">
        <v>318</v>
      </c>
      <c r="C412">
        <v>12100200225</v>
      </c>
      <c r="D412" s="5">
        <v>198</v>
      </c>
      <c r="E412" s="8" t="s">
        <v>880</v>
      </c>
      <c r="F412">
        <v>12100200225</v>
      </c>
      <c r="G412" s="8" t="s">
        <v>881</v>
      </c>
      <c r="H412" t="s">
        <v>643</v>
      </c>
      <c r="I412" s="11">
        <v>0</v>
      </c>
      <c r="J412" s="11">
        <v>0</v>
      </c>
      <c r="K412" s="11">
        <v>468599154.12</v>
      </c>
      <c r="L412" s="11">
        <v>0</v>
      </c>
      <c r="M412" s="11">
        <v>468599154.12</v>
      </c>
      <c r="N412" s="11">
        <v>468599154.12</v>
      </c>
      <c r="O412" s="11">
        <v>0</v>
      </c>
      <c r="P412" s="11">
        <v>468599154.12</v>
      </c>
      <c r="Q412" s="11">
        <v>0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468599154.12</v>
      </c>
      <c r="X412" s="11">
        <v>0</v>
      </c>
      <c r="Y412" s="17">
        <v>468599154.12</v>
      </c>
      <c r="Z412" s="11">
        <v>0</v>
      </c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468599154.12</v>
      </c>
      <c r="AG412" s="11">
        <v>0</v>
      </c>
      <c r="AH412" s="12">
        <v>468599154.12</v>
      </c>
      <c r="AI412" s="11">
        <v>468599154.12</v>
      </c>
      <c r="AJ412" s="11">
        <v>468599154.12</v>
      </c>
      <c r="AK412" s="11">
        <v>468599154.12</v>
      </c>
      <c r="AL412" s="11">
        <v>0</v>
      </c>
      <c r="AM412" s="11">
        <v>0</v>
      </c>
      <c r="AN412" s="11">
        <v>0</v>
      </c>
      <c r="AO412" s="11">
        <v>0</v>
      </c>
      <c r="AP412" s="11">
        <v>0</v>
      </c>
      <c r="AQ412" s="11">
        <v>0</v>
      </c>
      <c r="AR412" t="s">
        <v>882</v>
      </c>
      <c r="AS412" s="4" t="str">
        <f t="shared" si="182"/>
        <v>Superávit Fondo de SAlvamento y Grantias para la Salud FONSAET</v>
      </c>
      <c r="AT412" t="str">
        <f t="shared" si="183"/>
        <v>198Superávit Fondo de SAlvamento y Grantias para la Salud FONSAET468599154,12</v>
      </c>
      <c r="AU412" t="str">
        <f>+_xlfn.XLOOKUP(AT412,CRUCE!J:J,CRUCE!M:M)</f>
        <v>READY</v>
      </c>
      <c r="AV412" t="s">
        <v>1907</v>
      </c>
      <c r="AW412" s="23">
        <f>+SUMIFS(CRUCE!D:D,CRUCE!A:A,'2022'!D412,CRUCE!B:B,'2022'!AS412)/COUNTIFS(D:D,D412,AS:AS,AS412)</f>
        <v>468599154.12</v>
      </c>
      <c r="AX412" s="23">
        <f t="shared" si="184"/>
        <v>468599154.12</v>
      </c>
      <c r="AY412" s="23">
        <f t="shared" si="185"/>
        <v>0</v>
      </c>
    </row>
    <row r="413" spans="1:51" x14ac:dyDescent="0.3">
      <c r="A413">
        <v>2022</v>
      </c>
      <c r="B413">
        <v>318</v>
      </c>
      <c r="C413">
        <v>12100200226</v>
      </c>
      <c r="D413" s="5">
        <v>96</v>
      </c>
      <c r="E413" s="8" t="s">
        <v>1301</v>
      </c>
      <c r="F413">
        <v>12100200226</v>
      </c>
      <c r="G413" s="8" t="s">
        <v>884</v>
      </c>
      <c r="H413" t="s">
        <v>643</v>
      </c>
      <c r="I413" s="11">
        <v>0</v>
      </c>
      <c r="J413" s="11">
        <v>0</v>
      </c>
      <c r="K413" s="11">
        <v>1104800028.0799999</v>
      </c>
      <c r="L413" s="11">
        <v>0</v>
      </c>
      <c r="M413" s="11">
        <v>1104800028.0799999</v>
      </c>
      <c r="N413" s="11">
        <v>1104800028.0799999</v>
      </c>
      <c r="O413" s="11">
        <v>0</v>
      </c>
      <c r="P413" s="11">
        <v>1104800028.0799999</v>
      </c>
      <c r="Q413" s="11">
        <v>0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1104800028.0799999</v>
      </c>
      <c r="X413" s="11">
        <v>0</v>
      </c>
      <c r="Y413" s="17">
        <v>1104800028.0799999</v>
      </c>
      <c r="Z413" s="11">
        <v>0</v>
      </c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11">
        <v>1104800028.0799999</v>
      </c>
      <c r="AG413" s="11">
        <v>0</v>
      </c>
      <c r="AH413" s="12">
        <v>1104800028.0799999</v>
      </c>
      <c r="AI413" s="11">
        <v>1104800028.0799999</v>
      </c>
      <c r="AJ413" s="11">
        <v>1104800028.0799999</v>
      </c>
      <c r="AK413" s="11">
        <v>1104800028.0799999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t="s">
        <v>850</v>
      </c>
      <c r="AS413" s="4" t="str">
        <f t="shared" si="182"/>
        <v>Superávit Rentas Cedidas Subcuenta Otros Gastos en Salud</v>
      </c>
      <c r="AT413" t="str">
        <f t="shared" si="183"/>
        <v>96Superávit Rentas Cedidas Subcuenta Otros Gastos en Salud1104800028,08</v>
      </c>
      <c r="AU413" t="str">
        <f>+_xlfn.XLOOKUP(AT413,CRUCE!J:J,CRUCE!M:M)</f>
        <v>READY</v>
      </c>
      <c r="AV413" t="s">
        <v>1907</v>
      </c>
      <c r="AW413" s="23">
        <f>+SUMIFS(CRUCE!D:D,CRUCE!A:A,'2022'!D413,CRUCE!B:B,'2022'!AS413)/COUNTIFS(D:D,D413,AS:AS,AS413)</f>
        <v>1104800028.0799999</v>
      </c>
      <c r="AX413" s="23">
        <f t="shared" si="184"/>
        <v>1104800028.0799999</v>
      </c>
      <c r="AY413" s="23">
        <f t="shared" si="185"/>
        <v>0</v>
      </c>
    </row>
    <row r="414" spans="1:51" x14ac:dyDescent="0.3">
      <c r="A414">
        <v>2022</v>
      </c>
      <c r="B414">
        <v>318</v>
      </c>
      <c r="C414">
        <v>12100200227</v>
      </c>
      <c r="D414" s="5">
        <v>200</v>
      </c>
      <c r="E414" s="8" t="s">
        <v>886</v>
      </c>
      <c r="F414">
        <v>12100200227</v>
      </c>
      <c r="G414" s="8" t="s">
        <v>887</v>
      </c>
      <c r="H414" t="s">
        <v>643</v>
      </c>
      <c r="I414" s="11">
        <v>0</v>
      </c>
      <c r="J414" s="11">
        <v>0</v>
      </c>
      <c r="K414" s="11">
        <v>2077416.68</v>
      </c>
      <c r="L414" s="11">
        <v>0</v>
      </c>
      <c r="M414" s="11">
        <v>2077416.68</v>
      </c>
      <c r="N414" s="11">
        <v>2077416.68</v>
      </c>
      <c r="O414" s="11">
        <v>0</v>
      </c>
      <c r="P414" s="11">
        <v>2077416.68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2077416.68</v>
      </c>
      <c r="X414" s="11">
        <v>0</v>
      </c>
      <c r="Y414" s="17">
        <v>2077416.68</v>
      </c>
      <c r="Z414" s="11">
        <v>0</v>
      </c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11">
        <v>2077416.68</v>
      </c>
      <c r="AG414" s="11">
        <v>0</v>
      </c>
      <c r="AH414" s="12">
        <v>2077416.68</v>
      </c>
      <c r="AI414" s="11">
        <v>2077416.68</v>
      </c>
      <c r="AJ414" s="11">
        <v>2077416.68</v>
      </c>
      <c r="AK414" s="11">
        <v>2077416.68</v>
      </c>
      <c r="AL414" s="11">
        <v>0</v>
      </c>
      <c r="AM414" s="11">
        <v>0</v>
      </c>
      <c r="AN414" s="11">
        <v>0</v>
      </c>
      <c r="AO414" s="11">
        <v>0</v>
      </c>
      <c r="AP414" s="11">
        <v>0</v>
      </c>
      <c r="AQ414" s="11">
        <v>0</v>
      </c>
      <c r="AR414" t="s">
        <v>888</v>
      </c>
      <c r="AS414" s="4" t="str">
        <f t="shared" si="182"/>
        <v>Superávit COLCIENCIAS</v>
      </c>
      <c r="AT414" t="str">
        <f t="shared" si="183"/>
        <v>200Superávit COLCIENCIAS2077416,68</v>
      </c>
      <c r="AU414" t="str">
        <f>+_xlfn.XLOOKUP(AT414,CRUCE!J:J,CRUCE!M:M)</f>
        <v>READY</v>
      </c>
      <c r="AV414" t="s">
        <v>1907</v>
      </c>
      <c r="AW414" s="23">
        <f>+SUMIFS(CRUCE!D:D,CRUCE!A:A,'2022'!D414,CRUCE!B:B,'2022'!AS414)/COUNTIFS(D:D,D414,AS:AS,AS414)</f>
        <v>2077416.68</v>
      </c>
      <c r="AX414" s="23">
        <f t="shared" si="184"/>
        <v>2077416.68</v>
      </c>
      <c r="AY414" s="23">
        <f t="shared" si="185"/>
        <v>0</v>
      </c>
    </row>
    <row r="415" spans="1:51" x14ac:dyDescent="0.3">
      <c r="A415">
        <v>2022</v>
      </c>
      <c r="B415">
        <v>318</v>
      </c>
      <c r="C415">
        <v>12100200228</v>
      </c>
      <c r="D415" s="5">
        <v>99</v>
      </c>
      <c r="E415" s="8" t="s">
        <v>889</v>
      </c>
      <c r="F415">
        <v>12100200228</v>
      </c>
      <c r="G415" s="8" t="s">
        <v>890</v>
      </c>
      <c r="H415" t="s">
        <v>643</v>
      </c>
      <c r="I415" s="11">
        <v>0</v>
      </c>
      <c r="J415" s="11">
        <v>0</v>
      </c>
      <c r="K415" s="11">
        <v>822090149.62</v>
      </c>
      <c r="L415" s="11">
        <v>0</v>
      </c>
      <c r="M415" s="11">
        <v>822090149.62</v>
      </c>
      <c r="N415" s="11">
        <v>822090149.62</v>
      </c>
      <c r="O415" s="11">
        <v>0</v>
      </c>
      <c r="P415" s="11">
        <v>822090149.62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822090149.62</v>
      </c>
      <c r="X415" s="11">
        <v>0</v>
      </c>
      <c r="Y415" s="17">
        <v>822090149.62</v>
      </c>
      <c r="Z415" s="11">
        <v>0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822090149.62</v>
      </c>
      <c r="AG415" s="11">
        <v>0</v>
      </c>
      <c r="AH415" s="12">
        <v>822090149.62</v>
      </c>
      <c r="AI415" s="11">
        <v>822090149.62</v>
      </c>
      <c r="AJ415" s="11">
        <v>822090149.62</v>
      </c>
      <c r="AK415" s="11">
        <v>822090149.62</v>
      </c>
      <c r="AL415" s="11">
        <v>0</v>
      </c>
      <c r="AM415" s="11">
        <v>0</v>
      </c>
      <c r="AN415" s="11">
        <v>0</v>
      </c>
      <c r="AO415" s="11">
        <v>0</v>
      </c>
      <c r="AP415" s="11">
        <v>0</v>
      </c>
      <c r="AQ415" s="11">
        <v>0</v>
      </c>
      <c r="AR415" t="s">
        <v>891</v>
      </c>
      <c r="AS415" s="4" t="str">
        <f t="shared" si="182"/>
        <v>Superávit Fondo de Estupefacientes</v>
      </c>
      <c r="AT415" t="str">
        <f t="shared" si="183"/>
        <v>99Superávit Fondo de Estupefacientes822090149,62</v>
      </c>
      <c r="AU415" t="str">
        <f>+_xlfn.XLOOKUP(AT415,CRUCE!J:J,CRUCE!M:M)</f>
        <v>READY</v>
      </c>
      <c r="AV415" t="s">
        <v>1907</v>
      </c>
      <c r="AW415" s="23">
        <f>+SUMIFS(CRUCE!D:D,CRUCE!A:A,'2022'!D415,CRUCE!B:B,'2022'!AS415)/COUNTIFS(D:D,D415,AS:AS,AS415)</f>
        <v>822090149.62</v>
      </c>
      <c r="AX415" s="23">
        <f t="shared" si="184"/>
        <v>822090149.62</v>
      </c>
      <c r="AY415" s="23">
        <f t="shared" si="185"/>
        <v>0</v>
      </c>
    </row>
    <row r="416" spans="1:51" x14ac:dyDescent="0.3">
      <c r="A416">
        <v>2022</v>
      </c>
      <c r="B416">
        <v>318</v>
      </c>
      <c r="C416">
        <v>12100200229</v>
      </c>
      <c r="D416" s="5">
        <v>191</v>
      </c>
      <c r="E416" s="8" t="s">
        <v>892</v>
      </c>
      <c r="F416">
        <v>12100200229</v>
      </c>
      <c r="G416" s="8" t="s">
        <v>893</v>
      </c>
      <c r="H416" t="s">
        <v>643</v>
      </c>
      <c r="I416" s="11">
        <v>0</v>
      </c>
      <c r="J416" s="11">
        <v>0</v>
      </c>
      <c r="K416" s="11">
        <v>27051355.399999999</v>
      </c>
      <c r="L416" s="11">
        <v>0</v>
      </c>
      <c r="M416" s="11">
        <v>27051355.399999999</v>
      </c>
      <c r="N416" s="11">
        <v>27051355.399999999</v>
      </c>
      <c r="O416" s="11">
        <v>0</v>
      </c>
      <c r="P416" s="11">
        <v>27051355.399999999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27051355.399999999</v>
      </c>
      <c r="X416" s="11">
        <v>0</v>
      </c>
      <c r="Y416" s="17">
        <v>27051355.399999999</v>
      </c>
      <c r="Z416" s="11">
        <v>0</v>
      </c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27051355.399999999</v>
      </c>
      <c r="AG416" s="11">
        <v>0</v>
      </c>
      <c r="AH416" s="12">
        <v>27051355.399999999</v>
      </c>
      <c r="AI416" s="11">
        <v>27051355.399999999</v>
      </c>
      <c r="AJ416" s="11">
        <v>27051355.399999999</v>
      </c>
      <c r="AK416" s="11">
        <v>27051355.399999999</v>
      </c>
      <c r="AL416" s="11">
        <v>0</v>
      </c>
      <c r="AM416" s="11">
        <v>0</v>
      </c>
      <c r="AN416" s="11">
        <v>0</v>
      </c>
      <c r="AO416" s="11">
        <v>0</v>
      </c>
      <c r="AP416" s="11">
        <v>0</v>
      </c>
      <c r="AQ416" s="11">
        <v>0</v>
      </c>
      <c r="AR416" t="s">
        <v>894</v>
      </c>
      <c r="AS416" s="4" t="str">
        <f t="shared" si="182"/>
        <v>Superávit Rentas Cedidas Subcuenta Regimen Subsidiado</v>
      </c>
      <c r="AT416" t="str">
        <f t="shared" si="183"/>
        <v>191Superávit Rentas Cedidas Subcuenta Regimen Subsidiado27051355,4</v>
      </c>
      <c r="AU416" t="str">
        <f>+_xlfn.XLOOKUP(AT416,CRUCE!J:J,CRUCE!M:M)</f>
        <v>READY</v>
      </c>
      <c r="AV416" t="s">
        <v>1907</v>
      </c>
      <c r="AW416" s="23">
        <f>+SUMIFS(CRUCE!D:D,CRUCE!A:A,'2022'!D416,CRUCE!B:B,'2022'!AS416)/COUNTIFS(D:D,D416,AS:AS,AS416)</f>
        <v>27051355.399999999</v>
      </c>
      <c r="AX416" s="23">
        <f t="shared" si="184"/>
        <v>27051355.399999999</v>
      </c>
      <c r="AY416" s="23">
        <f t="shared" si="185"/>
        <v>0</v>
      </c>
    </row>
    <row r="417" spans="1:51" x14ac:dyDescent="0.3">
      <c r="A417">
        <v>2022</v>
      </c>
      <c r="B417">
        <v>318</v>
      </c>
      <c r="C417">
        <v>12100200230</v>
      </c>
      <c r="D417" s="5">
        <v>97</v>
      </c>
      <c r="E417" s="8" t="s">
        <v>895</v>
      </c>
      <c r="F417">
        <v>12100200230</v>
      </c>
      <c r="G417" s="8" t="s">
        <v>896</v>
      </c>
      <c r="H417" t="s">
        <v>643</v>
      </c>
      <c r="I417" s="11">
        <v>0</v>
      </c>
      <c r="J417" s="11">
        <v>0</v>
      </c>
      <c r="K417" s="11">
        <v>1889.57</v>
      </c>
      <c r="L417" s="11">
        <v>0</v>
      </c>
      <c r="M417" s="11">
        <v>1889.57</v>
      </c>
      <c r="N417" s="11">
        <v>1889.57</v>
      </c>
      <c r="O417" s="11">
        <v>0</v>
      </c>
      <c r="P417" s="11">
        <v>1889.57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1889.57</v>
      </c>
      <c r="X417" s="11">
        <v>0</v>
      </c>
      <c r="Y417" s="17">
        <v>1889.57</v>
      </c>
      <c r="Z417" s="11">
        <v>0</v>
      </c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11">
        <v>1889.57</v>
      </c>
      <c r="AG417" s="11">
        <v>0</v>
      </c>
      <c r="AH417" s="12">
        <v>1889.57</v>
      </c>
      <c r="AI417" s="11">
        <v>1889.57</v>
      </c>
      <c r="AJ417" s="11">
        <v>1889.57</v>
      </c>
      <c r="AK417" s="11">
        <v>1889.57</v>
      </c>
      <c r="AL417" s="11">
        <v>0</v>
      </c>
      <c r="AM417" s="11">
        <v>0</v>
      </c>
      <c r="AN417" s="11">
        <v>0</v>
      </c>
      <c r="AO417" s="11">
        <v>0</v>
      </c>
      <c r="AP417" s="11">
        <v>0</v>
      </c>
      <c r="AQ417" s="11">
        <v>0</v>
      </c>
      <c r="AR417" t="s">
        <v>897</v>
      </c>
      <c r="AS417" s="4" t="str">
        <f t="shared" si="182"/>
        <v>Superávit SGP Prestacion del Servivio</v>
      </c>
      <c r="AT417" t="str">
        <f t="shared" si="183"/>
        <v>97Superávit SGP Prestacion del Servivio1889,57</v>
      </c>
      <c r="AU417" t="str">
        <f>+_xlfn.XLOOKUP(AT417,CRUCE!J:J,CRUCE!M:M)</f>
        <v>READY</v>
      </c>
      <c r="AV417" t="s">
        <v>1907</v>
      </c>
      <c r="AW417" s="23">
        <f>+SUMIFS(CRUCE!D:D,CRUCE!A:A,'2022'!D417,CRUCE!B:B,'2022'!AS417)/COUNTIFS(D:D,D417,AS:AS,AS417)</f>
        <v>1889.57</v>
      </c>
      <c r="AX417" s="23">
        <f t="shared" si="184"/>
        <v>1889.57</v>
      </c>
      <c r="AY417" s="23">
        <f t="shared" si="185"/>
        <v>0</v>
      </c>
    </row>
    <row r="418" spans="1:51" x14ac:dyDescent="0.3">
      <c r="A418">
        <v>2022</v>
      </c>
      <c r="B418">
        <v>318</v>
      </c>
      <c r="C418">
        <v>12100200231</v>
      </c>
      <c r="D418" s="5">
        <v>192</v>
      </c>
      <c r="E418" s="8" t="s">
        <v>898</v>
      </c>
      <c r="F418">
        <v>12100200231</v>
      </c>
      <c r="G418" s="8" t="s">
        <v>899</v>
      </c>
      <c r="H418" t="s">
        <v>643</v>
      </c>
      <c r="I418" s="11">
        <v>0</v>
      </c>
      <c r="J418" s="11">
        <v>0</v>
      </c>
      <c r="K418" s="11">
        <v>144394752.27000001</v>
      </c>
      <c r="L418" s="11">
        <v>0</v>
      </c>
      <c r="M418" s="11">
        <v>144394752.27000001</v>
      </c>
      <c r="N418" s="11">
        <v>144394752.27000001</v>
      </c>
      <c r="O418" s="11">
        <v>0</v>
      </c>
      <c r="P418" s="11">
        <v>144394752.27000001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144394752.27000001</v>
      </c>
      <c r="X418" s="11">
        <v>0</v>
      </c>
      <c r="Y418" s="17">
        <v>144394752.27000001</v>
      </c>
      <c r="Z418" s="11">
        <v>0</v>
      </c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11">
        <v>144394752.27000001</v>
      </c>
      <c r="AG418" s="11">
        <v>0</v>
      </c>
      <c r="AH418" s="12">
        <v>144394752.27000001</v>
      </c>
      <c r="AI418" s="11">
        <v>144394752.27000001</v>
      </c>
      <c r="AJ418" s="11">
        <v>144394752.27000001</v>
      </c>
      <c r="AK418" s="11">
        <v>144394752.27000001</v>
      </c>
      <c r="AL418" s="11">
        <v>0</v>
      </c>
      <c r="AM418" s="11">
        <v>0</v>
      </c>
      <c r="AN418" s="11">
        <v>0</v>
      </c>
      <c r="AO418" s="11">
        <v>0</v>
      </c>
      <c r="AP418" s="11">
        <v>0</v>
      </c>
      <c r="AQ418" s="11">
        <v>0</v>
      </c>
      <c r="AR418" t="s">
        <v>900</v>
      </c>
      <c r="AS418" s="4" t="str">
        <f t="shared" si="182"/>
        <v>Superávit SGP Subsidio de la Oferta</v>
      </c>
      <c r="AT418" t="str">
        <f t="shared" si="183"/>
        <v>192Superávit SGP Subsidio de la Oferta144394752,27</v>
      </c>
      <c r="AU418" t="str">
        <f>+_xlfn.XLOOKUP(AT418,CRUCE!J:J,CRUCE!M:M)</f>
        <v>READY</v>
      </c>
      <c r="AV418" t="s">
        <v>1907</v>
      </c>
      <c r="AW418" s="23">
        <f>+SUMIFS(CRUCE!D:D,CRUCE!A:A,'2022'!D418,CRUCE!B:B,'2022'!AS418)/COUNTIFS(D:D,D418,AS:AS,AS418)</f>
        <v>144394752.27000001</v>
      </c>
      <c r="AX418" s="23">
        <f t="shared" si="184"/>
        <v>144394752.27000001</v>
      </c>
      <c r="AY418" s="23">
        <f t="shared" si="185"/>
        <v>0</v>
      </c>
    </row>
    <row r="419" spans="1:51" x14ac:dyDescent="0.3">
      <c r="A419">
        <v>2022</v>
      </c>
      <c r="B419">
        <v>318</v>
      </c>
      <c r="C419">
        <v>12100200232</v>
      </c>
      <c r="D419" s="5">
        <v>193</v>
      </c>
      <c r="E419" s="8" t="s">
        <v>901</v>
      </c>
      <c r="F419">
        <v>12100200232</v>
      </c>
      <c r="G419" s="8" t="s">
        <v>902</v>
      </c>
      <c r="H419" t="s">
        <v>643</v>
      </c>
      <c r="I419" s="11">
        <v>0</v>
      </c>
      <c r="J419" s="11">
        <v>0</v>
      </c>
      <c r="K419" s="11">
        <v>1165629392.29</v>
      </c>
      <c r="L419" s="11">
        <v>0</v>
      </c>
      <c r="M419" s="11">
        <v>1165629392.29</v>
      </c>
      <c r="N419" s="11">
        <v>1165629392.29</v>
      </c>
      <c r="O419" s="11">
        <v>0</v>
      </c>
      <c r="P419" s="11">
        <v>1165629392.29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1165629392.29</v>
      </c>
      <c r="X419" s="11">
        <v>0</v>
      </c>
      <c r="Y419" s="17">
        <v>1165629392.29</v>
      </c>
      <c r="Z419" s="11">
        <v>0</v>
      </c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11">
        <v>1165629392.29</v>
      </c>
      <c r="AG419" s="11">
        <v>0</v>
      </c>
      <c r="AH419" s="12">
        <v>1165629392.29</v>
      </c>
      <c r="AI419" s="11">
        <v>1165629392.29</v>
      </c>
      <c r="AJ419" s="11">
        <v>1165629392.29</v>
      </c>
      <c r="AK419" s="11">
        <v>1165629392.29</v>
      </c>
      <c r="AL419" s="11">
        <v>0</v>
      </c>
      <c r="AM419" s="11">
        <v>0</v>
      </c>
      <c r="AN419" s="11">
        <v>0</v>
      </c>
      <c r="AO419" s="11">
        <v>0</v>
      </c>
      <c r="AP419" s="11">
        <v>0</v>
      </c>
      <c r="AQ419" s="11">
        <v>0</v>
      </c>
      <c r="AR419" t="s">
        <v>903</v>
      </c>
      <c r="AS419" s="4" t="str">
        <f t="shared" si="182"/>
        <v>Superávit Rentas Cedidas Prestacion del Servicio</v>
      </c>
      <c r="AT419" t="str">
        <f t="shared" si="183"/>
        <v>193Superávit Rentas Cedidas Prestacion del Servicio1165629392,29</v>
      </c>
      <c r="AU419" t="str">
        <f>+_xlfn.XLOOKUP(AT419,CRUCE!J:J,CRUCE!M:M)</f>
        <v>READY</v>
      </c>
      <c r="AV419" t="s">
        <v>1907</v>
      </c>
      <c r="AW419" s="23">
        <f>+SUMIFS(CRUCE!D:D,CRUCE!A:A,'2022'!D419,CRUCE!B:B,'2022'!AS419)/COUNTIFS(D:D,D419,AS:AS,AS419)</f>
        <v>1165629392.29</v>
      </c>
      <c r="AX419" s="23">
        <f t="shared" si="184"/>
        <v>1165629392.29</v>
      </c>
      <c r="AY419" s="23">
        <f t="shared" si="185"/>
        <v>0</v>
      </c>
    </row>
    <row r="420" spans="1:51" x14ac:dyDescent="0.3">
      <c r="A420">
        <v>2022</v>
      </c>
      <c r="B420">
        <v>318</v>
      </c>
      <c r="C420">
        <v>12100200233</v>
      </c>
      <c r="D420" s="5">
        <v>152</v>
      </c>
      <c r="E420" s="8" t="s">
        <v>1302</v>
      </c>
      <c r="F420">
        <v>12100200233</v>
      </c>
      <c r="G420" s="8" t="s">
        <v>905</v>
      </c>
      <c r="H420" t="s">
        <v>643</v>
      </c>
      <c r="I420" s="11">
        <v>0</v>
      </c>
      <c r="J420" s="11">
        <v>0</v>
      </c>
      <c r="K420" s="11">
        <v>12226.6</v>
      </c>
      <c r="L420" s="11">
        <v>0</v>
      </c>
      <c r="M420" s="11">
        <v>12226.6</v>
      </c>
      <c r="N420" s="11">
        <v>12226.6</v>
      </c>
      <c r="O420" s="11">
        <v>0</v>
      </c>
      <c r="P420" s="11">
        <v>12226.6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12226.6</v>
      </c>
      <c r="X420" s="11">
        <v>0</v>
      </c>
      <c r="Y420" s="17">
        <v>12226.6</v>
      </c>
      <c r="Z420" s="11">
        <v>0</v>
      </c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11">
        <v>12226.6</v>
      </c>
      <c r="AG420" s="11">
        <v>0</v>
      </c>
      <c r="AH420" s="12">
        <v>12226.6</v>
      </c>
      <c r="AI420" s="11">
        <v>12226.6</v>
      </c>
      <c r="AJ420" s="11">
        <v>12226.6</v>
      </c>
      <c r="AK420" s="11">
        <v>12226.6</v>
      </c>
      <c r="AL420" s="11">
        <v>0</v>
      </c>
      <c r="AM420" s="11">
        <v>0</v>
      </c>
      <c r="AN420" s="11">
        <v>0</v>
      </c>
      <c r="AO420" s="11">
        <v>0</v>
      </c>
      <c r="AP420" s="11">
        <v>0</v>
      </c>
      <c r="AQ420" s="11">
        <v>0</v>
      </c>
      <c r="AR420" t="s">
        <v>844</v>
      </c>
      <c r="AS420" s="4" t="str">
        <f t="shared" si="182"/>
        <v>Superávit Excedentes Aportes Patronales ESE del Departamento</v>
      </c>
      <c r="AT420" t="str">
        <f t="shared" si="183"/>
        <v>152Superávit Excedentes Aportes Patronales ESE del Departamento12226,6</v>
      </c>
      <c r="AU420" t="str">
        <f>+_xlfn.XLOOKUP(AT420,CRUCE!J:J,CRUCE!M:M)</f>
        <v>READY</v>
      </c>
      <c r="AV420" t="s">
        <v>1907</v>
      </c>
      <c r="AW420" s="23">
        <f>+SUMIFS(CRUCE!D:D,CRUCE!A:A,'2022'!D420,CRUCE!B:B,'2022'!AS420)/COUNTIFS(D:D,D420,AS:AS,AS420)</f>
        <v>12226.6</v>
      </c>
      <c r="AX420" s="23">
        <f t="shared" si="184"/>
        <v>12226.6</v>
      </c>
      <c r="AY420" s="23">
        <f t="shared" si="185"/>
        <v>0</v>
      </c>
    </row>
    <row r="421" spans="1:51" x14ac:dyDescent="0.3">
      <c r="A421">
        <v>2022</v>
      </c>
      <c r="B421">
        <v>318</v>
      </c>
      <c r="C421">
        <v>12100200255</v>
      </c>
      <c r="D421" s="5">
        <v>220</v>
      </c>
      <c r="E421" s="8" t="s">
        <v>1303</v>
      </c>
      <c r="F421">
        <v>12100200255</v>
      </c>
      <c r="G421" s="8" t="s">
        <v>1220</v>
      </c>
      <c r="H421" t="s">
        <v>643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7">
        <v>0</v>
      </c>
      <c r="Z421" s="11">
        <v>0</v>
      </c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11">
        <v>0</v>
      </c>
      <c r="AG421" s="11">
        <v>0</v>
      </c>
      <c r="AH421" s="12">
        <v>0</v>
      </c>
      <c r="AI421" s="11">
        <v>0</v>
      </c>
      <c r="AJ421" s="11">
        <v>0</v>
      </c>
      <c r="AK421" s="11">
        <v>0</v>
      </c>
      <c r="AL421" s="11">
        <v>0</v>
      </c>
      <c r="AM421" s="11">
        <v>0</v>
      </c>
      <c r="AN421" s="11">
        <v>0</v>
      </c>
      <c r="AO421" s="11">
        <v>0</v>
      </c>
      <c r="AP421" s="11">
        <v>0</v>
      </c>
      <c r="AQ421" s="11">
        <v>0</v>
      </c>
      <c r="AR421" t="s">
        <v>1221</v>
      </c>
      <c r="AS421" s="4" t="str">
        <f t="shared" si="182"/>
        <v xml:space="preserve">Superávit Reintegro Cuentas Por pagar </v>
      </c>
      <c r="AT421" t="str">
        <f t="shared" si="183"/>
        <v>220Superávit Reintegro Cuentas Por pagar 0</v>
      </c>
      <c r="AU421" t="e">
        <f>+_xlfn.XLOOKUP(AT421,CRUCE!J:J,CRUCE!M:M)</f>
        <v>#N/A</v>
      </c>
      <c r="AV421" t="s">
        <v>1907</v>
      </c>
      <c r="AW421" s="23">
        <f>+SUMIFS(CRUCE!D:D,CRUCE!A:A,'2022'!D421,CRUCE!B:B,'2022'!AS421)/COUNTIFS(D:D,D421,AS:AS,AS421)</f>
        <v>44482049</v>
      </c>
      <c r="AX421" s="23">
        <f t="shared" si="184"/>
        <v>44482049</v>
      </c>
      <c r="AY421" s="23">
        <f t="shared" si="185"/>
        <v>0</v>
      </c>
    </row>
    <row r="422" spans="1:51" x14ac:dyDescent="0.3">
      <c r="A422">
        <v>2022</v>
      </c>
      <c r="B422">
        <v>318</v>
      </c>
      <c r="C422">
        <v>12100200256</v>
      </c>
      <c r="D422" s="5">
        <v>221</v>
      </c>
      <c r="E422" s="8" t="s">
        <v>1304</v>
      </c>
      <c r="F422">
        <v>12100200256</v>
      </c>
      <c r="G422" s="8" t="s">
        <v>1305</v>
      </c>
      <c r="H422" t="s">
        <v>643</v>
      </c>
      <c r="I422" s="11">
        <v>0</v>
      </c>
      <c r="J422" s="11">
        <v>0</v>
      </c>
      <c r="K422" s="11">
        <v>548597644</v>
      </c>
      <c r="L422" s="11">
        <v>0</v>
      </c>
      <c r="M422" s="11">
        <v>548597644</v>
      </c>
      <c r="N422" s="11">
        <v>548597644</v>
      </c>
      <c r="O422" s="11">
        <v>0</v>
      </c>
      <c r="P422" s="11">
        <v>548597644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  <c r="V422" s="11">
        <v>0</v>
      </c>
      <c r="W422" s="11">
        <v>548597644</v>
      </c>
      <c r="X422" s="11">
        <v>0</v>
      </c>
      <c r="Y422" s="17">
        <v>548597644</v>
      </c>
      <c r="Z422" s="11">
        <v>0</v>
      </c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11">
        <v>548597644</v>
      </c>
      <c r="AG422" s="11">
        <v>0</v>
      </c>
      <c r="AH422" s="12">
        <v>548597644</v>
      </c>
      <c r="AI422" s="11">
        <v>548597644</v>
      </c>
      <c r="AJ422" s="11">
        <v>548597644</v>
      </c>
      <c r="AK422" s="11">
        <v>548597644</v>
      </c>
      <c r="AL422" s="11">
        <v>0</v>
      </c>
      <c r="AM422" s="11">
        <v>0</v>
      </c>
      <c r="AN422" s="11">
        <v>0</v>
      </c>
      <c r="AO422" s="11">
        <v>0</v>
      </c>
      <c r="AP422" s="11">
        <v>0</v>
      </c>
      <c r="AQ422" s="11">
        <v>0</v>
      </c>
      <c r="AR422" t="s">
        <v>1306</v>
      </c>
      <c r="AS422" s="4" t="str">
        <f t="shared" ref="AS422:AS423" si="186">+G422</f>
        <v>Superávit proyecto FRISCO consumo sustancias sicoactivas</v>
      </c>
      <c r="AT422" t="str">
        <f t="shared" si="183"/>
        <v>221Superávit proyecto FRISCO consumo sustancias sicoactivas548597644</v>
      </c>
      <c r="AU422" t="str">
        <f>+_xlfn.XLOOKUP(AT422,CRUCE!J:J,CRUCE!M:M)</f>
        <v>READY</v>
      </c>
      <c r="AV422" t="s">
        <v>1907</v>
      </c>
      <c r="AW422" s="23">
        <f>+SUMIFS(CRUCE!D:D,CRUCE!A:A,'2022'!D422,CRUCE!B:B,'2022'!AS422)/COUNTIFS(D:D,D422,AS:AS,AS422)</f>
        <v>548597644</v>
      </c>
      <c r="AX422" s="23">
        <f t="shared" si="184"/>
        <v>548597644</v>
      </c>
      <c r="AY422" s="23">
        <f t="shared" si="185"/>
        <v>0</v>
      </c>
    </row>
    <row r="423" spans="1:51" x14ac:dyDescent="0.3">
      <c r="A423">
        <v>2022</v>
      </c>
      <c r="B423">
        <v>318</v>
      </c>
      <c r="C423">
        <v>12100200257</v>
      </c>
      <c r="D423" s="5">
        <v>169</v>
      </c>
      <c r="E423" s="8" t="s">
        <v>1307</v>
      </c>
      <c r="F423">
        <v>12100200257</v>
      </c>
      <c r="G423" s="8" t="s">
        <v>1308</v>
      </c>
      <c r="H423" t="s">
        <v>643</v>
      </c>
      <c r="I423" s="11">
        <v>0</v>
      </c>
      <c r="J423" s="11">
        <v>0</v>
      </c>
      <c r="K423" s="11">
        <v>3926845415.9499998</v>
      </c>
      <c r="L423" s="11">
        <v>0</v>
      </c>
      <c r="M423" s="11">
        <v>3926845415.9499998</v>
      </c>
      <c r="N423" s="11">
        <v>3926845415.9499998</v>
      </c>
      <c r="O423" s="11">
        <v>0</v>
      </c>
      <c r="P423" s="11">
        <v>3926845415.9499998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3926845415.9499998</v>
      </c>
      <c r="X423" s="11">
        <v>0</v>
      </c>
      <c r="Y423" s="17">
        <v>3926845415.9499998</v>
      </c>
      <c r="Z423" s="11">
        <v>0</v>
      </c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3926845415.9499998</v>
      </c>
      <c r="AG423" s="11">
        <v>0</v>
      </c>
      <c r="AH423" s="12">
        <v>3926845415.9499998</v>
      </c>
      <c r="AI423" s="11">
        <v>3926845415.9499998</v>
      </c>
      <c r="AJ423" s="11">
        <v>3926845415.9499998</v>
      </c>
      <c r="AK423" s="11">
        <v>3926845415.9499998</v>
      </c>
      <c r="AL423" s="11">
        <v>0</v>
      </c>
      <c r="AM423" s="11">
        <v>0</v>
      </c>
      <c r="AN423" s="11">
        <v>0</v>
      </c>
      <c r="AO423" s="11">
        <v>0</v>
      </c>
      <c r="AP423" s="11">
        <v>0</v>
      </c>
      <c r="AQ423" s="11">
        <v>0</v>
      </c>
      <c r="AR423" t="s">
        <v>1309</v>
      </c>
      <c r="AS423" s="4" t="str">
        <f t="shared" si="186"/>
        <v>Superávit Recursos SGSS Salud Adres</v>
      </c>
      <c r="AT423" t="str">
        <f t="shared" si="183"/>
        <v>169Superávit Recursos SGSS Salud Adres3926845415,95</v>
      </c>
      <c r="AU423" t="str">
        <f>+_xlfn.XLOOKUP(AT423,CRUCE!J:J,CRUCE!M:M)</f>
        <v>READY</v>
      </c>
      <c r="AV423" t="s">
        <v>1907</v>
      </c>
      <c r="AW423" s="23">
        <f>+SUMIFS(CRUCE!D:D,CRUCE!A:A,'2022'!D423,CRUCE!B:B,'2022'!AS423)/COUNTIFS(D:D,D423,AS:AS,AS423)</f>
        <v>3926845415.9499998</v>
      </c>
      <c r="AX423" s="23">
        <f t="shared" si="184"/>
        <v>3926845415.9499998</v>
      </c>
      <c r="AY423" s="23">
        <f t="shared" si="185"/>
        <v>0</v>
      </c>
    </row>
    <row r="424" spans="1:51" hidden="1" x14ac:dyDescent="0.3">
      <c r="A424">
        <v>2022</v>
      </c>
      <c r="B424">
        <v>318</v>
      </c>
      <c r="C424">
        <v>1213</v>
      </c>
      <c r="D424" s="5" t="s">
        <v>44</v>
      </c>
      <c r="E424" s="8" t="s">
        <v>907</v>
      </c>
      <c r="F424">
        <v>1213</v>
      </c>
      <c r="G424" s="8" t="s">
        <v>546</v>
      </c>
      <c r="H424" t="s">
        <v>643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7">
        <v>0</v>
      </c>
      <c r="Z424" s="11">
        <v>0</v>
      </c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12">
        <v>0</v>
      </c>
      <c r="AI424" s="11">
        <v>0</v>
      </c>
      <c r="AJ424" s="11">
        <v>0</v>
      </c>
      <c r="AK424" s="11">
        <v>0</v>
      </c>
      <c r="AL424" s="11">
        <v>0</v>
      </c>
      <c r="AM424" s="11">
        <v>0</v>
      </c>
      <c r="AN424" s="11">
        <v>0</v>
      </c>
      <c r="AO424" s="11">
        <v>0</v>
      </c>
      <c r="AP424" s="11">
        <v>0</v>
      </c>
      <c r="AQ424" s="11">
        <v>0</v>
      </c>
      <c r="AR424" t="s">
        <v>48</v>
      </c>
      <c r="AS424"/>
      <c r="AW424"/>
      <c r="AX424"/>
      <c r="AY424"/>
    </row>
    <row r="425" spans="1:51" x14ac:dyDescent="0.3">
      <c r="A425">
        <v>2022</v>
      </c>
      <c r="B425">
        <v>318</v>
      </c>
      <c r="C425">
        <v>121302</v>
      </c>
      <c r="D425" s="5">
        <v>63</v>
      </c>
      <c r="E425" s="8" t="s">
        <v>1310</v>
      </c>
      <c r="F425">
        <v>121302</v>
      </c>
      <c r="G425" s="8" t="s">
        <v>1208</v>
      </c>
      <c r="H425" t="s">
        <v>643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7">
        <v>0</v>
      </c>
      <c r="Z425" s="11">
        <v>0</v>
      </c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2">
        <v>0</v>
      </c>
      <c r="AI425" s="11">
        <v>0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t="s">
        <v>716</v>
      </c>
      <c r="AS425" s="4" t="str">
        <f>+G425</f>
        <v>Recursos no apropiados</v>
      </c>
      <c r="AT425" t="str">
        <f>+D425&amp;AS425&amp;Y425</f>
        <v>63Recursos no apropiados0</v>
      </c>
      <c r="AU425" t="str">
        <f>+_xlfn.XLOOKUP(AT425,CRUCE!J:J,CRUCE!M:M)</f>
        <v>READY</v>
      </c>
      <c r="AV425" t="s">
        <v>1907</v>
      </c>
      <c r="AW425" s="23">
        <f>+SUMIFS(CRUCE!D:D,CRUCE!A:A,'2022'!D425,CRUCE!B:B,'2022'!AS425)/COUNTIFS(D:D,D425,AS:AS,AS425)</f>
        <v>0</v>
      </c>
      <c r="AX425" s="23">
        <f>+SUMIFS(Y:Y,D:D,D425,AS:AS,AS425)/COUNTIFS(D:D,D425,AS:AS,AS425)</f>
        <v>0</v>
      </c>
      <c r="AY425" s="23">
        <f>+AW425-AX425</f>
        <v>0</v>
      </c>
    </row>
    <row r="426" spans="1:51" hidden="1" x14ac:dyDescent="0.3">
      <c r="A426">
        <v>2022</v>
      </c>
      <c r="B426">
        <v>6</v>
      </c>
      <c r="C426">
        <v>1</v>
      </c>
      <c r="D426" s="5" t="s">
        <v>44</v>
      </c>
      <c r="E426" s="8">
        <v>45297</v>
      </c>
      <c r="F426">
        <v>1</v>
      </c>
      <c r="G426" s="8" t="s">
        <v>46</v>
      </c>
      <c r="H426" t="s">
        <v>909</v>
      </c>
      <c r="I426" s="11">
        <v>98474554259.690002</v>
      </c>
      <c r="J426" s="11">
        <v>114178374567.58</v>
      </c>
      <c r="K426" s="11">
        <v>18557299655.419998</v>
      </c>
      <c r="L426" s="11">
        <v>10707853710.57</v>
      </c>
      <c r="M426" s="11">
        <v>7849445944.8500004</v>
      </c>
      <c r="N426" s="11">
        <v>2853479347.5300002</v>
      </c>
      <c r="O426" s="11">
        <v>10707853710.57</v>
      </c>
      <c r="P426" s="11">
        <v>106324000204.53999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42220075846.949997</v>
      </c>
      <c r="X426" s="11">
        <v>108447291.81999999</v>
      </c>
      <c r="Y426" s="17">
        <v>42111628555.129997</v>
      </c>
      <c r="Z426" s="11">
        <v>0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22081097699.400002</v>
      </c>
      <c r="AG426" s="11">
        <v>108447291.81999999</v>
      </c>
      <c r="AH426" s="12">
        <v>21972650407.580002</v>
      </c>
      <c r="AI426" s="11">
        <v>21972650407.580002</v>
      </c>
      <c r="AJ426" s="11">
        <v>42011159641.839996</v>
      </c>
      <c r="AK426" s="11">
        <v>21972032973.23</v>
      </c>
      <c r="AL426" s="11">
        <v>100468913.29000001</v>
      </c>
      <c r="AM426" s="11">
        <v>100469390.69</v>
      </c>
      <c r="AN426" s="11">
        <v>477.4</v>
      </c>
      <c r="AO426" s="11">
        <v>617911.75</v>
      </c>
      <c r="AP426" s="11">
        <v>0</v>
      </c>
      <c r="AQ426" s="11">
        <v>477.4</v>
      </c>
      <c r="AR426" t="s">
        <v>48</v>
      </c>
      <c r="AS426"/>
      <c r="AW426"/>
      <c r="AX426"/>
      <c r="AY426"/>
    </row>
    <row r="427" spans="1:51" hidden="1" x14ac:dyDescent="0.3">
      <c r="A427">
        <v>2022</v>
      </c>
      <c r="B427">
        <v>6</v>
      </c>
      <c r="C427">
        <v>11</v>
      </c>
      <c r="D427" s="5" t="s">
        <v>44</v>
      </c>
      <c r="E427" s="8">
        <v>45602</v>
      </c>
      <c r="F427">
        <v>11</v>
      </c>
      <c r="G427" s="8" t="s">
        <v>50</v>
      </c>
      <c r="H427" t="s">
        <v>909</v>
      </c>
      <c r="I427" s="11">
        <v>98474554259.690002</v>
      </c>
      <c r="J427" s="11">
        <v>114178374567.58</v>
      </c>
      <c r="K427" s="11">
        <v>18557299655.419998</v>
      </c>
      <c r="L427" s="11">
        <v>10707853710.57</v>
      </c>
      <c r="M427" s="11">
        <v>7849445944.8500004</v>
      </c>
      <c r="N427" s="11">
        <v>2853479347.5300002</v>
      </c>
      <c r="O427" s="11">
        <v>10707853710.57</v>
      </c>
      <c r="P427" s="11">
        <v>106324000204.53999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42219452315.68</v>
      </c>
      <c r="X427" s="11">
        <v>108446814.42</v>
      </c>
      <c r="Y427" s="17">
        <v>42111005501.260002</v>
      </c>
      <c r="Z427" s="11">
        <v>0</v>
      </c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11">
        <v>22080479787.650002</v>
      </c>
      <c r="AG427" s="11">
        <v>108446814.42</v>
      </c>
      <c r="AH427" s="12">
        <v>21972032973.23</v>
      </c>
      <c r="AI427" s="11">
        <v>21972032973.23</v>
      </c>
      <c r="AJ427" s="11">
        <v>42011159641.839996</v>
      </c>
      <c r="AK427" s="11">
        <v>21972032973.23</v>
      </c>
      <c r="AL427" s="11">
        <v>99845859.420000002</v>
      </c>
      <c r="AM427" s="11">
        <v>99845859.420000002</v>
      </c>
      <c r="AN427" s="11">
        <v>0</v>
      </c>
      <c r="AO427" s="11">
        <v>0</v>
      </c>
      <c r="AP427" s="11">
        <v>0</v>
      </c>
      <c r="AQ427" s="11">
        <v>0</v>
      </c>
      <c r="AR427" t="s">
        <v>48</v>
      </c>
      <c r="AS427"/>
      <c r="AW427"/>
      <c r="AX427"/>
      <c r="AY427"/>
    </row>
    <row r="428" spans="1:51" hidden="1" x14ac:dyDescent="0.3">
      <c r="A428">
        <v>2022</v>
      </c>
      <c r="B428">
        <v>6</v>
      </c>
      <c r="C428">
        <v>1102</v>
      </c>
      <c r="D428" s="5" t="s">
        <v>44</v>
      </c>
      <c r="E428" s="8" t="s">
        <v>910</v>
      </c>
      <c r="F428">
        <v>1102</v>
      </c>
      <c r="G428" s="8" t="s">
        <v>145</v>
      </c>
      <c r="H428" t="s">
        <v>909</v>
      </c>
      <c r="I428" s="11">
        <v>98474554259.690002</v>
      </c>
      <c r="J428" s="11">
        <v>114178374567.58</v>
      </c>
      <c r="K428" s="11">
        <v>18557299655.419998</v>
      </c>
      <c r="L428" s="11">
        <v>10707853710.57</v>
      </c>
      <c r="M428" s="11">
        <v>7849445944.8500004</v>
      </c>
      <c r="N428" s="11">
        <v>2853479347.5300002</v>
      </c>
      <c r="O428" s="11">
        <v>10707853710.57</v>
      </c>
      <c r="P428" s="11">
        <v>106324000204.53999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42219452315.68</v>
      </c>
      <c r="X428" s="11">
        <v>108446814.42</v>
      </c>
      <c r="Y428" s="17">
        <v>42111005501.260002</v>
      </c>
      <c r="Z428" s="11">
        <v>0</v>
      </c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11">
        <v>22080479787.650002</v>
      </c>
      <c r="AG428" s="11">
        <v>108446814.42</v>
      </c>
      <c r="AH428" s="12">
        <v>21972032973.23</v>
      </c>
      <c r="AI428" s="11">
        <v>21972032973.23</v>
      </c>
      <c r="AJ428" s="11">
        <v>42011159641.839996</v>
      </c>
      <c r="AK428" s="11">
        <v>21972032973.23</v>
      </c>
      <c r="AL428" s="11">
        <v>99845859.420000002</v>
      </c>
      <c r="AM428" s="11">
        <v>99845859.420000002</v>
      </c>
      <c r="AN428" s="11">
        <v>0</v>
      </c>
      <c r="AO428" s="11">
        <v>0</v>
      </c>
      <c r="AP428" s="11">
        <v>0</v>
      </c>
      <c r="AQ428" s="11">
        <v>0</v>
      </c>
      <c r="AR428" t="s">
        <v>48</v>
      </c>
      <c r="AS428"/>
      <c r="AW428"/>
      <c r="AX428"/>
      <c r="AY428"/>
    </row>
    <row r="429" spans="1:51" hidden="1" x14ac:dyDescent="0.3">
      <c r="A429">
        <v>2022</v>
      </c>
      <c r="B429">
        <v>6</v>
      </c>
      <c r="C429">
        <v>110206</v>
      </c>
      <c r="D429" s="5" t="s">
        <v>44</v>
      </c>
      <c r="E429" s="8" t="s">
        <v>911</v>
      </c>
      <c r="F429">
        <v>110206</v>
      </c>
      <c r="G429" s="8" t="s">
        <v>242</v>
      </c>
      <c r="H429" t="s">
        <v>909</v>
      </c>
      <c r="I429" s="11">
        <v>98474554259.690002</v>
      </c>
      <c r="J429" s="11">
        <v>114178374567.58</v>
      </c>
      <c r="K429" s="11">
        <v>18557299655.419998</v>
      </c>
      <c r="L429" s="11">
        <v>10707853710.57</v>
      </c>
      <c r="M429" s="11">
        <v>7849445944.8500004</v>
      </c>
      <c r="N429" s="11">
        <v>2853479347.5300002</v>
      </c>
      <c r="O429" s="11">
        <v>10707853710.57</v>
      </c>
      <c r="P429" s="11">
        <v>106324000204.53999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42219452315.68</v>
      </c>
      <c r="X429" s="11">
        <v>108446814.42</v>
      </c>
      <c r="Y429" s="17">
        <v>42111005501.260002</v>
      </c>
      <c r="Z429" s="11">
        <v>0</v>
      </c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22080479787.650002</v>
      </c>
      <c r="AG429" s="11">
        <v>108446814.42</v>
      </c>
      <c r="AH429" s="12">
        <v>21972032973.23</v>
      </c>
      <c r="AI429" s="11">
        <v>21972032973.23</v>
      </c>
      <c r="AJ429" s="11">
        <v>42011159641.839996</v>
      </c>
      <c r="AK429" s="11">
        <v>21972032973.23</v>
      </c>
      <c r="AL429" s="11">
        <v>99845859.420000002</v>
      </c>
      <c r="AM429" s="11">
        <v>99845859.420000002</v>
      </c>
      <c r="AN429" s="11">
        <v>0</v>
      </c>
      <c r="AO429" s="11">
        <v>0</v>
      </c>
      <c r="AP429" s="11">
        <v>0</v>
      </c>
      <c r="AQ429" s="11">
        <v>0</v>
      </c>
      <c r="AR429" t="s">
        <v>48</v>
      </c>
      <c r="AS429"/>
      <c r="AW429"/>
      <c r="AX429"/>
      <c r="AY429"/>
    </row>
    <row r="430" spans="1:51" hidden="1" x14ac:dyDescent="0.3">
      <c r="A430">
        <v>2022</v>
      </c>
      <c r="B430">
        <v>6</v>
      </c>
      <c r="C430">
        <v>110206002</v>
      </c>
      <c r="D430" s="5" t="s">
        <v>44</v>
      </c>
      <c r="E430" s="8" t="s">
        <v>912</v>
      </c>
      <c r="F430">
        <v>110206002</v>
      </c>
      <c r="G430" s="8" t="s">
        <v>913</v>
      </c>
      <c r="H430" t="s">
        <v>909</v>
      </c>
      <c r="I430" s="11">
        <v>98474554259.690002</v>
      </c>
      <c r="J430" s="11">
        <v>114178374567.58</v>
      </c>
      <c r="K430" s="11">
        <v>18557299655.419998</v>
      </c>
      <c r="L430" s="11">
        <v>10707853710.57</v>
      </c>
      <c r="M430" s="11">
        <v>7849445944.8500004</v>
      </c>
      <c r="N430" s="11">
        <v>2853479347.5300002</v>
      </c>
      <c r="O430" s="11">
        <v>10707853710.57</v>
      </c>
      <c r="P430" s="11">
        <v>106324000204.53999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42219452315.68</v>
      </c>
      <c r="X430" s="11">
        <v>108446814.42</v>
      </c>
      <c r="Y430" s="17">
        <v>42111005501.260002</v>
      </c>
      <c r="Z430" s="11">
        <v>0</v>
      </c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11">
        <v>22080479787.650002</v>
      </c>
      <c r="AG430" s="11">
        <v>108446814.42</v>
      </c>
      <c r="AH430" s="12">
        <v>21972032973.23</v>
      </c>
      <c r="AI430" s="11">
        <v>21972032973.23</v>
      </c>
      <c r="AJ430" s="11">
        <v>42011159641.839996</v>
      </c>
      <c r="AK430" s="11">
        <v>21972032973.23</v>
      </c>
      <c r="AL430" s="11">
        <v>99845859.420000002</v>
      </c>
      <c r="AM430" s="11">
        <v>99845859.420000002</v>
      </c>
      <c r="AN430" s="11">
        <v>0</v>
      </c>
      <c r="AO430" s="11">
        <v>0</v>
      </c>
      <c r="AP430" s="11">
        <v>0</v>
      </c>
      <c r="AQ430" s="11">
        <v>0</v>
      </c>
      <c r="AR430" t="s">
        <v>48</v>
      </c>
      <c r="AS430"/>
      <c r="AW430"/>
      <c r="AX430"/>
      <c r="AY430"/>
    </row>
    <row r="431" spans="1:51" hidden="1" x14ac:dyDescent="0.3">
      <c r="A431">
        <v>2022</v>
      </c>
      <c r="B431">
        <v>6</v>
      </c>
      <c r="C431">
        <v>11020600201</v>
      </c>
      <c r="D431" s="5" t="s">
        <v>44</v>
      </c>
      <c r="E431" s="8" t="s">
        <v>914</v>
      </c>
      <c r="F431">
        <v>11020600201</v>
      </c>
      <c r="G431" s="8" t="s">
        <v>915</v>
      </c>
      <c r="H431" t="s">
        <v>909</v>
      </c>
      <c r="I431" s="11">
        <v>1235060014</v>
      </c>
      <c r="J431" s="11">
        <v>2663237975</v>
      </c>
      <c r="K431" s="11">
        <v>1428177961</v>
      </c>
      <c r="L431" s="11">
        <v>134512610</v>
      </c>
      <c r="M431" s="11">
        <v>1293665351</v>
      </c>
      <c r="N431" s="11">
        <v>0</v>
      </c>
      <c r="O431" s="11">
        <v>134512610</v>
      </c>
      <c r="P431" s="11">
        <v>2528725365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2059417422.9100001</v>
      </c>
      <c r="X431" s="11">
        <v>99845859.420000002</v>
      </c>
      <c r="Y431" s="17">
        <v>1959571563.49</v>
      </c>
      <c r="Z431" s="11">
        <v>0</v>
      </c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11">
        <v>618656375.74000001</v>
      </c>
      <c r="AG431" s="11">
        <v>99845859.420000002</v>
      </c>
      <c r="AH431" s="12">
        <v>518810516.31999999</v>
      </c>
      <c r="AI431" s="11">
        <v>518810516.31999999</v>
      </c>
      <c r="AJ431" s="11">
        <v>1859725704.0699999</v>
      </c>
      <c r="AK431" s="11">
        <v>518810516.31999999</v>
      </c>
      <c r="AL431" s="11">
        <v>99845859.420000002</v>
      </c>
      <c r="AM431" s="11">
        <v>99845859.420000002</v>
      </c>
      <c r="AN431" s="11">
        <v>0</v>
      </c>
      <c r="AO431" s="11">
        <v>0</v>
      </c>
      <c r="AP431" s="11">
        <v>0</v>
      </c>
      <c r="AQ431" s="11">
        <v>0</v>
      </c>
      <c r="AR431" t="s">
        <v>48</v>
      </c>
      <c r="AS431"/>
      <c r="AW431"/>
      <c r="AX431"/>
      <c r="AY431"/>
    </row>
    <row r="432" spans="1:51" x14ac:dyDescent="0.3">
      <c r="A432">
        <v>2022</v>
      </c>
      <c r="B432">
        <v>6</v>
      </c>
      <c r="C432">
        <v>1102060020101</v>
      </c>
      <c r="D432" s="5">
        <v>70</v>
      </c>
      <c r="E432" s="8" t="s">
        <v>916</v>
      </c>
      <c r="F432">
        <v>1102060020101</v>
      </c>
      <c r="G432" s="8" t="s">
        <v>917</v>
      </c>
      <c r="H432" t="s">
        <v>909</v>
      </c>
      <c r="I432" s="11">
        <v>169768867</v>
      </c>
      <c r="J432" s="11">
        <v>169768867</v>
      </c>
      <c r="K432" s="11">
        <v>0</v>
      </c>
      <c r="L432" s="11">
        <v>21731244</v>
      </c>
      <c r="M432" s="11">
        <v>-21731244</v>
      </c>
      <c r="N432" s="11">
        <v>0</v>
      </c>
      <c r="O432" s="11">
        <v>21731244</v>
      </c>
      <c r="P432" s="11">
        <v>148037623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148037623</v>
      </c>
      <c r="X432" s="11">
        <v>0</v>
      </c>
      <c r="Y432" s="17">
        <v>148037623</v>
      </c>
      <c r="Z432" s="11">
        <v>0</v>
      </c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12">
        <v>0</v>
      </c>
      <c r="AI432" s="11">
        <v>0</v>
      </c>
      <c r="AJ432" s="11">
        <v>148037623</v>
      </c>
      <c r="AK432" s="11">
        <v>0</v>
      </c>
      <c r="AL432" s="11">
        <v>0</v>
      </c>
      <c r="AM432" s="11">
        <v>0</v>
      </c>
      <c r="AN432" s="11">
        <v>0</v>
      </c>
      <c r="AO432" s="11">
        <v>0</v>
      </c>
      <c r="AP432" s="11">
        <v>0</v>
      </c>
      <c r="AQ432" s="11">
        <v>0</v>
      </c>
      <c r="AR432" t="s">
        <v>918</v>
      </c>
      <c r="AS432" s="4" t="str">
        <f t="shared" ref="AS432:AS435" si="187">+G432</f>
        <v>Fortalecimiento de la prestación de servicios de salud y las acciones de Salud Pública durante la pa</v>
      </c>
      <c r="AT432" t="str">
        <f t="shared" ref="AT432:AT435" si="188">+D432&amp;AS432&amp;Y432</f>
        <v>70Fortalecimiento de la prestación de servicios de salud y las acciones de Salud Pública durante la pa148037623</v>
      </c>
      <c r="AU432" t="e">
        <f>+_xlfn.XLOOKUP(AT432,CRUCE!J:J,CRUCE!M:M)</f>
        <v>#N/A</v>
      </c>
      <c r="AV432" t="s">
        <v>1907</v>
      </c>
      <c r="AW432" s="23">
        <f>+SUMIFS(CRUCE!D:D,CRUCE!A:A,'2022'!D432,CRUCE!B:B,'2022'!AS432)/COUNTIFS(D:D,D432,AS:AS,AS432)</f>
        <v>489892890.8725</v>
      </c>
      <c r="AX432" s="23">
        <f t="shared" ref="AX432:AX435" si="189">+SUMIFS(Y:Y,D:D,D432,AS:AS,AS432)/COUNTIFS(D:D,D432,AS:AS,AS432)</f>
        <v>489892890.8725</v>
      </c>
      <c r="AY432" s="23">
        <f t="shared" ref="AY432:AY435" si="190">+AW432-AX432</f>
        <v>0</v>
      </c>
    </row>
    <row r="433" spans="1:51" x14ac:dyDescent="0.3">
      <c r="A433">
        <v>2022</v>
      </c>
      <c r="B433">
        <v>6</v>
      </c>
      <c r="C433">
        <v>1102060020102</v>
      </c>
      <c r="D433" s="5">
        <v>70</v>
      </c>
      <c r="E433" s="8" t="s">
        <v>919</v>
      </c>
      <c r="F433">
        <v>1102060020102</v>
      </c>
      <c r="G433" s="8" t="s">
        <v>920</v>
      </c>
      <c r="H433" t="s">
        <v>909</v>
      </c>
      <c r="I433" s="11">
        <v>0</v>
      </c>
      <c r="J433" s="11">
        <v>1428177961</v>
      </c>
      <c r="K433" s="11">
        <v>1428177961</v>
      </c>
      <c r="L433" s="11">
        <v>0</v>
      </c>
      <c r="M433" s="11">
        <v>1428177961</v>
      </c>
      <c r="N433" s="11">
        <v>0</v>
      </c>
      <c r="O433" s="11">
        <v>0</v>
      </c>
      <c r="P433" s="11">
        <v>1428177961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859024159.49000001</v>
      </c>
      <c r="X433" s="11">
        <v>0</v>
      </c>
      <c r="Y433" s="17">
        <v>859024159.49000001</v>
      </c>
      <c r="Z433" s="11">
        <v>0</v>
      </c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11">
        <v>618656375.74000001</v>
      </c>
      <c r="AG433" s="11">
        <v>0</v>
      </c>
      <c r="AH433" s="12">
        <v>618656375.74000001</v>
      </c>
      <c r="AI433" s="11">
        <v>618656375.74000001</v>
      </c>
      <c r="AJ433" s="11">
        <v>859024159.49000001</v>
      </c>
      <c r="AK433" s="11">
        <v>618656375.74000001</v>
      </c>
      <c r="AL433" s="11">
        <v>0</v>
      </c>
      <c r="AM433" s="11">
        <v>0</v>
      </c>
      <c r="AN433" s="11">
        <v>0</v>
      </c>
      <c r="AO433" s="11">
        <v>0</v>
      </c>
      <c r="AP433" s="11">
        <v>0</v>
      </c>
      <c r="AQ433" s="11">
        <v>0</v>
      </c>
      <c r="AR433" t="s">
        <v>918</v>
      </c>
      <c r="AS433" s="4" t="str">
        <f t="shared" si="187"/>
        <v>Fortalecimiento de la Prestación de Servicios de Salud y las acciones de Salud Pública durante la pa</v>
      </c>
      <c r="AT433" t="str">
        <f t="shared" si="188"/>
        <v>70Fortalecimiento de la Prestación de Servicios de Salud y las acciones de Salud Pública durante la pa859024159,49</v>
      </c>
      <c r="AU433" t="e">
        <f>+_xlfn.XLOOKUP(AT433,CRUCE!J:J,CRUCE!M:M)</f>
        <v>#N/A</v>
      </c>
      <c r="AV433" t="s">
        <v>1907</v>
      </c>
      <c r="AW433" s="23">
        <f>+SUMIFS(CRUCE!D:D,CRUCE!A:A,'2022'!D433,CRUCE!B:B,'2022'!AS433)/COUNTIFS(D:D,D433,AS:AS,AS433)</f>
        <v>489892890.8725</v>
      </c>
      <c r="AX433" s="23">
        <f t="shared" si="189"/>
        <v>489892890.8725</v>
      </c>
      <c r="AY433" s="23">
        <f t="shared" si="190"/>
        <v>0</v>
      </c>
    </row>
    <row r="434" spans="1:51" x14ac:dyDescent="0.3">
      <c r="A434">
        <v>2022</v>
      </c>
      <c r="B434">
        <v>6</v>
      </c>
      <c r="C434">
        <v>1102060020103</v>
      </c>
      <c r="D434" s="5">
        <v>70</v>
      </c>
      <c r="E434" s="8" t="s">
        <v>921</v>
      </c>
      <c r="F434">
        <v>1102060020103</v>
      </c>
      <c r="G434" s="8" t="s">
        <v>917</v>
      </c>
      <c r="H434" t="s">
        <v>909</v>
      </c>
      <c r="I434" s="11">
        <v>1065291147</v>
      </c>
      <c r="J434" s="11">
        <v>1065291147</v>
      </c>
      <c r="K434" s="11">
        <v>0</v>
      </c>
      <c r="L434" s="11">
        <v>112781366</v>
      </c>
      <c r="M434" s="11">
        <v>-112781366</v>
      </c>
      <c r="N434" s="11">
        <v>0</v>
      </c>
      <c r="O434" s="11">
        <v>112781366</v>
      </c>
      <c r="P434" s="11">
        <v>952509781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952509781</v>
      </c>
      <c r="X434" s="11">
        <v>0</v>
      </c>
      <c r="Y434" s="17">
        <v>952509781</v>
      </c>
      <c r="Z434" s="11">
        <v>0</v>
      </c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11">
        <v>0</v>
      </c>
      <c r="AG434" s="11">
        <v>0</v>
      </c>
      <c r="AH434" s="12">
        <v>0</v>
      </c>
      <c r="AI434" s="11">
        <v>0</v>
      </c>
      <c r="AJ434" s="11">
        <v>952509781</v>
      </c>
      <c r="AK434" s="11">
        <v>0</v>
      </c>
      <c r="AL434" s="11">
        <v>0</v>
      </c>
      <c r="AM434" s="11">
        <v>0</v>
      </c>
      <c r="AN434" s="11">
        <v>0</v>
      </c>
      <c r="AO434" s="11">
        <v>0</v>
      </c>
      <c r="AP434" s="11">
        <v>0</v>
      </c>
      <c r="AQ434" s="11">
        <v>0</v>
      </c>
      <c r="AR434" t="s">
        <v>918</v>
      </c>
      <c r="AS434" s="4" t="str">
        <f t="shared" si="187"/>
        <v>Fortalecimiento de la prestación de servicios de salud y las acciones de Salud Pública durante la pa</v>
      </c>
      <c r="AT434" t="str">
        <f t="shared" si="188"/>
        <v>70Fortalecimiento de la prestación de servicios de salud y las acciones de Salud Pública durante la pa952509781</v>
      </c>
      <c r="AU434" t="e">
        <f>+_xlfn.XLOOKUP(AT434,CRUCE!J:J,CRUCE!M:M)</f>
        <v>#N/A</v>
      </c>
      <c r="AV434" t="s">
        <v>1907</v>
      </c>
      <c r="AW434" s="23">
        <f>+SUMIFS(CRUCE!D:D,CRUCE!A:A,'2022'!D434,CRUCE!B:B,'2022'!AS434)/COUNTIFS(D:D,D434,AS:AS,AS434)</f>
        <v>489892890.8725</v>
      </c>
      <c r="AX434" s="23">
        <f t="shared" si="189"/>
        <v>489892890.8725</v>
      </c>
      <c r="AY434" s="23">
        <f t="shared" si="190"/>
        <v>0</v>
      </c>
    </row>
    <row r="435" spans="1:51" x14ac:dyDescent="0.3">
      <c r="A435">
        <v>2022</v>
      </c>
      <c r="B435">
        <v>6</v>
      </c>
      <c r="C435">
        <v>1102060020104</v>
      </c>
      <c r="D435" s="5">
        <v>70</v>
      </c>
      <c r="E435" s="8" t="s">
        <v>922</v>
      </c>
      <c r="F435">
        <v>1102060020104</v>
      </c>
      <c r="G435" s="8" t="s">
        <v>923</v>
      </c>
      <c r="H435" t="s">
        <v>909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99845859.420000002</v>
      </c>
      <c r="X435" s="11">
        <v>99845859.420000002</v>
      </c>
      <c r="Y435" s="17">
        <v>0</v>
      </c>
      <c r="Z435" s="11">
        <v>0</v>
      </c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11">
        <v>0</v>
      </c>
      <c r="AG435" s="11">
        <v>99845859.420000002</v>
      </c>
      <c r="AH435" s="12">
        <v>-99845859.420000002</v>
      </c>
      <c r="AI435" s="11">
        <v>-99845859.420000002</v>
      </c>
      <c r="AJ435" s="11">
        <v>-99845859.420000002</v>
      </c>
      <c r="AK435" s="11">
        <v>-99845859.420000002</v>
      </c>
      <c r="AL435" s="11">
        <v>99845859.420000002</v>
      </c>
      <c r="AM435" s="11">
        <v>99845859.420000002</v>
      </c>
      <c r="AN435" s="11">
        <v>0</v>
      </c>
      <c r="AO435" s="11">
        <v>0</v>
      </c>
      <c r="AP435" s="11">
        <v>0</v>
      </c>
      <c r="AQ435" s="11">
        <v>0</v>
      </c>
      <c r="AR435" t="s">
        <v>918</v>
      </c>
      <c r="AS435" s="4" t="str">
        <f t="shared" si="187"/>
        <v>Fortalecimiento de la prestación de servicios de salud y las acciones de salud pública durante la pa</v>
      </c>
      <c r="AT435" t="str">
        <f t="shared" si="188"/>
        <v>70Fortalecimiento de la prestación de servicios de salud y las acciones de salud pública durante la pa0</v>
      </c>
      <c r="AU435" t="e">
        <f>+_xlfn.XLOOKUP(AT435,CRUCE!J:J,CRUCE!M:M)</f>
        <v>#N/A</v>
      </c>
      <c r="AV435" t="s">
        <v>1907</v>
      </c>
      <c r="AW435" s="23">
        <f>+SUMIFS(CRUCE!D:D,CRUCE!A:A,'2022'!D435,CRUCE!B:B,'2022'!AS435)/COUNTIFS(D:D,D435,AS:AS,AS435)</f>
        <v>489892890.8725</v>
      </c>
      <c r="AX435" s="23">
        <f t="shared" si="189"/>
        <v>489892890.8725</v>
      </c>
      <c r="AY435" s="23">
        <f t="shared" si="190"/>
        <v>0</v>
      </c>
    </row>
    <row r="436" spans="1:51" hidden="1" x14ac:dyDescent="0.3">
      <c r="A436">
        <v>2022</v>
      </c>
      <c r="B436">
        <v>6</v>
      </c>
      <c r="C436">
        <v>11020600203</v>
      </c>
      <c r="D436" s="5" t="s">
        <v>44</v>
      </c>
      <c r="E436" s="8" t="s">
        <v>924</v>
      </c>
      <c r="F436">
        <v>11020600203</v>
      </c>
      <c r="G436" s="8" t="s">
        <v>925</v>
      </c>
      <c r="H436" t="s">
        <v>909</v>
      </c>
      <c r="I436" s="11">
        <v>88323019442.690002</v>
      </c>
      <c r="J436" s="11">
        <v>101704884674.58</v>
      </c>
      <c r="K436" s="11">
        <v>16235344579.42</v>
      </c>
      <c r="L436" s="11">
        <v>10559948962.57</v>
      </c>
      <c r="M436" s="11">
        <v>5675395616.8500004</v>
      </c>
      <c r="N436" s="11">
        <v>2853479347.5300002</v>
      </c>
      <c r="O436" s="11">
        <v>10559948962.57</v>
      </c>
      <c r="P436" s="11">
        <v>93998415059.539993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31073999452.77</v>
      </c>
      <c r="X436" s="11">
        <v>0</v>
      </c>
      <c r="Y436" s="17">
        <v>31073999452.77</v>
      </c>
      <c r="Z436" s="11">
        <v>0</v>
      </c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11">
        <v>17376904778.91</v>
      </c>
      <c r="AG436" s="11">
        <v>0</v>
      </c>
      <c r="AH436" s="12">
        <v>17376904778.91</v>
      </c>
      <c r="AI436" s="11">
        <v>17376904778.91</v>
      </c>
      <c r="AJ436" s="11">
        <v>31073999452.77</v>
      </c>
      <c r="AK436" s="11">
        <v>17376904778.91</v>
      </c>
      <c r="AL436" s="11">
        <v>0</v>
      </c>
      <c r="AM436" s="11">
        <v>0</v>
      </c>
      <c r="AN436" s="11">
        <v>0</v>
      </c>
      <c r="AO436" s="11">
        <v>0</v>
      </c>
      <c r="AP436" s="11">
        <v>0</v>
      </c>
      <c r="AQ436" s="11">
        <v>0</v>
      </c>
      <c r="AR436" t="s">
        <v>48</v>
      </c>
      <c r="AS436"/>
      <c r="AW436"/>
      <c r="AX436"/>
      <c r="AY436"/>
    </row>
    <row r="437" spans="1:51" x14ac:dyDescent="0.3">
      <c r="A437">
        <v>2022</v>
      </c>
      <c r="B437">
        <v>6</v>
      </c>
      <c r="C437">
        <v>1102060020304</v>
      </c>
      <c r="D437" s="5">
        <v>70</v>
      </c>
      <c r="E437" s="8" t="s">
        <v>926</v>
      </c>
      <c r="F437">
        <v>1102060020304</v>
      </c>
      <c r="G437" s="8" t="s">
        <v>927</v>
      </c>
      <c r="H437" t="s">
        <v>909</v>
      </c>
      <c r="I437" s="11">
        <v>5379226408.6599998</v>
      </c>
      <c r="J437" s="11">
        <v>6218336232.6599998</v>
      </c>
      <c r="K437" s="11">
        <v>839109824</v>
      </c>
      <c r="L437" s="11">
        <v>0</v>
      </c>
      <c r="M437" s="11">
        <v>839109824</v>
      </c>
      <c r="N437" s="11">
        <v>0</v>
      </c>
      <c r="O437" s="11">
        <v>0</v>
      </c>
      <c r="P437" s="11">
        <v>6218336232.6599998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5015380324.3299999</v>
      </c>
      <c r="X437" s="11">
        <v>0</v>
      </c>
      <c r="Y437" s="17">
        <v>5015380324.3299999</v>
      </c>
      <c r="Z437" s="11">
        <v>0</v>
      </c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11">
        <v>1673099360.8099999</v>
      </c>
      <c r="AG437" s="11">
        <v>0</v>
      </c>
      <c r="AH437" s="12">
        <v>1673099360.8099999</v>
      </c>
      <c r="AI437" s="11">
        <v>1673099360.8099999</v>
      </c>
      <c r="AJ437" s="11">
        <v>5015380324.3299999</v>
      </c>
      <c r="AK437" s="11">
        <v>1673099360.8099999</v>
      </c>
      <c r="AL437" s="11">
        <v>0</v>
      </c>
      <c r="AM437" s="11">
        <v>0</v>
      </c>
      <c r="AN437" s="11">
        <v>0</v>
      </c>
      <c r="AO437" s="11">
        <v>0</v>
      </c>
      <c r="AP437" s="11">
        <v>0</v>
      </c>
      <c r="AQ437" s="11">
        <v>0</v>
      </c>
      <c r="AR437" t="s">
        <v>918</v>
      </c>
      <c r="AS437" s="4" t="str">
        <f t="shared" ref="AS437:AS454" si="191">+G437</f>
        <v xml:space="preserve">Remodelación, modernización y equipamiento de áreas resultantes del reforzamiento estructural y del </v>
      </c>
      <c r="AT437" t="str">
        <f t="shared" ref="AT437:AT454" si="192">+D437&amp;AS437&amp;Y437</f>
        <v>70Remodelación, modernización y equipamiento de áreas resultantes del reforzamiento estructural y del 5015380324,33</v>
      </c>
      <c r="AU437" t="str">
        <f>+_xlfn.XLOOKUP(AT437,CRUCE!J:J,CRUCE!M:M)</f>
        <v>READY</v>
      </c>
      <c r="AV437" t="s">
        <v>1907</v>
      </c>
      <c r="AW437" s="23">
        <f>+SUMIFS(CRUCE!D:D,CRUCE!A:A,'2022'!D437,CRUCE!B:B,'2022'!AS437)/COUNTIFS(D:D,D437,AS:AS,AS437)</f>
        <v>5015380324.3299999</v>
      </c>
      <c r="AX437" s="23">
        <f t="shared" ref="AX437:AX454" si="193">+SUMIFS(Y:Y,D:D,D437,AS:AS,AS437)/COUNTIFS(D:D,D437,AS:AS,AS437)</f>
        <v>5015380324.3299999</v>
      </c>
      <c r="AY437" s="23">
        <f t="shared" ref="AY437:AY454" si="194">+AW437-AX437</f>
        <v>0</v>
      </c>
    </row>
    <row r="438" spans="1:51" x14ac:dyDescent="0.3">
      <c r="A438">
        <v>2022</v>
      </c>
      <c r="B438">
        <v>6</v>
      </c>
      <c r="C438">
        <v>1102060020306</v>
      </c>
      <c r="D438" s="5">
        <v>70</v>
      </c>
      <c r="E438" s="8" t="s">
        <v>928</v>
      </c>
      <c r="F438">
        <v>1102060020306</v>
      </c>
      <c r="G438" s="8" t="s">
        <v>929</v>
      </c>
      <c r="H438" t="s">
        <v>909</v>
      </c>
      <c r="I438" s="11">
        <v>2714111</v>
      </c>
      <c r="J438" s="11">
        <v>2714111</v>
      </c>
      <c r="K438" s="11">
        <v>0</v>
      </c>
      <c r="L438" s="11">
        <v>2714111</v>
      </c>
      <c r="M438" s="11">
        <v>-2714111</v>
      </c>
      <c r="N438" s="11">
        <v>0</v>
      </c>
      <c r="O438" s="11">
        <v>2714111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7">
        <v>0</v>
      </c>
      <c r="Z438" s="11">
        <v>0</v>
      </c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2">
        <v>0</v>
      </c>
      <c r="AI438" s="11">
        <v>0</v>
      </c>
      <c r="AJ438" s="11">
        <v>0</v>
      </c>
      <c r="AK438" s="11">
        <v>0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t="s">
        <v>918</v>
      </c>
      <c r="AS438" s="4" t="str">
        <f t="shared" si="191"/>
        <v xml:space="preserve">Fortalecimiento de la Calidad educativa en las instituciones educativas, mediante la incorpación de </v>
      </c>
      <c r="AT438" t="str">
        <f t="shared" si="192"/>
        <v>70Fortalecimiento de la Calidad educativa en las instituciones educativas, mediante la incorpación de 0</v>
      </c>
      <c r="AU438" t="str">
        <f>+_xlfn.XLOOKUP(AT438,CRUCE!J:J,CRUCE!M:M)</f>
        <v>READY</v>
      </c>
      <c r="AV438" t="s">
        <v>1907</v>
      </c>
      <c r="AW438" s="23">
        <f>+SUMIFS(CRUCE!D:D,CRUCE!A:A,'2022'!D438,CRUCE!B:B,'2022'!AS438)/COUNTIFS(D:D,D438,AS:AS,AS438)</f>
        <v>0</v>
      </c>
      <c r="AX438" s="23">
        <f t="shared" si="193"/>
        <v>0</v>
      </c>
      <c r="AY438" s="23">
        <f t="shared" si="194"/>
        <v>0</v>
      </c>
    </row>
    <row r="439" spans="1:51" x14ac:dyDescent="0.3">
      <c r="A439">
        <v>2022</v>
      </c>
      <c r="B439">
        <v>6</v>
      </c>
      <c r="C439">
        <v>1102060020308</v>
      </c>
      <c r="D439" s="5">
        <v>70</v>
      </c>
      <c r="E439" s="8" t="s">
        <v>930</v>
      </c>
      <c r="F439">
        <v>1102060020308</v>
      </c>
      <c r="G439" s="8" t="s">
        <v>931</v>
      </c>
      <c r="H439" t="s">
        <v>909</v>
      </c>
      <c r="I439" s="11">
        <v>0</v>
      </c>
      <c r="J439" s="11">
        <v>7199513365.8900003</v>
      </c>
      <c r="K439" s="11">
        <v>7199513365.8900003</v>
      </c>
      <c r="L439" s="11">
        <v>0</v>
      </c>
      <c r="M439" s="11">
        <v>7199513365.8900003</v>
      </c>
      <c r="N439" s="11">
        <v>0</v>
      </c>
      <c r="O439" s="11">
        <v>0</v>
      </c>
      <c r="P439" s="11">
        <v>7199513365.8900003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298783333</v>
      </c>
      <c r="X439" s="11">
        <v>0</v>
      </c>
      <c r="Y439" s="17">
        <v>298783333</v>
      </c>
      <c r="Z439" s="11">
        <v>0</v>
      </c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11">
        <v>156783333</v>
      </c>
      <c r="AG439" s="11">
        <v>0</v>
      </c>
      <c r="AH439" s="12">
        <v>156783333</v>
      </c>
      <c r="AI439" s="11">
        <v>156783333</v>
      </c>
      <c r="AJ439" s="11">
        <v>298783333</v>
      </c>
      <c r="AK439" s="11">
        <v>156783333</v>
      </c>
      <c r="AL439" s="11">
        <v>0</v>
      </c>
      <c r="AM439" s="11">
        <v>0</v>
      </c>
      <c r="AN439" s="11">
        <v>0</v>
      </c>
      <c r="AO439" s="11">
        <v>0</v>
      </c>
      <c r="AP439" s="11">
        <v>0</v>
      </c>
      <c r="AQ439" s="11">
        <v>0</v>
      </c>
      <c r="AR439" t="s">
        <v>918</v>
      </c>
      <c r="AS439" s="4" t="str">
        <f t="shared" si="191"/>
        <v xml:space="preserve">Desarrollo de Instrumentos y Herramientas para la planeación y gestión del ordenamiento territorial </v>
      </c>
      <c r="AT439" t="str">
        <f t="shared" si="192"/>
        <v>70Desarrollo de Instrumentos y Herramientas para la planeación y gestión del ordenamiento territorial 298783333</v>
      </c>
      <c r="AU439" t="str">
        <f>+_xlfn.XLOOKUP(AT439,CRUCE!J:J,CRUCE!M:M)</f>
        <v>READY</v>
      </c>
      <c r="AV439" t="s">
        <v>1907</v>
      </c>
      <c r="AW439" s="23">
        <f>+SUMIFS(CRUCE!D:D,CRUCE!A:A,'2022'!D439,CRUCE!B:B,'2022'!AS439)/COUNTIFS(D:D,D439,AS:AS,AS439)</f>
        <v>298783333</v>
      </c>
      <c r="AX439" s="23">
        <f t="shared" si="193"/>
        <v>298783333</v>
      </c>
      <c r="AY439" s="23">
        <f t="shared" si="194"/>
        <v>0</v>
      </c>
    </row>
    <row r="440" spans="1:51" x14ac:dyDescent="0.3">
      <c r="A440">
        <v>2022</v>
      </c>
      <c r="B440">
        <v>6</v>
      </c>
      <c r="C440">
        <v>1102060020312</v>
      </c>
      <c r="D440" s="5">
        <v>70</v>
      </c>
      <c r="E440" s="8" t="s">
        <v>932</v>
      </c>
      <c r="F440">
        <v>1102060020312</v>
      </c>
      <c r="G440" s="8" t="s">
        <v>933</v>
      </c>
      <c r="H440" t="s">
        <v>909</v>
      </c>
      <c r="I440" s="11">
        <v>202706925.94</v>
      </c>
      <c r="J440" s="11">
        <v>202706925.94</v>
      </c>
      <c r="K440" s="11">
        <v>0</v>
      </c>
      <c r="L440" s="11">
        <v>202706925.94</v>
      </c>
      <c r="M440" s="11">
        <v>-202706925.94</v>
      </c>
      <c r="N440" s="11">
        <v>0</v>
      </c>
      <c r="O440" s="11">
        <v>202706925.94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7">
        <v>0</v>
      </c>
      <c r="Z440" s="11">
        <v>0</v>
      </c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12">
        <v>0</v>
      </c>
      <c r="AI440" s="11">
        <v>0</v>
      </c>
      <c r="AJ440" s="11">
        <v>0</v>
      </c>
      <c r="AK440" s="11">
        <v>0</v>
      </c>
      <c r="AL440" s="11">
        <v>0</v>
      </c>
      <c r="AM440" s="11">
        <v>0</v>
      </c>
      <c r="AN440" s="11">
        <v>0</v>
      </c>
      <c r="AO440" s="11">
        <v>0</v>
      </c>
      <c r="AP440" s="11">
        <v>0</v>
      </c>
      <c r="AQ440" s="11">
        <v>0</v>
      </c>
      <c r="AR440" t="s">
        <v>918</v>
      </c>
      <c r="AS440" s="4" t="str">
        <f t="shared" si="191"/>
        <v>Mantenimiento, mejoramiento y/o rehabilitación de  obras físicas de infraestructura deportiva y recr</v>
      </c>
      <c r="AT440" t="str">
        <f t="shared" si="192"/>
        <v>70Mantenimiento, mejoramiento y/o rehabilitación de  obras físicas de infraestructura deportiva y recr0</v>
      </c>
      <c r="AU440" t="str">
        <f>+_xlfn.XLOOKUP(AT440,CRUCE!J:J,CRUCE!M:M)</f>
        <v>READY</v>
      </c>
      <c r="AV440" t="s">
        <v>1907</v>
      </c>
      <c r="AW440" s="23">
        <f>+SUMIFS(CRUCE!D:D,CRUCE!A:A,'2022'!D440,CRUCE!B:B,'2022'!AS440)/COUNTIFS(D:D,D440,AS:AS,AS440)</f>
        <v>0</v>
      </c>
      <c r="AX440" s="23">
        <f t="shared" si="193"/>
        <v>0</v>
      </c>
      <c r="AY440" s="23">
        <f t="shared" si="194"/>
        <v>0</v>
      </c>
    </row>
    <row r="441" spans="1:51" x14ac:dyDescent="0.3">
      <c r="A441">
        <v>2022</v>
      </c>
      <c r="B441">
        <v>6</v>
      </c>
      <c r="C441">
        <v>1102060020314</v>
      </c>
      <c r="D441" s="5">
        <v>70</v>
      </c>
      <c r="E441" s="8" t="s">
        <v>934</v>
      </c>
      <c r="F441">
        <v>1102060020314</v>
      </c>
      <c r="G441" s="8" t="s">
        <v>935</v>
      </c>
      <c r="H441" t="s">
        <v>909</v>
      </c>
      <c r="I441" s="11">
        <v>7739633587</v>
      </c>
      <c r="J441" s="11">
        <v>7739633587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7739633587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2301932236.3000002</v>
      </c>
      <c r="X441" s="11">
        <v>0</v>
      </c>
      <c r="Y441" s="17">
        <v>2301932236.3000002</v>
      </c>
      <c r="Z441" s="11">
        <v>0</v>
      </c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11">
        <v>2301932236.3000002</v>
      </c>
      <c r="AG441" s="11">
        <v>0</v>
      </c>
      <c r="AH441" s="12">
        <v>2301932236.3000002</v>
      </c>
      <c r="AI441" s="11">
        <v>2301932236.3000002</v>
      </c>
      <c r="AJ441" s="11">
        <v>2301932236.3000002</v>
      </c>
      <c r="AK441" s="11">
        <v>2301932236.3000002</v>
      </c>
      <c r="AL441" s="11">
        <v>0</v>
      </c>
      <c r="AM441" s="11">
        <v>0</v>
      </c>
      <c r="AN441" s="11">
        <v>0</v>
      </c>
      <c r="AO441" s="11">
        <v>0</v>
      </c>
      <c r="AP441" s="11">
        <v>0</v>
      </c>
      <c r="AQ441" s="11">
        <v>0</v>
      </c>
      <c r="AR441" t="s">
        <v>918</v>
      </c>
      <c r="AS441" s="4" t="str">
        <f t="shared" si="191"/>
        <v>Generación de instrumentos de valoración de la amenaza sísmica para el desarrollo de procesos de red</v>
      </c>
      <c r="AT441" t="str">
        <f t="shared" si="192"/>
        <v>70Generación de instrumentos de valoración de la amenaza sísmica para el desarrollo de procesos de red2301932236,3</v>
      </c>
      <c r="AU441" t="str">
        <f>+_xlfn.XLOOKUP(AT441,CRUCE!J:J,CRUCE!M:M)</f>
        <v>READY</v>
      </c>
      <c r="AV441" t="s">
        <v>1907</v>
      </c>
      <c r="AW441" s="23">
        <f>+SUMIFS(CRUCE!D:D,CRUCE!A:A,'2022'!D441,CRUCE!B:B,'2022'!AS441)/COUNTIFS(D:D,D441,AS:AS,AS441)</f>
        <v>2301932236.3000002</v>
      </c>
      <c r="AX441" s="23">
        <f t="shared" si="193"/>
        <v>2301932236.3000002</v>
      </c>
      <c r="AY441" s="23">
        <f t="shared" si="194"/>
        <v>0</v>
      </c>
    </row>
    <row r="442" spans="1:51" x14ac:dyDescent="0.3">
      <c r="A442">
        <v>2022</v>
      </c>
      <c r="B442">
        <v>6</v>
      </c>
      <c r="C442">
        <v>1102060020315</v>
      </c>
      <c r="D442" s="5">
        <v>70</v>
      </c>
      <c r="E442" s="8" t="s">
        <v>936</v>
      </c>
      <c r="F442">
        <v>1102060020315</v>
      </c>
      <c r="G442" s="8" t="s">
        <v>937</v>
      </c>
      <c r="H442" t="s">
        <v>909</v>
      </c>
      <c r="I442" s="11">
        <v>13686340513</v>
      </c>
      <c r="J442" s="11">
        <v>16189283851</v>
      </c>
      <c r="K442" s="11">
        <v>2502943338</v>
      </c>
      <c r="L442" s="11">
        <v>0</v>
      </c>
      <c r="M442" s="11">
        <v>2502943338</v>
      </c>
      <c r="N442" s="11">
        <v>0</v>
      </c>
      <c r="O442" s="11">
        <v>0</v>
      </c>
      <c r="P442" s="11">
        <v>16189283851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2619930370</v>
      </c>
      <c r="X442" s="11">
        <v>0</v>
      </c>
      <c r="Y442" s="17">
        <v>2619930370</v>
      </c>
      <c r="Z442" s="11">
        <v>0</v>
      </c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11">
        <v>1768159837</v>
      </c>
      <c r="AG442" s="11">
        <v>0</v>
      </c>
      <c r="AH442" s="12">
        <v>1768159837</v>
      </c>
      <c r="AI442" s="11">
        <v>1768159837</v>
      </c>
      <c r="AJ442" s="11">
        <v>2619930370</v>
      </c>
      <c r="AK442" s="11">
        <v>1768159837</v>
      </c>
      <c r="AL442" s="11">
        <v>0</v>
      </c>
      <c r="AM442" s="11">
        <v>0</v>
      </c>
      <c r="AN442" s="11">
        <v>0</v>
      </c>
      <c r="AO442" s="11">
        <v>0</v>
      </c>
      <c r="AP442" s="11">
        <v>0</v>
      </c>
      <c r="AQ442" s="11">
        <v>0</v>
      </c>
      <c r="AR442" t="s">
        <v>918</v>
      </c>
      <c r="AS442" s="4" t="str">
        <f t="shared" si="191"/>
        <v>Implementación de Acciones de Adaptación Etapa I del Plan de Gestión Integral del Cambio Climático (</v>
      </c>
      <c r="AT442" t="str">
        <f t="shared" si="192"/>
        <v>70Implementación de Acciones de Adaptación Etapa I del Plan de Gestión Integral del Cambio Climático (2619930370</v>
      </c>
      <c r="AU442" t="str">
        <f>+_xlfn.XLOOKUP(AT442,CRUCE!J:J,CRUCE!M:M)</f>
        <v>READY</v>
      </c>
      <c r="AV442" t="s">
        <v>1907</v>
      </c>
      <c r="AW442" s="23">
        <f>+SUMIFS(CRUCE!D:D,CRUCE!A:A,'2022'!D442,CRUCE!B:B,'2022'!AS442)/COUNTIFS(D:D,D442,AS:AS,AS442)</f>
        <v>2619930370</v>
      </c>
      <c r="AX442" s="23">
        <f t="shared" si="193"/>
        <v>2619930370</v>
      </c>
      <c r="AY442" s="23">
        <f t="shared" si="194"/>
        <v>0</v>
      </c>
    </row>
    <row r="443" spans="1:51" x14ac:dyDescent="0.3">
      <c r="A443">
        <v>2022</v>
      </c>
      <c r="B443">
        <v>6</v>
      </c>
      <c r="C443">
        <v>1102060020328</v>
      </c>
      <c r="D443" s="5">
        <v>70</v>
      </c>
      <c r="E443" s="8" t="s">
        <v>938</v>
      </c>
      <c r="F443">
        <v>1102060020328</v>
      </c>
      <c r="G443" s="8" t="s">
        <v>939</v>
      </c>
      <c r="H443" t="s">
        <v>909</v>
      </c>
      <c r="I443" s="11">
        <v>5785349332</v>
      </c>
      <c r="J443" s="11">
        <v>5785349332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5785349332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1580126978.6800001</v>
      </c>
      <c r="X443" s="11">
        <v>0</v>
      </c>
      <c r="Y443" s="17">
        <v>1580126978.6800001</v>
      </c>
      <c r="Z443" s="11">
        <v>0</v>
      </c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11">
        <v>1526320645.6800001</v>
      </c>
      <c r="AG443" s="11">
        <v>0</v>
      </c>
      <c r="AH443" s="12">
        <v>1526320645.6800001</v>
      </c>
      <c r="AI443" s="11">
        <v>1526320645.6800001</v>
      </c>
      <c r="AJ443" s="11">
        <v>1580126978.6800001</v>
      </c>
      <c r="AK443" s="11">
        <v>1526320645.6800001</v>
      </c>
      <c r="AL443" s="11">
        <v>0</v>
      </c>
      <c r="AM443" s="11">
        <v>0</v>
      </c>
      <c r="AN443" s="11">
        <v>0</v>
      </c>
      <c r="AO443" s="11">
        <v>0</v>
      </c>
      <c r="AP443" s="11">
        <v>0</v>
      </c>
      <c r="AQ443" s="11">
        <v>0</v>
      </c>
      <c r="AR443" t="s">
        <v>918</v>
      </c>
      <c r="AS443" s="4" t="str">
        <f t="shared" si="191"/>
        <v>Implementación del Prgrama Integral de Bilinguismo Quindio Bilingue y Competitivo en el Departamento</v>
      </c>
      <c r="AT443" t="str">
        <f t="shared" si="192"/>
        <v>70Implementación del Prgrama Integral de Bilinguismo Quindio Bilingue y Competitivo en el Departamento1580126978,68</v>
      </c>
      <c r="AU443" t="str">
        <f>+_xlfn.XLOOKUP(AT443,CRUCE!J:J,CRUCE!M:M)</f>
        <v>READY</v>
      </c>
      <c r="AV443" t="s">
        <v>1907</v>
      </c>
      <c r="AW443" s="23">
        <f>+SUMIFS(CRUCE!D:D,CRUCE!A:A,'2022'!D443,CRUCE!B:B,'2022'!AS443)/COUNTIFS(D:D,D443,AS:AS,AS443)</f>
        <v>1580126978.6800001</v>
      </c>
      <c r="AX443" s="23">
        <f t="shared" si="193"/>
        <v>1580126978.6800001</v>
      </c>
      <c r="AY443" s="23">
        <f t="shared" si="194"/>
        <v>0</v>
      </c>
    </row>
    <row r="444" spans="1:51" x14ac:dyDescent="0.3">
      <c r="A444">
        <v>2022</v>
      </c>
      <c r="B444">
        <v>6</v>
      </c>
      <c r="C444">
        <v>1102060020329</v>
      </c>
      <c r="D444" s="5">
        <v>70</v>
      </c>
      <c r="E444" s="8" t="s">
        <v>940</v>
      </c>
      <c r="F444">
        <v>1102060020329</v>
      </c>
      <c r="G444" s="8" t="s">
        <v>941</v>
      </c>
      <c r="H444" t="s">
        <v>909</v>
      </c>
      <c r="I444" s="11">
        <v>179946655.40000001</v>
      </c>
      <c r="J444" s="11">
        <v>475298836.39999998</v>
      </c>
      <c r="K444" s="11">
        <v>345151137</v>
      </c>
      <c r="L444" s="11">
        <v>0</v>
      </c>
      <c r="M444" s="11">
        <v>345151137</v>
      </c>
      <c r="N444" s="11">
        <v>49798956</v>
      </c>
      <c r="O444" s="11">
        <v>0</v>
      </c>
      <c r="P444" s="11">
        <v>525097792.39999998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437564038.63</v>
      </c>
      <c r="X444" s="11">
        <v>0</v>
      </c>
      <c r="Y444" s="17">
        <v>437564038.63</v>
      </c>
      <c r="Z444" s="11">
        <v>0</v>
      </c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11">
        <v>437564038.63</v>
      </c>
      <c r="AG444" s="11">
        <v>0</v>
      </c>
      <c r="AH444" s="12">
        <v>437564038.63</v>
      </c>
      <c r="AI444" s="11">
        <v>437564038.63</v>
      </c>
      <c r="AJ444" s="11">
        <v>437564038.63</v>
      </c>
      <c r="AK444" s="11">
        <v>437564038.63</v>
      </c>
      <c r="AL444" s="11">
        <v>0</v>
      </c>
      <c r="AM444" s="11">
        <v>0</v>
      </c>
      <c r="AN444" s="11">
        <v>0</v>
      </c>
      <c r="AO444" s="11">
        <v>0</v>
      </c>
      <c r="AP444" s="11">
        <v>0</v>
      </c>
      <c r="AQ444" s="11">
        <v>0</v>
      </c>
      <c r="AR444" t="s">
        <v>918</v>
      </c>
      <c r="AS444" s="4" t="str">
        <f t="shared" si="191"/>
        <v>Construcción de pavimento en concreto asfaltico para el desarrollo regional y la conectividad  en lo</v>
      </c>
      <c r="AT444" t="str">
        <f t="shared" si="192"/>
        <v>70Construcción de pavimento en concreto asfaltico para el desarrollo regional y la conectividad  en lo437564038,63</v>
      </c>
      <c r="AU444" t="str">
        <f>+_xlfn.XLOOKUP(AT444,CRUCE!J:J,CRUCE!M:M)</f>
        <v>READY</v>
      </c>
      <c r="AV444" t="s">
        <v>1907</v>
      </c>
      <c r="AW444" s="23">
        <f>+SUMIFS(CRUCE!D:D,CRUCE!A:A,'2022'!D444,CRUCE!B:B,'2022'!AS444)/COUNTIFS(D:D,D444,AS:AS,AS444)</f>
        <v>437564038.63</v>
      </c>
      <c r="AX444" s="23">
        <f t="shared" si="193"/>
        <v>437564038.63</v>
      </c>
      <c r="AY444" s="23">
        <f t="shared" si="194"/>
        <v>0</v>
      </c>
    </row>
    <row r="445" spans="1:51" x14ac:dyDescent="0.3">
      <c r="A445">
        <v>2022</v>
      </c>
      <c r="B445">
        <v>6</v>
      </c>
      <c r="C445">
        <v>1102060020334</v>
      </c>
      <c r="D445" s="5">
        <v>70</v>
      </c>
      <c r="E445" s="8" t="s">
        <v>942</v>
      </c>
      <c r="F445">
        <v>1102060020334</v>
      </c>
      <c r="G445" s="8" t="s">
        <v>943</v>
      </c>
      <c r="H445" t="s">
        <v>909</v>
      </c>
      <c r="I445" s="11">
        <v>10046273.300000001</v>
      </c>
      <c r="J445" s="11">
        <v>10046273.300000001</v>
      </c>
      <c r="K445" s="11">
        <v>0</v>
      </c>
      <c r="L445" s="11">
        <v>10046273.300000001</v>
      </c>
      <c r="M445" s="11">
        <v>-10046273.300000001</v>
      </c>
      <c r="N445" s="11">
        <v>0</v>
      </c>
      <c r="O445" s="11">
        <v>10046273.300000001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7">
        <v>0</v>
      </c>
      <c r="Z445" s="11">
        <v>0</v>
      </c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11">
        <v>0</v>
      </c>
      <c r="AG445" s="11">
        <v>0</v>
      </c>
      <c r="AH445" s="12">
        <v>0</v>
      </c>
      <c r="AI445" s="11">
        <v>0</v>
      </c>
      <c r="AJ445" s="11">
        <v>0</v>
      </c>
      <c r="AK445" s="11">
        <v>0</v>
      </c>
      <c r="AL445" s="11">
        <v>0</v>
      </c>
      <c r="AM445" s="11">
        <v>0</v>
      </c>
      <c r="AN445" s="11">
        <v>0</v>
      </c>
      <c r="AO445" s="11">
        <v>0</v>
      </c>
      <c r="AP445" s="11">
        <v>0</v>
      </c>
      <c r="AQ445" s="11">
        <v>0</v>
      </c>
      <c r="AR445" t="s">
        <v>918</v>
      </c>
      <c r="AS445" s="4" t="str">
        <f t="shared" si="191"/>
        <v>Mejoramiento de Vías Terciarias Mediante el Uso de Placa Huella en el Departamento de Quindio (Proye</v>
      </c>
      <c r="AT445" t="str">
        <f t="shared" si="192"/>
        <v>70Mejoramiento de Vías Terciarias Mediante el Uso de Placa Huella en el Departamento de Quindio (Proye0</v>
      </c>
      <c r="AU445" t="str">
        <f>+_xlfn.XLOOKUP(AT445,CRUCE!J:J,CRUCE!M:M)</f>
        <v>READY</v>
      </c>
      <c r="AV445" t="s">
        <v>1907</v>
      </c>
      <c r="AW445" s="23">
        <f>+SUMIFS(CRUCE!D:D,CRUCE!A:A,'2022'!D445,CRUCE!B:B,'2022'!AS445)/COUNTIFS(D:D,D445,AS:AS,AS445)</f>
        <v>0</v>
      </c>
      <c r="AX445" s="23">
        <f t="shared" si="193"/>
        <v>0</v>
      </c>
      <c r="AY445" s="23">
        <f t="shared" si="194"/>
        <v>0</v>
      </c>
    </row>
    <row r="446" spans="1:51" x14ac:dyDescent="0.3">
      <c r="A446">
        <v>2022</v>
      </c>
      <c r="B446">
        <v>6</v>
      </c>
      <c r="C446">
        <v>1102060020338</v>
      </c>
      <c r="D446" s="5">
        <v>70</v>
      </c>
      <c r="E446" s="8" t="s">
        <v>944</v>
      </c>
      <c r="F446">
        <v>1102060020338</v>
      </c>
      <c r="G446" s="8" t="s">
        <v>945</v>
      </c>
      <c r="H446" t="s">
        <v>909</v>
      </c>
      <c r="I446" s="11">
        <v>502410770.13</v>
      </c>
      <c r="J446" s="11">
        <v>502410770.13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502410770.13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423928133.81</v>
      </c>
      <c r="X446" s="11">
        <v>0</v>
      </c>
      <c r="Y446" s="17">
        <v>423928133.81</v>
      </c>
      <c r="Z446" s="11">
        <v>0</v>
      </c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12">
        <v>0</v>
      </c>
      <c r="AI446" s="11">
        <v>0</v>
      </c>
      <c r="AJ446" s="11">
        <v>423928133.81</v>
      </c>
      <c r="AK446" s="11">
        <v>0</v>
      </c>
      <c r="AL446" s="11">
        <v>0</v>
      </c>
      <c r="AM446" s="11">
        <v>0</v>
      </c>
      <c r="AN446" s="11">
        <v>0</v>
      </c>
      <c r="AO446" s="11">
        <v>0</v>
      </c>
      <c r="AP446" s="11">
        <v>0</v>
      </c>
      <c r="AQ446" s="11">
        <v>0</v>
      </c>
      <c r="AR446" t="s">
        <v>918</v>
      </c>
      <c r="AS446" s="4" t="str">
        <f t="shared" si="191"/>
        <v>Remodelación y Optimización de Escenarios Deportivos, Obras de Urbanismo Complementarias y Movilidad</v>
      </c>
      <c r="AT446" t="str">
        <f t="shared" si="192"/>
        <v>70Remodelación y Optimización de Escenarios Deportivos, Obras de Urbanismo Complementarias y Movilidad423928133,81</v>
      </c>
      <c r="AU446" t="str">
        <f>+_xlfn.XLOOKUP(AT446,CRUCE!J:J,CRUCE!M:M)</f>
        <v>READY</v>
      </c>
      <c r="AV446" t="s">
        <v>1907</v>
      </c>
      <c r="AW446" s="23">
        <f>+SUMIFS(CRUCE!D:D,CRUCE!A:A,'2022'!D446,CRUCE!B:B,'2022'!AS446)/COUNTIFS(D:D,D446,AS:AS,AS446)</f>
        <v>423928133.81</v>
      </c>
      <c r="AX446" s="23">
        <f t="shared" si="193"/>
        <v>423928133.81</v>
      </c>
      <c r="AY446" s="23">
        <f t="shared" si="194"/>
        <v>0</v>
      </c>
    </row>
    <row r="447" spans="1:51" x14ac:dyDescent="0.3">
      <c r="A447">
        <v>2022</v>
      </c>
      <c r="B447">
        <v>6</v>
      </c>
      <c r="C447">
        <v>1102060020342</v>
      </c>
      <c r="D447" s="5">
        <v>70</v>
      </c>
      <c r="E447" s="8" t="s">
        <v>946</v>
      </c>
      <c r="F447">
        <v>1102060020342</v>
      </c>
      <c r="G447" s="8" t="s">
        <v>947</v>
      </c>
      <c r="H447" t="s">
        <v>909</v>
      </c>
      <c r="I447" s="11">
        <v>17217114069.25</v>
      </c>
      <c r="J447" s="11">
        <v>17217114069.25</v>
      </c>
      <c r="K447" s="11">
        <v>2803680391.5300002</v>
      </c>
      <c r="L447" s="11">
        <v>0</v>
      </c>
      <c r="M447" s="11">
        <v>2803680391.5300002</v>
      </c>
      <c r="N447" s="11">
        <v>2803680391.5300002</v>
      </c>
      <c r="O447" s="11">
        <v>0</v>
      </c>
      <c r="P447" s="11">
        <v>20020794460.779999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392656792.43000001</v>
      </c>
      <c r="X447" s="11">
        <v>0</v>
      </c>
      <c r="Y447" s="17">
        <v>392656792.43000001</v>
      </c>
      <c r="Z447" s="11">
        <v>0</v>
      </c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11">
        <v>0</v>
      </c>
      <c r="AG447" s="11">
        <v>0</v>
      </c>
      <c r="AH447" s="12">
        <v>0</v>
      </c>
      <c r="AI447" s="11">
        <v>0</v>
      </c>
      <c r="AJ447" s="11">
        <v>392656792.43000001</v>
      </c>
      <c r="AK447" s="11">
        <v>0</v>
      </c>
      <c r="AL447" s="11">
        <v>0</v>
      </c>
      <c r="AM447" s="11">
        <v>0</v>
      </c>
      <c r="AN447" s="11">
        <v>0</v>
      </c>
      <c r="AO447" s="11">
        <v>0</v>
      </c>
      <c r="AP447" s="11">
        <v>0</v>
      </c>
      <c r="AQ447" s="11">
        <v>0</v>
      </c>
      <c r="AR447" t="s">
        <v>918</v>
      </c>
      <c r="AS447" s="4" t="str">
        <f t="shared" si="191"/>
        <v>Construcción Obras de estabilización y rehabilitación de la vía Rio Verde-Pijao (cod.40qn03), estabi</v>
      </c>
      <c r="AT447" t="str">
        <f t="shared" si="192"/>
        <v>70Construcción Obras de estabilización y rehabilitación de la vía Rio Verde-Pijao (cod.40qn03), estabi392656792,43</v>
      </c>
      <c r="AU447" t="str">
        <f>+_xlfn.XLOOKUP(AT447,CRUCE!J:J,CRUCE!M:M)</f>
        <v>READY</v>
      </c>
      <c r="AV447" t="s">
        <v>1907</v>
      </c>
      <c r="AW447" s="23">
        <f>+SUMIFS(CRUCE!D:D,CRUCE!A:A,'2022'!D447,CRUCE!B:B,'2022'!AS447)/COUNTIFS(D:D,D447,AS:AS,AS447)</f>
        <v>392656792.43000001</v>
      </c>
      <c r="AX447" s="23">
        <f t="shared" si="193"/>
        <v>392656792.43000001</v>
      </c>
      <c r="AY447" s="23">
        <f t="shared" si="194"/>
        <v>0</v>
      </c>
    </row>
    <row r="448" spans="1:51" x14ac:dyDescent="0.3">
      <c r="A448">
        <v>2022</v>
      </c>
      <c r="B448">
        <v>6</v>
      </c>
      <c r="C448">
        <v>1102060020346</v>
      </c>
      <c r="D448" s="5">
        <v>70</v>
      </c>
      <c r="E448" s="8" t="s">
        <v>948</v>
      </c>
      <c r="F448">
        <v>1102060020346</v>
      </c>
      <c r="G448" s="8" t="s">
        <v>949</v>
      </c>
      <c r="H448" t="s">
        <v>909</v>
      </c>
      <c r="I448" s="11">
        <v>3234527369</v>
      </c>
      <c r="J448" s="11">
        <v>3234527369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3234527369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112589000</v>
      </c>
      <c r="X448" s="11">
        <v>0</v>
      </c>
      <c r="Y448" s="17">
        <v>112589000</v>
      </c>
      <c r="Z448" s="11">
        <v>0</v>
      </c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11">
        <v>69560500</v>
      </c>
      <c r="AG448" s="11">
        <v>0</v>
      </c>
      <c r="AH448" s="12">
        <v>69560500</v>
      </c>
      <c r="AI448" s="11">
        <v>69560500</v>
      </c>
      <c r="AJ448" s="11">
        <v>112589000</v>
      </c>
      <c r="AK448" s="11">
        <v>69560500</v>
      </c>
      <c r="AL448" s="11">
        <v>0</v>
      </c>
      <c r="AM448" s="11">
        <v>0</v>
      </c>
      <c r="AN448" s="11">
        <v>0</v>
      </c>
      <c r="AO448" s="11">
        <v>0</v>
      </c>
      <c r="AP448" s="11">
        <v>0</v>
      </c>
      <c r="AQ448" s="11">
        <v>0</v>
      </c>
      <c r="AR448" t="s">
        <v>918</v>
      </c>
      <c r="AS448" s="4" t="str">
        <f t="shared" si="191"/>
        <v>Implementación de un programa de educación superior para la profesionalización de los artistas, como</v>
      </c>
      <c r="AT448" t="str">
        <f t="shared" si="192"/>
        <v>70Implementación de un programa de educación superior para la profesionalización de los artistas, como112589000</v>
      </c>
      <c r="AU448" t="str">
        <f>+_xlfn.XLOOKUP(AT448,CRUCE!J:J,CRUCE!M:M)</f>
        <v>READY</v>
      </c>
      <c r="AV448" t="s">
        <v>1907</v>
      </c>
      <c r="AW448" s="23">
        <f>+SUMIFS(CRUCE!D:D,CRUCE!A:A,'2022'!D448,CRUCE!B:B,'2022'!AS448)/COUNTIFS(D:D,D448,AS:AS,AS448)</f>
        <v>112589000</v>
      </c>
      <c r="AX448" s="23">
        <f t="shared" si="193"/>
        <v>112589000</v>
      </c>
      <c r="AY448" s="23">
        <f t="shared" si="194"/>
        <v>0</v>
      </c>
    </row>
    <row r="449" spans="1:51" x14ac:dyDescent="0.3">
      <c r="A449">
        <v>2022</v>
      </c>
      <c r="B449">
        <v>6</v>
      </c>
      <c r="C449">
        <v>1102060020349</v>
      </c>
      <c r="D449" s="5">
        <v>70</v>
      </c>
      <c r="E449" s="8" t="s">
        <v>950</v>
      </c>
      <c r="F449">
        <v>1102060020349</v>
      </c>
      <c r="G449" s="8" t="s">
        <v>951</v>
      </c>
      <c r="H449" t="s">
        <v>909</v>
      </c>
      <c r="I449" s="11">
        <v>116359760.79000001</v>
      </c>
      <c r="J449" s="11">
        <v>116359760.79000001</v>
      </c>
      <c r="K449" s="11">
        <v>0</v>
      </c>
      <c r="L449" s="11">
        <v>116359760.79000001</v>
      </c>
      <c r="M449" s="11">
        <v>-116359760.79000001</v>
      </c>
      <c r="N449" s="11">
        <v>0</v>
      </c>
      <c r="O449" s="11">
        <v>116359760.79000001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65306763.439999998</v>
      </c>
      <c r="X449" s="11">
        <v>0</v>
      </c>
      <c r="Y449" s="17">
        <v>65306763.439999998</v>
      </c>
      <c r="Z449" s="11">
        <v>0</v>
      </c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11">
        <v>0</v>
      </c>
      <c r="AG449" s="11">
        <v>0</v>
      </c>
      <c r="AH449" s="12">
        <v>0</v>
      </c>
      <c r="AI449" s="11">
        <v>0</v>
      </c>
      <c r="AJ449" s="11">
        <v>65306763.439999998</v>
      </c>
      <c r="AK449" s="11">
        <v>0</v>
      </c>
      <c r="AL449" s="11">
        <v>0</v>
      </c>
      <c r="AM449" s="11">
        <v>0</v>
      </c>
      <c r="AN449" s="11">
        <v>0</v>
      </c>
      <c r="AO449" s="11">
        <v>0</v>
      </c>
      <c r="AP449" s="11">
        <v>0</v>
      </c>
      <c r="AQ449" s="11">
        <v>0</v>
      </c>
      <c r="AR449" t="s">
        <v>918</v>
      </c>
      <c r="AS449" s="4" t="str">
        <f t="shared" si="191"/>
        <v xml:space="preserve">Implementación del plan de acción para mantenimiento preventivo y atención de emergencias en la red </v>
      </c>
      <c r="AT449" t="str">
        <f t="shared" si="192"/>
        <v>70Implementación del plan de acción para mantenimiento preventivo y atención de emergencias en la red 65306763,44</v>
      </c>
      <c r="AU449" t="str">
        <f>+_xlfn.XLOOKUP(AT449,CRUCE!J:J,CRUCE!M:M)</f>
        <v>READY</v>
      </c>
      <c r="AV449" t="s">
        <v>1907</v>
      </c>
      <c r="AW449" s="23">
        <f>+SUMIFS(CRUCE!D:D,CRUCE!A:A,'2022'!D449,CRUCE!B:B,'2022'!AS449)/COUNTIFS(D:D,D449,AS:AS,AS449)</f>
        <v>65306763.439999998</v>
      </c>
      <c r="AX449" s="23">
        <f t="shared" si="193"/>
        <v>65306763.439999998</v>
      </c>
      <c r="AY449" s="23">
        <f t="shared" si="194"/>
        <v>0</v>
      </c>
    </row>
    <row r="450" spans="1:51" x14ac:dyDescent="0.3">
      <c r="A450">
        <v>2022</v>
      </c>
      <c r="B450">
        <v>6</v>
      </c>
      <c r="C450">
        <v>1102060020351</v>
      </c>
      <c r="D450" s="5">
        <v>70</v>
      </c>
      <c r="E450" s="8" t="s">
        <v>952</v>
      </c>
      <c r="F450">
        <v>1102060020351</v>
      </c>
      <c r="G450" s="8" t="s">
        <v>953</v>
      </c>
      <c r="H450" t="s">
        <v>909</v>
      </c>
      <c r="I450" s="11">
        <v>3224415112.54</v>
      </c>
      <c r="J450" s="11">
        <v>3224415112.54</v>
      </c>
      <c r="K450" s="11">
        <v>0</v>
      </c>
      <c r="L450" s="11">
        <v>3224415112.54</v>
      </c>
      <c r="M450" s="11">
        <v>-3224415112.54</v>
      </c>
      <c r="N450" s="11">
        <v>0</v>
      </c>
      <c r="O450" s="11">
        <v>3224415112.54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7">
        <v>0</v>
      </c>
      <c r="Z450" s="11">
        <v>0</v>
      </c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2">
        <v>0</v>
      </c>
      <c r="AI450" s="11">
        <v>0</v>
      </c>
      <c r="AJ450" s="11">
        <v>0</v>
      </c>
      <c r="AK450" s="11">
        <v>0</v>
      </c>
      <c r="AL450" s="11">
        <v>0</v>
      </c>
      <c r="AM450" s="11">
        <v>0</v>
      </c>
      <c r="AN450" s="11">
        <v>0</v>
      </c>
      <c r="AO450" s="11">
        <v>0</v>
      </c>
      <c r="AP450" s="11">
        <v>0</v>
      </c>
      <c r="AQ450" s="11">
        <v>0</v>
      </c>
      <c r="AR450" t="s">
        <v>918</v>
      </c>
      <c r="AS450" s="4" t="str">
        <f t="shared" si="191"/>
        <v>Construcción Obras de Rehabilitación de la Banca en Puntos Críticos de la Vía que Intercomunica a Gé</v>
      </c>
      <c r="AT450" t="str">
        <f t="shared" si="192"/>
        <v>70Construcción Obras de Rehabilitación de la Banca en Puntos Críticos de la Vía que Intercomunica a Gé0</v>
      </c>
      <c r="AU450" t="str">
        <f>+_xlfn.XLOOKUP(AT450,CRUCE!J:J,CRUCE!M:M)</f>
        <v>READY</v>
      </c>
      <c r="AV450" t="s">
        <v>1907</v>
      </c>
      <c r="AW450" s="23">
        <f>+SUMIFS(CRUCE!D:D,CRUCE!A:A,'2022'!D450,CRUCE!B:B,'2022'!AS450)/COUNTIFS(D:D,D450,AS:AS,AS450)</f>
        <v>0</v>
      </c>
      <c r="AX450" s="23">
        <f t="shared" si="193"/>
        <v>0</v>
      </c>
      <c r="AY450" s="23">
        <f t="shared" si="194"/>
        <v>0</v>
      </c>
    </row>
    <row r="451" spans="1:51" x14ac:dyDescent="0.3">
      <c r="A451">
        <v>2022</v>
      </c>
      <c r="B451">
        <v>6</v>
      </c>
      <c r="C451">
        <v>1102060020359</v>
      </c>
      <c r="D451" s="5">
        <v>70</v>
      </c>
      <c r="E451" s="8" t="s">
        <v>954</v>
      </c>
      <c r="F451">
        <v>1102060020359</v>
      </c>
      <c r="G451" s="8" t="s">
        <v>955</v>
      </c>
      <c r="H451" t="s">
        <v>909</v>
      </c>
      <c r="I451" s="11">
        <v>23775732755.369999</v>
      </c>
      <c r="J451" s="11">
        <v>23775732755.369999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23775732755.369999</v>
      </c>
      <c r="Q451" s="11">
        <v>0</v>
      </c>
      <c r="R451" s="11">
        <v>0</v>
      </c>
      <c r="S451" s="11">
        <v>0</v>
      </c>
      <c r="T451" s="11">
        <v>0</v>
      </c>
      <c r="U451" s="11">
        <v>0</v>
      </c>
      <c r="V451" s="11">
        <v>0</v>
      </c>
      <c r="W451" s="11">
        <v>15754442372.84</v>
      </c>
      <c r="X451" s="11">
        <v>0</v>
      </c>
      <c r="Y451" s="17">
        <v>15754442372.84</v>
      </c>
      <c r="Z451" s="11">
        <v>0</v>
      </c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11">
        <v>8882749904.3600006</v>
      </c>
      <c r="AG451" s="11">
        <v>0</v>
      </c>
      <c r="AH451" s="12">
        <v>8882749904.3600006</v>
      </c>
      <c r="AI451" s="11">
        <v>8882749904.3600006</v>
      </c>
      <c r="AJ451" s="11">
        <v>15754442372.84</v>
      </c>
      <c r="AK451" s="11">
        <v>8882749904.3600006</v>
      </c>
      <c r="AL451" s="11">
        <v>0</v>
      </c>
      <c r="AM451" s="11">
        <v>0</v>
      </c>
      <c r="AN451" s="11">
        <v>0</v>
      </c>
      <c r="AO451" s="11">
        <v>0</v>
      </c>
      <c r="AP451" s="11">
        <v>0</v>
      </c>
      <c r="AQ451" s="11">
        <v>0</v>
      </c>
      <c r="AR451" t="s">
        <v>918</v>
      </c>
      <c r="AS451" s="4" t="str">
        <f t="shared" si="191"/>
        <v>Mejoramiento de la vía Circasia - Montenegro con código 29BQN03, en los municipios de Circasia y Mon</v>
      </c>
      <c r="AT451" t="str">
        <f t="shared" si="192"/>
        <v>70Mejoramiento de la vía Circasia - Montenegro con código 29BQN03, en los municipios de Circasia y Mon15754442372,84</v>
      </c>
      <c r="AU451" t="str">
        <f>+_xlfn.XLOOKUP(AT451,CRUCE!J:J,CRUCE!M:M)</f>
        <v>READY</v>
      </c>
      <c r="AV451" t="s">
        <v>1907</v>
      </c>
      <c r="AW451" s="23">
        <f>+SUMIFS(CRUCE!D:D,CRUCE!A:A,'2022'!D451,CRUCE!B:B,'2022'!AS451)/COUNTIFS(D:D,D451,AS:AS,AS451)</f>
        <v>15754442372.84</v>
      </c>
      <c r="AX451" s="23">
        <f t="shared" si="193"/>
        <v>15754442372.84</v>
      </c>
      <c r="AY451" s="23">
        <f t="shared" si="194"/>
        <v>0</v>
      </c>
    </row>
    <row r="452" spans="1:51" x14ac:dyDescent="0.3">
      <c r="A452">
        <v>2022</v>
      </c>
      <c r="B452">
        <v>6</v>
      </c>
      <c r="C452">
        <v>1102060020364</v>
      </c>
      <c r="D452" s="5">
        <v>70</v>
      </c>
      <c r="E452" s="8" t="s">
        <v>956</v>
      </c>
      <c r="F452">
        <v>1102060020364</v>
      </c>
      <c r="G452" s="8" t="s">
        <v>957</v>
      </c>
      <c r="H452" t="s">
        <v>909</v>
      </c>
      <c r="I452" s="11">
        <v>6779870768</v>
      </c>
      <c r="J452" s="11">
        <v>7003706779</v>
      </c>
      <c r="K452" s="11">
        <v>223836011</v>
      </c>
      <c r="L452" s="11">
        <v>7003706779</v>
      </c>
      <c r="M452" s="11">
        <v>-6779870768</v>
      </c>
      <c r="N452" s="11">
        <v>0</v>
      </c>
      <c r="O452" s="11">
        <v>7003706779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7">
        <v>0</v>
      </c>
      <c r="Z452" s="11">
        <v>0</v>
      </c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11">
        <v>0</v>
      </c>
      <c r="AG452" s="11">
        <v>0</v>
      </c>
      <c r="AH452" s="12">
        <v>0</v>
      </c>
      <c r="AI452" s="11">
        <v>0</v>
      </c>
      <c r="AJ452" s="11">
        <v>0</v>
      </c>
      <c r="AK452" s="11">
        <v>0</v>
      </c>
      <c r="AL452" s="11">
        <v>0</v>
      </c>
      <c r="AM452" s="11">
        <v>0</v>
      </c>
      <c r="AN452" s="11">
        <v>0</v>
      </c>
      <c r="AO452" s="11">
        <v>0</v>
      </c>
      <c r="AP452" s="11">
        <v>0</v>
      </c>
      <c r="AQ452" s="11">
        <v>0</v>
      </c>
      <c r="AR452" t="s">
        <v>918</v>
      </c>
      <c r="AS452" s="4" t="str">
        <f t="shared" si="191"/>
        <v>Rehabilitación y Mejoramiento de la vía Filandia - La India código 29QN02-1 Municipio de Filandia, D</v>
      </c>
      <c r="AT452" t="str">
        <f t="shared" si="192"/>
        <v>70Rehabilitación y Mejoramiento de la vía Filandia - La India código 29QN02-1 Municipio de Filandia, D0</v>
      </c>
      <c r="AU452" t="str">
        <f>+_xlfn.XLOOKUP(AT452,CRUCE!J:J,CRUCE!M:M)</f>
        <v>READY</v>
      </c>
      <c r="AV452" t="s">
        <v>1907</v>
      </c>
      <c r="AW452" s="23">
        <f>+SUMIFS(CRUCE!D:D,CRUCE!A:A,'2022'!D452,CRUCE!B:B,'2022'!AS452)/COUNTIFS(D:D,D452,AS:AS,AS452)</f>
        <v>0</v>
      </c>
      <c r="AX452" s="23">
        <f t="shared" si="193"/>
        <v>0</v>
      </c>
      <c r="AY452" s="23">
        <f t="shared" si="194"/>
        <v>0</v>
      </c>
    </row>
    <row r="453" spans="1:51" x14ac:dyDescent="0.3">
      <c r="A453">
        <v>2022</v>
      </c>
      <c r="B453">
        <v>6</v>
      </c>
      <c r="C453">
        <v>1102060020385</v>
      </c>
      <c r="D453" s="5">
        <v>70</v>
      </c>
      <c r="E453" s="8" t="s">
        <v>958</v>
      </c>
      <c r="F453">
        <v>1102060020385</v>
      </c>
      <c r="G453" s="8" t="s">
        <v>959</v>
      </c>
      <c r="H453" t="s">
        <v>909</v>
      </c>
      <c r="I453" s="11">
        <v>486625031.31</v>
      </c>
      <c r="J453" s="11">
        <v>1013694149.3099999</v>
      </c>
      <c r="K453" s="11">
        <v>527069118</v>
      </c>
      <c r="L453" s="11">
        <v>0</v>
      </c>
      <c r="M453" s="11">
        <v>527069118</v>
      </c>
      <c r="N453" s="11">
        <v>0</v>
      </c>
      <c r="O453" s="11">
        <v>0</v>
      </c>
      <c r="P453" s="11">
        <v>1013694149.3099999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1013694149.3099999</v>
      </c>
      <c r="X453" s="11">
        <v>0</v>
      </c>
      <c r="Y453" s="17">
        <v>1013694149.3099999</v>
      </c>
      <c r="Z453" s="11">
        <v>0</v>
      </c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11">
        <v>198551025.13</v>
      </c>
      <c r="AG453" s="11">
        <v>0</v>
      </c>
      <c r="AH453" s="12">
        <v>198551025.13</v>
      </c>
      <c r="AI453" s="11">
        <v>198551025.13</v>
      </c>
      <c r="AJ453" s="11">
        <v>1013694149.3099999</v>
      </c>
      <c r="AK453" s="11">
        <v>198551025.13</v>
      </c>
      <c r="AL453" s="11">
        <v>0</v>
      </c>
      <c r="AM453" s="11">
        <v>0</v>
      </c>
      <c r="AN453" s="11">
        <v>0</v>
      </c>
      <c r="AO453" s="11">
        <v>0</v>
      </c>
      <c r="AP453" s="11">
        <v>0</v>
      </c>
      <c r="AQ453" s="11">
        <v>0</v>
      </c>
      <c r="AR453" t="s">
        <v>918</v>
      </c>
      <c r="AS453" s="4" t="str">
        <f t="shared" si="191"/>
        <v>Construcción de obras de estabilización y conformación de la banca vía La Española Río Verde, Barrag</v>
      </c>
      <c r="AT453" t="str">
        <f t="shared" si="192"/>
        <v>70Construcción de obras de estabilización y conformación de la banca vía La Española Río Verde, Barrag1013694149,31</v>
      </c>
      <c r="AU453" t="str">
        <f>+_xlfn.XLOOKUP(AT453,CRUCE!J:J,CRUCE!M:M)</f>
        <v>READY</v>
      </c>
      <c r="AV453" t="s">
        <v>1907</v>
      </c>
      <c r="AW453" s="23">
        <f>+SUMIFS(CRUCE!D:D,CRUCE!A:A,'2022'!D453,CRUCE!B:B,'2022'!AS453)/COUNTIFS(D:D,D453,AS:AS,AS453)</f>
        <v>1013694149.3099999</v>
      </c>
      <c r="AX453" s="23">
        <f t="shared" si="193"/>
        <v>1013694149.3099999</v>
      </c>
      <c r="AY453" s="23">
        <f t="shared" si="194"/>
        <v>0</v>
      </c>
    </row>
    <row r="454" spans="1:51" x14ac:dyDescent="0.3">
      <c r="A454">
        <v>2022</v>
      </c>
      <c r="B454">
        <v>6</v>
      </c>
      <c r="C454">
        <v>1102060020394</v>
      </c>
      <c r="D454" s="5">
        <v>70</v>
      </c>
      <c r="E454" s="8" t="s">
        <v>960</v>
      </c>
      <c r="F454">
        <v>1102060020394</v>
      </c>
      <c r="G454" s="8" t="s">
        <v>961</v>
      </c>
      <c r="H454" t="s">
        <v>909</v>
      </c>
      <c r="I454" s="11">
        <v>0</v>
      </c>
      <c r="J454" s="11">
        <v>1794041394</v>
      </c>
      <c r="K454" s="11">
        <v>1794041394</v>
      </c>
      <c r="L454" s="11">
        <v>0</v>
      </c>
      <c r="M454" s="11">
        <v>1794041394</v>
      </c>
      <c r="N454" s="11">
        <v>0</v>
      </c>
      <c r="O454" s="11">
        <v>0</v>
      </c>
      <c r="P454" s="11">
        <v>1794041394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1057664960</v>
      </c>
      <c r="X454" s="11">
        <v>0</v>
      </c>
      <c r="Y454" s="17">
        <v>1057664960</v>
      </c>
      <c r="Z454" s="11">
        <v>0</v>
      </c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11">
        <v>362183898</v>
      </c>
      <c r="AG454" s="11">
        <v>0</v>
      </c>
      <c r="AH454" s="12">
        <v>362183898</v>
      </c>
      <c r="AI454" s="11">
        <v>362183898</v>
      </c>
      <c r="AJ454" s="11">
        <v>1057664960</v>
      </c>
      <c r="AK454" s="11">
        <v>362183898</v>
      </c>
      <c r="AL454" s="11">
        <v>0</v>
      </c>
      <c r="AM454" s="11">
        <v>0</v>
      </c>
      <c r="AN454" s="11">
        <v>0</v>
      </c>
      <c r="AO454" s="11">
        <v>0</v>
      </c>
      <c r="AP454" s="11">
        <v>0</v>
      </c>
      <c r="AQ454" s="11">
        <v>0</v>
      </c>
      <c r="AR454" t="s">
        <v>918</v>
      </c>
      <c r="AS454" s="4" t="str">
        <f t="shared" si="191"/>
        <v>Fortalecimiento del Ecosistema de emprendimiento mediante el acompañamiento tecnico y servicio de ap</v>
      </c>
      <c r="AT454" t="str">
        <f t="shared" si="192"/>
        <v>70Fortalecimiento del Ecosistema de emprendimiento mediante el acompañamiento tecnico y servicio de ap1057664960</v>
      </c>
      <c r="AU454" t="str">
        <f>+_xlfn.XLOOKUP(AT454,CRUCE!J:J,CRUCE!M:M)</f>
        <v>READY</v>
      </c>
      <c r="AV454" t="s">
        <v>1907</v>
      </c>
      <c r="AW454" s="23">
        <f>+SUMIFS(CRUCE!D:D,CRUCE!A:A,'2022'!D454,CRUCE!B:B,'2022'!AS454)/COUNTIFS(D:D,D454,AS:AS,AS454)</f>
        <v>1057664960</v>
      </c>
      <c r="AX454" s="23">
        <f t="shared" si="193"/>
        <v>1057664960</v>
      </c>
      <c r="AY454" s="23">
        <f t="shared" si="194"/>
        <v>0</v>
      </c>
    </row>
    <row r="455" spans="1:51" hidden="1" x14ac:dyDescent="0.3">
      <c r="A455">
        <v>2022</v>
      </c>
      <c r="B455">
        <v>6</v>
      </c>
      <c r="C455">
        <v>11020600205</v>
      </c>
      <c r="D455" s="5" t="s">
        <v>44</v>
      </c>
      <c r="E455" s="8" t="s">
        <v>962</v>
      </c>
      <c r="F455">
        <v>11020600205</v>
      </c>
      <c r="G455" s="8" t="s">
        <v>963</v>
      </c>
      <c r="H455" t="s">
        <v>909</v>
      </c>
      <c r="I455" s="11">
        <v>8566548940</v>
      </c>
      <c r="J455" s="11">
        <v>9460326055</v>
      </c>
      <c r="K455" s="11">
        <v>893777115</v>
      </c>
      <c r="L455" s="11">
        <v>13392138</v>
      </c>
      <c r="M455" s="11">
        <v>880384977</v>
      </c>
      <c r="N455" s="11">
        <v>0</v>
      </c>
      <c r="O455" s="11">
        <v>13392138</v>
      </c>
      <c r="P455" s="11">
        <v>9446933917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8781567473</v>
      </c>
      <c r="X455" s="11">
        <v>8600955</v>
      </c>
      <c r="Y455" s="17">
        <v>8772966518</v>
      </c>
      <c r="Z455" s="11">
        <v>0</v>
      </c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11">
        <v>4084918633</v>
      </c>
      <c r="AG455" s="11">
        <v>8600955</v>
      </c>
      <c r="AH455" s="12">
        <v>4076317678</v>
      </c>
      <c r="AI455" s="11">
        <v>4076317678</v>
      </c>
      <c r="AJ455" s="11">
        <v>8772966518</v>
      </c>
      <c r="AK455" s="11">
        <v>4076317678</v>
      </c>
      <c r="AL455" s="11">
        <v>0</v>
      </c>
      <c r="AM455" s="11">
        <v>0</v>
      </c>
      <c r="AN455" s="11">
        <v>0</v>
      </c>
      <c r="AO455" s="11">
        <v>0</v>
      </c>
      <c r="AP455" s="11">
        <v>0</v>
      </c>
      <c r="AQ455" s="11">
        <v>0</v>
      </c>
      <c r="AR455" t="s">
        <v>48</v>
      </c>
      <c r="AS455"/>
      <c r="AW455"/>
      <c r="AX455"/>
      <c r="AY455"/>
    </row>
    <row r="456" spans="1:51" x14ac:dyDescent="0.3">
      <c r="A456">
        <v>2022</v>
      </c>
      <c r="B456">
        <v>6</v>
      </c>
      <c r="C456">
        <v>1102060020509</v>
      </c>
      <c r="D456" s="5">
        <v>70</v>
      </c>
      <c r="E456" s="8" t="s">
        <v>964</v>
      </c>
      <c r="F456">
        <v>1102060020509</v>
      </c>
      <c r="G456" s="8" t="s">
        <v>965</v>
      </c>
      <c r="H456" t="s">
        <v>909</v>
      </c>
      <c r="I456" s="11">
        <v>954356699</v>
      </c>
      <c r="J456" s="11">
        <v>954356699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954356699</v>
      </c>
      <c r="Q456" s="11">
        <v>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458417026</v>
      </c>
      <c r="X456" s="11">
        <v>0</v>
      </c>
      <c r="Y456" s="17">
        <v>458417026</v>
      </c>
      <c r="Z456" s="11">
        <v>0</v>
      </c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11">
        <v>0</v>
      </c>
      <c r="AG456" s="11">
        <v>0</v>
      </c>
      <c r="AH456" s="12">
        <v>0</v>
      </c>
      <c r="AI456" s="11">
        <v>0</v>
      </c>
      <c r="AJ456" s="11">
        <v>458417026</v>
      </c>
      <c r="AK456" s="11">
        <v>0</v>
      </c>
      <c r="AL456" s="11">
        <v>0</v>
      </c>
      <c r="AM456" s="11">
        <v>0</v>
      </c>
      <c r="AN456" s="11">
        <v>0</v>
      </c>
      <c r="AO456" s="11">
        <v>0</v>
      </c>
      <c r="AP456" s="11">
        <v>0</v>
      </c>
      <c r="AQ456" s="11">
        <v>0</v>
      </c>
      <c r="AR456" t="s">
        <v>918</v>
      </c>
      <c r="AS456" s="4" t="str">
        <f t="shared" ref="AS456:AS461" si="195">+G456</f>
        <v>Implementación de un Programa de Innovación Social para el Fomento de una Cultura Ciudadana y Empren</v>
      </c>
      <c r="AT456" t="str">
        <f t="shared" ref="AT456:AT461" si="196">+D456&amp;AS456&amp;Y456</f>
        <v>70Implementación de un Programa de Innovación Social para el Fomento de una Cultura Ciudadana y Empren458417026</v>
      </c>
      <c r="AU456" t="str">
        <f>+_xlfn.XLOOKUP(AT456,CRUCE!J:J,CRUCE!M:M)</f>
        <v>READY</v>
      </c>
      <c r="AV456" t="s">
        <v>1907</v>
      </c>
      <c r="AW456" s="23">
        <f>+SUMIFS(CRUCE!D:D,CRUCE!A:A,'2022'!D456,CRUCE!B:B,'2022'!AS456)/COUNTIFS(D:D,D456,AS:AS,AS456)</f>
        <v>458417026</v>
      </c>
      <c r="AX456" s="23">
        <f t="shared" ref="AX456:AX461" si="197">+SUMIFS(Y:Y,D:D,D456,AS:AS,AS456)/COUNTIFS(D:D,D456,AS:AS,AS456)</f>
        <v>458417026</v>
      </c>
      <c r="AY456" s="23">
        <f t="shared" ref="AY456:AY461" si="198">+AW456-AX456</f>
        <v>0</v>
      </c>
    </row>
    <row r="457" spans="1:51" x14ac:dyDescent="0.3">
      <c r="A457">
        <v>2022</v>
      </c>
      <c r="B457">
        <v>6</v>
      </c>
      <c r="C457">
        <v>1102060020513</v>
      </c>
      <c r="D457" s="5">
        <v>70</v>
      </c>
      <c r="E457" s="8" t="s">
        <v>966</v>
      </c>
      <c r="F457">
        <v>1102060020513</v>
      </c>
      <c r="G457" s="8" t="s">
        <v>967</v>
      </c>
      <c r="H457" t="s">
        <v>909</v>
      </c>
      <c r="I457" s="11">
        <v>1693838902</v>
      </c>
      <c r="J457" s="11">
        <v>2587616017</v>
      </c>
      <c r="K457" s="11">
        <v>893777115</v>
      </c>
      <c r="L457" s="11">
        <v>0</v>
      </c>
      <c r="M457" s="11">
        <v>893777115</v>
      </c>
      <c r="N457" s="11">
        <v>0</v>
      </c>
      <c r="O457" s="11">
        <v>0</v>
      </c>
      <c r="P457" s="11">
        <v>2587616017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2571661260</v>
      </c>
      <c r="X457" s="11">
        <v>0</v>
      </c>
      <c r="Y457" s="17">
        <v>2571661260</v>
      </c>
      <c r="Z457" s="11">
        <v>0</v>
      </c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11">
        <v>1658975048</v>
      </c>
      <c r="AG457" s="11">
        <v>0</v>
      </c>
      <c r="AH457" s="12">
        <v>1658975048</v>
      </c>
      <c r="AI457" s="11">
        <v>1658975048</v>
      </c>
      <c r="AJ457" s="11">
        <v>2571661260</v>
      </c>
      <c r="AK457" s="11">
        <v>1658975048</v>
      </c>
      <c r="AL457" s="11">
        <v>0</v>
      </c>
      <c r="AM457" s="11">
        <v>0</v>
      </c>
      <c r="AN457" s="11">
        <v>0</v>
      </c>
      <c r="AO457" s="11">
        <v>0</v>
      </c>
      <c r="AP457" s="11">
        <v>0</v>
      </c>
      <c r="AQ457" s="11">
        <v>0</v>
      </c>
      <c r="AR457" t="s">
        <v>918</v>
      </c>
      <c r="AS457" s="4" t="str">
        <f t="shared" si="195"/>
        <v>Fortalecimiento de un Centro de Innovación y Productividad agrario adecuando una infraestructura tec</v>
      </c>
      <c r="AT457" t="str">
        <f t="shared" si="196"/>
        <v>70Fortalecimiento de un Centro de Innovación y Productividad agrario adecuando una infraestructura tec2571661260</v>
      </c>
      <c r="AU457" t="str">
        <f>+_xlfn.XLOOKUP(AT457,CRUCE!J:J,CRUCE!M:M)</f>
        <v>READY</v>
      </c>
      <c r="AV457" t="s">
        <v>1907</v>
      </c>
      <c r="AW457" s="23">
        <f>+SUMIFS(CRUCE!D:D,CRUCE!A:A,'2022'!D457,CRUCE!B:B,'2022'!AS457)/COUNTIFS(D:D,D457,AS:AS,AS457)</f>
        <v>2571661260</v>
      </c>
      <c r="AX457" s="23">
        <f t="shared" si="197"/>
        <v>2571661260</v>
      </c>
      <c r="AY457" s="23">
        <f t="shared" si="198"/>
        <v>0</v>
      </c>
    </row>
    <row r="458" spans="1:51" x14ac:dyDescent="0.3">
      <c r="A458">
        <v>2022</v>
      </c>
      <c r="B458">
        <v>6</v>
      </c>
      <c r="C458">
        <v>1102060020526</v>
      </c>
      <c r="D458" s="5">
        <v>70</v>
      </c>
      <c r="E458" s="8" t="s">
        <v>968</v>
      </c>
      <c r="F458">
        <v>1102060020526</v>
      </c>
      <c r="G458" s="8" t="s">
        <v>969</v>
      </c>
      <c r="H458" t="s">
        <v>909</v>
      </c>
      <c r="I458" s="11">
        <v>19080955</v>
      </c>
      <c r="J458" s="11">
        <v>19080955</v>
      </c>
      <c r="K458" s="11">
        <v>0</v>
      </c>
      <c r="L458" s="11">
        <v>8600955</v>
      </c>
      <c r="M458" s="11">
        <v>-8600955</v>
      </c>
      <c r="N458" s="11">
        <v>0</v>
      </c>
      <c r="O458" s="11">
        <v>8600955</v>
      </c>
      <c r="P458" s="11">
        <v>10480000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19080955</v>
      </c>
      <c r="X458" s="11">
        <v>8600955</v>
      </c>
      <c r="Y458" s="17">
        <v>10480000</v>
      </c>
      <c r="Z458" s="11">
        <v>0</v>
      </c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8600955</v>
      </c>
      <c r="AH458" s="12">
        <v>-8600955</v>
      </c>
      <c r="AI458" s="11">
        <v>-8600955</v>
      </c>
      <c r="AJ458" s="11">
        <v>10480000</v>
      </c>
      <c r="AK458" s="11">
        <v>-8600955</v>
      </c>
      <c r="AL458" s="11">
        <v>0</v>
      </c>
      <c r="AM458" s="11">
        <v>0</v>
      </c>
      <c r="AN458" s="11">
        <v>0</v>
      </c>
      <c r="AO458" s="11">
        <v>0</v>
      </c>
      <c r="AP458" s="11">
        <v>0</v>
      </c>
      <c r="AQ458" s="11">
        <v>0</v>
      </c>
      <c r="AR458" t="s">
        <v>918</v>
      </c>
      <c r="AS458" s="4" t="str">
        <f t="shared" si="195"/>
        <v xml:space="preserve">Aplicación de Procesos Innovadores en la Cadena de Suministros para la Industria de la Guadua en el </v>
      </c>
      <c r="AT458" t="str">
        <f t="shared" si="196"/>
        <v>70Aplicación de Procesos Innovadores en la Cadena de Suministros para la Industria de la Guadua en el 10480000</v>
      </c>
      <c r="AU458" t="str">
        <f>+_xlfn.XLOOKUP(AT458,CRUCE!J:J,CRUCE!M:M)</f>
        <v>READY</v>
      </c>
      <c r="AV458" t="s">
        <v>1907</v>
      </c>
      <c r="AW458" s="23">
        <f>+SUMIFS(CRUCE!D:D,CRUCE!A:A,'2022'!D458,CRUCE!B:B,'2022'!AS458)/COUNTIFS(D:D,D458,AS:AS,AS458)</f>
        <v>10480000</v>
      </c>
      <c r="AX458" s="23">
        <f t="shared" si="197"/>
        <v>10480000</v>
      </c>
      <c r="AY458" s="23">
        <f t="shared" si="198"/>
        <v>0</v>
      </c>
    </row>
    <row r="459" spans="1:51" x14ac:dyDescent="0.3">
      <c r="A459">
        <v>2022</v>
      </c>
      <c r="B459">
        <v>6</v>
      </c>
      <c r="C459">
        <v>1102060020532</v>
      </c>
      <c r="D459" s="5">
        <v>70</v>
      </c>
      <c r="E459" s="8" t="s">
        <v>970</v>
      </c>
      <c r="F459">
        <v>1102060020532</v>
      </c>
      <c r="G459" s="8" t="s">
        <v>971</v>
      </c>
      <c r="H459" t="s">
        <v>909</v>
      </c>
      <c r="I459" s="11">
        <v>869774377</v>
      </c>
      <c r="J459" s="11">
        <v>869774377</v>
      </c>
      <c r="K459" s="11">
        <v>0</v>
      </c>
      <c r="L459" s="11">
        <v>1972143</v>
      </c>
      <c r="M459" s="11">
        <v>-1972143</v>
      </c>
      <c r="N459" s="11">
        <v>0</v>
      </c>
      <c r="O459" s="11">
        <v>1972143</v>
      </c>
      <c r="P459" s="11">
        <v>867802234</v>
      </c>
      <c r="Q459" s="11">
        <v>0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867802234</v>
      </c>
      <c r="X459" s="11">
        <v>0</v>
      </c>
      <c r="Y459" s="17">
        <v>867802234</v>
      </c>
      <c r="Z459" s="11">
        <v>0</v>
      </c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11">
        <v>12972000</v>
      </c>
      <c r="AG459" s="11">
        <v>0</v>
      </c>
      <c r="AH459" s="12">
        <v>12972000</v>
      </c>
      <c r="AI459" s="11">
        <v>12972000</v>
      </c>
      <c r="AJ459" s="11">
        <v>867802234</v>
      </c>
      <c r="AK459" s="11">
        <v>12972000</v>
      </c>
      <c r="AL459" s="11">
        <v>0</v>
      </c>
      <c r="AM459" s="11">
        <v>0</v>
      </c>
      <c r="AN459" s="11">
        <v>0</v>
      </c>
      <c r="AO459" s="11">
        <v>0</v>
      </c>
      <c r="AP459" s="11">
        <v>0</v>
      </c>
      <c r="AQ459" s="11">
        <v>0</v>
      </c>
      <c r="AR459" t="s">
        <v>918</v>
      </c>
      <c r="AS459" s="4" t="str">
        <f t="shared" si="195"/>
        <v>Fortalecimiento de capacidades instaladas de ciencia y tecnología del laboratorio departamental de s</v>
      </c>
      <c r="AT459" t="str">
        <f t="shared" si="196"/>
        <v>70Fortalecimiento de capacidades instaladas de ciencia y tecnología del laboratorio departamental de s867802234</v>
      </c>
      <c r="AU459" t="str">
        <f>+_xlfn.XLOOKUP(AT459,CRUCE!J:J,CRUCE!M:M)</f>
        <v>READY</v>
      </c>
      <c r="AV459" t="s">
        <v>1907</v>
      </c>
      <c r="AW459" s="23">
        <f>+SUMIFS(CRUCE!D:D,CRUCE!A:A,'2022'!D459,CRUCE!B:B,'2022'!AS459)/COUNTIFS(D:D,D459,AS:AS,AS459)</f>
        <v>867802234</v>
      </c>
      <c r="AX459" s="23">
        <f t="shared" si="197"/>
        <v>867802234</v>
      </c>
      <c r="AY459" s="23">
        <f t="shared" si="198"/>
        <v>0</v>
      </c>
    </row>
    <row r="460" spans="1:51" x14ac:dyDescent="0.3">
      <c r="A460">
        <v>2022</v>
      </c>
      <c r="B460">
        <v>6</v>
      </c>
      <c r="C460">
        <v>1102060020563</v>
      </c>
      <c r="D460" s="5">
        <v>70</v>
      </c>
      <c r="E460" s="8" t="s">
        <v>972</v>
      </c>
      <c r="F460">
        <v>1102060020563</v>
      </c>
      <c r="G460" s="8" t="s">
        <v>973</v>
      </c>
      <c r="H460" t="s">
        <v>909</v>
      </c>
      <c r="I460" s="11">
        <v>2819040</v>
      </c>
      <c r="J460" s="11">
        <v>2819040</v>
      </c>
      <c r="K460" s="11">
        <v>0</v>
      </c>
      <c r="L460" s="11">
        <v>2819040</v>
      </c>
      <c r="M460" s="11">
        <v>-2819040</v>
      </c>
      <c r="N460" s="11">
        <v>0</v>
      </c>
      <c r="O460" s="11">
        <v>2819040</v>
      </c>
      <c r="P460" s="11">
        <v>0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7">
        <v>0</v>
      </c>
      <c r="Z460" s="11">
        <v>0</v>
      </c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12">
        <v>0</v>
      </c>
      <c r="AI460" s="11">
        <v>0</v>
      </c>
      <c r="AJ460" s="11">
        <v>0</v>
      </c>
      <c r="AK460" s="11">
        <v>0</v>
      </c>
      <c r="AL460" s="11">
        <v>0</v>
      </c>
      <c r="AM460" s="11">
        <v>0</v>
      </c>
      <c r="AN460" s="11">
        <v>0</v>
      </c>
      <c r="AO460" s="11">
        <v>0</v>
      </c>
      <c r="AP460" s="11">
        <v>0</v>
      </c>
      <c r="AQ460" s="11">
        <v>0</v>
      </c>
      <c r="AR460" t="s">
        <v>918</v>
      </c>
      <c r="AS460" s="4" t="str">
        <f t="shared" si="195"/>
        <v>Desarrollo Sostenible del Sector Curtimbre a través de la I+D+I, Quindío Occidente Código BPIN 20130</v>
      </c>
      <c r="AT460" t="str">
        <f t="shared" si="196"/>
        <v>70Desarrollo Sostenible del Sector Curtimbre a través de la I+D+I, Quindío Occidente Código BPIN 201300</v>
      </c>
      <c r="AU460" t="str">
        <f>+_xlfn.XLOOKUP(AT460,CRUCE!J:J,CRUCE!M:M)</f>
        <v>READY</v>
      </c>
      <c r="AV460" t="s">
        <v>1907</v>
      </c>
      <c r="AW460" s="23">
        <f>+SUMIFS(CRUCE!D:D,CRUCE!A:A,'2022'!D460,CRUCE!B:B,'2022'!AS460)/COUNTIFS(D:D,D460,AS:AS,AS460)</f>
        <v>0</v>
      </c>
      <c r="AX460" s="23">
        <f t="shared" si="197"/>
        <v>0</v>
      </c>
      <c r="AY460" s="23">
        <f t="shared" si="198"/>
        <v>0</v>
      </c>
    </row>
    <row r="461" spans="1:51" x14ac:dyDescent="0.3">
      <c r="A461">
        <v>2022</v>
      </c>
      <c r="B461">
        <v>6</v>
      </c>
      <c r="C461">
        <v>1102060020599</v>
      </c>
      <c r="D461" s="5">
        <v>70</v>
      </c>
      <c r="E461" s="8" t="s">
        <v>974</v>
      </c>
      <c r="F461">
        <v>1102060020599</v>
      </c>
      <c r="G461" s="8" t="s">
        <v>975</v>
      </c>
      <c r="H461" t="s">
        <v>909</v>
      </c>
      <c r="I461" s="11">
        <v>5026678967</v>
      </c>
      <c r="J461" s="11">
        <v>5026678967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5026678967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4864605998</v>
      </c>
      <c r="X461" s="11">
        <v>0</v>
      </c>
      <c r="Y461" s="17">
        <v>4864605998</v>
      </c>
      <c r="Z461" s="11">
        <v>0</v>
      </c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11">
        <v>2412971585</v>
      </c>
      <c r="AG461" s="11">
        <v>0</v>
      </c>
      <c r="AH461" s="12">
        <v>2412971585</v>
      </c>
      <c r="AI461" s="11">
        <v>2412971585</v>
      </c>
      <c r="AJ461" s="11">
        <v>4864605998</v>
      </c>
      <c r="AK461" s="11">
        <v>2412971585</v>
      </c>
      <c r="AL461" s="11">
        <v>0</v>
      </c>
      <c r="AM461" s="11">
        <v>0</v>
      </c>
      <c r="AN461" s="11">
        <v>0</v>
      </c>
      <c r="AO461" s="11">
        <v>0</v>
      </c>
      <c r="AP461" s="11">
        <v>0</v>
      </c>
      <c r="AQ461" s="11">
        <v>0</v>
      </c>
      <c r="AR461" t="s">
        <v>918</v>
      </c>
      <c r="AS461" s="4" t="str">
        <f t="shared" si="195"/>
        <v>Desarrollo Experimental para la Competitividad del Sector Cafetero del Departamento del Quindío.</v>
      </c>
      <c r="AT461" t="str">
        <f t="shared" si="196"/>
        <v>70Desarrollo Experimental para la Competitividad del Sector Cafetero del Departamento del Quindío.4864605998</v>
      </c>
      <c r="AU461" t="str">
        <f>+_xlfn.XLOOKUP(AT461,CRUCE!J:J,CRUCE!M:M)</f>
        <v>READY</v>
      </c>
      <c r="AV461" t="s">
        <v>1907</v>
      </c>
      <c r="AW461" s="23">
        <f>+SUMIFS(CRUCE!D:D,CRUCE!A:A,'2022'!D461,CRUCE!B:B,'2022'!AS461)/COUNTIFS(D:D,D461,AS:AS,AS461)</f>
        <v>4864605998</v>
      </c>
      <c r="AX461" s="23">
        <f t="shared" si="197"/>
        <v>4864605998</v>
      </c>
      <c r="AY461" s="23">
        <f t="shared" si="198"/>
        <v>0</v>
      </c>
    </row>
    <row r="462" spans="1:51" hidden="1" x14ac:dyDescent="0.3">
      <c r="A462">
        <v>2022</v>
      </c>
      <c r="B462">
        <v>6</v>
      </c>
      <c r="C462">
        <v>11020600208</v>
      </c>
      <c r="D462" s="5" t="s">
        <v>44</v>
      </c>
      <c r="E462" s="8" t="s">
        <v>976</v>
      </c>
      <c r="F462">
        <v>11020600208</v>
      </c>
      <c r="G462" s="8" t="s">
        <v>977</v>
      </c>
      <c r="H462" t="s">
        <v>909</v>
      </c>
      <c r="I462" s="11">
        <v>349925863</v>
      </c>
      <c r="J462" s="11">
        <v>349925863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349925863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304467967</v>
      </c>
      <c r="X462" s="11">
        <v>0</v>
      </c>
      <c r="Y462" s="17">
        <v>304467967</v>
      </c>
      <c r="Z462" s="11">
        <v>0</v>
      </c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12">
        <v>0</v>
      </c>
      <c r="AI462" s="11">
        <v>0</v>
      </c>
      <c r="AJ462" s="11">
        <v>304467967</v>
      </c>
      <c r="AK462" s="11">
        <v>0</v>
      </c>
      <c r="AL462" s="11">
        <v>0</v>
      </c>
      <c r="AM462" s="11">
        <v>0</v>
      </c>
      <c r="AN462" s="11">
        <v>0</v>
      </c>
      <c r="AO462" s="11">
        <v>0</v>
      </c>
      <c r="AP462" s="11">
        <v>0</v>
      </c>
      <c r="AQ462" s="11">
        <v>0</v>
      </c>
      <c r="AR462" t="s">
        <v>48</v>
      </c>
      <c r="AS462"/>
      <c r="AW462"/>
      <c r="AX462"/>
      <c r="AY462"/>
    </row>
    <row r="463" spans="1:51" hidden="1" x14ac:dyDescent="0.3">
      <c r="A463">
        <v>2022</v>
      </c>
      <c r="B463">
        <v>6</v>
      </c>
      <c r="C463">
        <v>1102060020801</v>
      </c>
      <c r="D463" s="5" t="s">
        <v>44</v>
      </c>
      <c r="E463" s="8" t="s">
        <v>978</v>
      </c>
      <c r="F463">
        <v>1102060020801</v>
      </c>
      <c r="G463" s="8" t="s">
        <v>979</v>
      </c>
      <c r="H463" t="s">
        <v>909</v>
      </c>
      <c r="I463" s="11">
        <v>349925863</v>
      </c>
      <c r="J463" s="11">
        <v>349925863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349925863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304467967</v>
      </c>
      <c r="X463" s="11">
        <v>0</v>
      </c>
      <c r="Y463" s="17">
        <v>304467967</v>
      </c>
      <c r="Z463" s="11">
        <v>0</v>
      </c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12">
        <v>0</v>
      </c>
      <c r="AI463" s="11">
        <v>0</v>
      </c>
      <c r="AJ463" s="11">
        <v>304467967</v>
      </c>
      <c r="AK463" s="11">
        <v>0</v>
      </c>
      <c r="AL463" s="11">
        <v>0</v>
      </c>
      <c r="AM463" s="11">
        <v>0</v>
      </c>
      <c r="AN463" s="11">
        <v>0</v>
      </c>
      <c r="AO463" s="11">
        <v>0</v>
      </c>
      <c r="AP463" s="11">
        <v>0</v>
      </c>
      <c r="AQ463" s="11">
        <v>0</v>
      </c>
      <c r="AR463" t="s">
        <v>48</v>
      </c>
      <c r="AS463"/>
      <c r="AW463"/>
      <c r="AX463"/>
      <c r="AY463"/>
    </row>
    <row r="464" spans="1:51" x14ac:dyDescent="0.3">
      <c r="A464">
        <v>2022</v>
      </c>
      <c r="B464">
        <v>6</v>
      </c>
      <c r="C464">
        <v>110206002080101</v>
      </c>
      <c r="D464" s="5">
        <v>70</v>
      </c>
      <c r="E464" s="8" t="s">
        <v>980</v>
      </c>
      <c r="F464">
        <v>110206002080101</v>
      </c>
      <c r="G464" s="8" t="s">
        <v>981</v>
      </c>
      <c r="H464" t="s">
        <v>909</v>
      </c>
      <c r="I464" s="11">
        <v>304467967</v>
      </c>
      <c r="J464" s="11">
        <v>304467967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304467967</v>
      </c>
      <c r="Q464" s="11">
        <v>0</v>
      </c>
      <c r="R464" s="11">
        <v>0</v>
      </c>
      <c r="S464" s="11">
        <v>0</v>
      </c>
      <c r="T464" s="11">
        <v>0</v>
      </c>
      <c r="U464" s="11">
        <v>0</v>
      </c>
      <c r="V464" s="11">
        <v>0</v>
      </c>
      <c r="W464" s="11">
        <v>304467967</v>
      </c>
      <c r="X464" s="11">
        <v>0</v>
      </c>
      <c r="Y464" s="17">
        <v>304467967</v>
      </c>
      <c r="Z464" s="11">
        <v>0</v>
      </c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11">
        <v>0</v>
      </c>
      <c r="AG464" s="11">
        <v>0</v>
      </c>
      <c r="AH464" s="12">
        <v>0</v>
      </c>
      <c r="AI464" s="11">
        <v>0</v>
      </c>
      <c r="AJ464" s="11">
        <v>304467967</v>
      </c>
      <c r="AK464" s="11">
        <v>0</v>
      </c>
      <c r="AL464" s="11">
        <v>0</v>
      </c>
      <c r="AM464" s="11">
        <v>0</v>
      </c>
      <c r="AN464" s="11">
        <v>0</v>
      </c>
      <c r="AO464" s="11">
        <v>0</v>
      </c>
      <c r="AP464" s="11">
        <v>0</v>
      </c>
      <c r="AQ464" s="11">
        <v>0</v>
      </c>
      <c r="AR464" t="s">
        <v>918</v>
      </c>
      <c r="AS464" s="4" t="str">
        <f t="shared" ref="AS464:AS465" si="199">+G464</f>
        <v>Fortalecimiento de las Secretarías Técnicas de los Organos Colegiados de Administracion y Decision D</v>
      </c>
      <c r="AT464" t="str">
        <f t="shared" ref="AT464:AT465" si="200">+D464&amp;AS464&amp;Y464</f>
        <v>70Fortalecimiento de las Secretarías Técnicas de los Organos Colegiados de Administracion y Decision D304467967</v>
      </c>
      <c r="AU464" t="str">
        <f>+_xlfn.XLOOKUP(AT464,CRUCE!J:J,CRUCE!M:M)</f>
        <v>READY</v>
      </c>
      <c r="AV464" t="s">
        <v>1907</v>
      </c>
      <c r="AW464" s="23">
        <f>+SUMIFS(CRUCE!D:D,CRUCE!A:A,'2022'!D464,CRUCE!B:B,'2022'!AS464)/COUNTIFS(D:D,D464,AS:AS,AS464)</f>
        <v>304467967</v>
      </c>
      <c r="AX464" s="23">
        <f t="shared" ref="AX464:AX465" si="201">+SUMIFS(Y:Y,D:D,D464,AS:AS,AS464)/COUNTIFS(D:D,D464,AS:AS,AS464)</f>
        <v>304467967</v>
      </c>
      <c r="AY464" s="23">
        <f t="shared" ref="AY464:AY465" si="202">+AW464-AX464</f>
        <v>0</v>
      </c>
    </row>
    <row r="465" spans="1:51" x14ac:dyDescent="0.3">
      <c r="A465">
        <v>2022</v>
      </c>
      <c r="B465">
        <v>6</v>
      </c>
      <c r="C465">
        <v>110206002080102</v>
      </c>
      <c r="D465" s="5">
        <v>70</v>
      </c>
      <c r="E465" s="8" t="s">
        <v>982</v>
      </c>
      <c r="F465">
        <v>110206002080102</v>
      </c>
      <c r="G465" s="8" t="s">
        <v>983</v>
      </c>
      <c r="H465" t="s">
        <v>909</v>
      </c>
      <c r="I465" s="11">
        <v>45457896</v>
      </c>
      <c r="J465" s="11">
        <v>45457896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45457896</v>
      </c>
      <c r="Q465" s="11">
        <v>0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7">
        <v>0</v>
      </c>
      <c r="Z465" s="11">
        <v>0</v>
      </c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2">
        <v>0</v>
      </c>
      <c r="AI465" s="11">
        <v>0</v>
      </c>
      <c r="AJ465" s="11">
        <v>0</v>
      </c>
      <c r="AK465" s="11">
        <v>0</v>
      </c>
      <c r="AL465" s="11">
        <v>0</v>
      </c>
      <c r="AM465" s="11">
        <v>0</v>
      </c>
      <c r="AN465" s="11">
        <v>0</v>
      </c>
      <c r="AO465" s="11">
        <v>0</v>
      </c>
      <c r="AP465" s="11">
        <v>0</v>
      </c>
      <c r="AQ465" s="11">
        <v>0</v>
      </c>
      <c r="AR465" t="s">
        <v>918</v>
      </c>
      <c r="AS465" s="4" t="str">
        <f t="shared" si="199"/>
        <v>Fortalecimiento de las Secretarías Técnicas de los OCAD Resolución 0496 de 2019</v>
      </c>
      <c r="AT465" t="str">
        <f t="shared" si="200"/>
        <v>70Fortalecimiento de las Secretarías Técnicas de los OCAD Resolución 0496 de 20190</v>
      </c>
      <c r="AU465" t="str">
        <f>+_xlfn.XLOOKUP(AT465,CRUCE!J:J,CRUCE!M:M)</f>
        <v>READY</v>
      </c>
      <c r="AV465" t="s">
        <v>1907</v>
      </c>
      <c r="AW465" s="23">
        <f>+SUMIFS(CRUCE!D:D,CRUCE!A:A,'2022'!D465,CRUCE!B:B,'2022'!AS465)/COUNTIFS(D:D,D465,AS:AS,AS465)</f>
        <v>0</v>
      </c>
      <c r="AX465" s="23">
        <f t="shared" si="201"/>
        <v>0</v>
      </c>
      <c r="AY465" s="23">
        <f t="shared" si="202"/>
        <v>0</v>
      </c>
    </row>
    <row r="466" spans="1:51" hidden="1" x14ac:dyDescent="0.3">
      <c r="A466">
        <v>2022</v>
      </c>
      <c r="B466">
        <v>6</v>
      </c>
      <c r="C466">
        <v>12</v>
      </c>
      <c r="D466" s="5" t="s">
        <v>44</v>
      </c>
      <c r="E466" s="8">
        <v>45632</v>
      </c>
      <c r="F466">
        <v>12</v>
      </c>
      <c r="G466" s="8" t="s">
        <v>367</v>
      </c>
      <c r="H466" t="s">
        <v>909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623531.27</v>
      </c>
      <c r="X466" s="11">
        <v>477.4</v>
      </c>
      <c r="Y466" s="17">
        <v>623053.87</v>
      </c>
      <c r="Z466" s="11">
        <v>0</v>
      </c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11">
        <v>617911.75</v>
      </c>
      <c r="AG466" s="11">
        <v>477.4</v>
      </c>
      <c r="AH466" s="12">
        <v>617434.35</v>
      </c>
      <c r="AI466" s="11">
        <v>617434.35</v>
      </c>
      <c r="AJ466" s="11">
        <v>0</v>
      </c>
      <c r="AK466" s="11">
        <v>0</v>
      </c>
      <c r="AL466" s="11">
        <v>623053.87</v>
      </c>
      <c r="AM466" s="11">
        <v>623531.27</v>
      </c>
      <c r="AN466" s="11">
        <v>477.4</v>
      </c>
      <c r="AO466" s="11">
        <v>617911.75</v>
      </c>
      <c r="AP466" s="11">
        <v>0</v>
      </c>
      <c r="AQ466" s="11">
        <v>477.4</v>
      </c>
      <c r="AR466" t="s">
        <v>48</v>
      </c>
      <c r="AS466"/>
      <c r="AW466"/>
      <c r="AX466"/>
      <c r="AY466"/>
    </row>
    <row r="467" spans="1:51" hidden="1" x14ac:dyDescent="0.3">
      <c r="A467">
        <v>2022</v>
      </c>
      <c r="B467">
        <v>6</v>
      </c>
      <c r="C467">
        <v>1205</v>
      </c>
      <c r="D467" s="5" t="s">
        <v>44</v>
      </c>
      <c r="E467" s="8" t="s">
        <v>984</v>
      </c>
      <c r="F467">
        <v>1205</v>
      </c>
      <c r="G467" s="8" t="s">
        <v>379</v>
      </c>
      <c r="H467" t="s">
        <v>909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623531.27</v>
      </c>
      <c r="X467" s="11">
        <v>477.4</v>
      </c>
      <c r="Y467" s="17">
        <v>623053.87</v>
      </c>
      <c r="Z467" s="11">
        <v>0</v>
      </c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11">
        <v>617911.75</v>
      </c>
      <c r="AG467" s="11">
        <v>477.4</v>
      </c>
      <c r="AH467" s="12">
        <v>617434.35</v>
      </c>
      <c r="AI467" s="11">
        <v>617434.35</v>
      </c>
      <c r="AJ467" s="11">
        <v>0</v>
      </c>
      <c r="AK467" s="11">
        <v>0</v>
      </c>
      <c r="AL467" s="11">
        <v>623053.87</v>
      </c>
      <c r="AM467" s="11">
        <v>623531.27</v>
      </c>
      <c r="AN467" s="11">
        <v>477.4</v>
      </c>
      <c r="AO467" s="11">
        <v>617911.75</v>
      </c>
      <c r="AP467" s="11">
        <v>0</v>
      </c>
      <c r="AQ467" s="11">
        <v>477.4</v>
      </c>
      <c r="AR467" t="s">
        <v>48</v>
      </c>
      <c r="AS467"/>
      <c r="AW467"/>
      <c r="AX467"/>
      <c r="AY467"/>
    </row>
    <row r="468" spans="1:51" hidden="1" x14ac:dyDescent="0.3">
      <c r="A468">
        <v>2022</v>
      </c>
      <c r="B468">
        <v>6</v>
      </c>
      <c r="C468">
        <v>120502</v>
      </c>
      <c r="D468" s="5" t="s">
        <v>44</v>
      </c>
      <c r="E468" s="8" t="s">
        <v>985</v>
      </c>
      <c r="F468">
        <v>120502</v>
      </c>
      <c r="G468" s="8" t="s">
        <v>381</v>
      </c>
      <c r="H468" t="s">
        <v>909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623531.27</v>
      </c>
      <c r="X468" s="11">
        <v>477.4</v>
      </c>
      <c r="Y468" s="17">
        <v>623053.87</v>
      </c>
      <c r="Z468" s="11">
        <v>0</v>
      </c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11">
        <v>617911.75</v>
      </c>
      <c r="AG468" s="11">
        <v>477.4</v>
      </c>
      <c r="AH468" s="12">
        <v>617434.35</v>
      </c>
      <c r="AI468" s="11">
        <v>617434.35</v>
      </c>
      <c r="AJ468" s="11">
        <v>0</v>
      </c>
      <c r="AK468" s="11">
        <v>0</v>
      </c>
      <c r="AL468" s="11">
        <v>623053.87</v>
      </c>
      <c r="AM468" s="11">
        <v>623531.27</v>
      </c>
      <c r="AN468" s="11">
        <v>477.4</v>
      </c>
      <c r="AO468" s="11">
        <v>617911.75</v>
      </c>
      <c r="AP468" s="11">
        <v>0</v>
      </c>
      <c r="AQ468" s="11">
        <v>477.4</v>
      </c>
      <c r="AR468" t="s">
        <v>48</v>
      </c>
      <c r="AS468"/>
      <c r="AW468"/>
      <c r="AX468"/>
      <c r="AY468"/>
    </row>
    <row r="469" spans="1:51" hidden="1" x14ac:dyDescent="0.3">
      <c r="A469">
        <v>2022</v>
      </c>
      <c r="B469">
        <v>6</v>
      </c>
      <c r="C469">
        <v>120502001</v>
      </c>
      <c r="D469" s="5" t="s">
        <v>44</v>
      </c>
      <c r="E469" s="8" t="s">
        <v>986</v>
      </c>
      <c r="F469">
        <v>120502001</v>
      </c>
      <c r="G469" s="8" t="s">
        <v>46</v>
      </c>
      <c r="H469" t="s">
        <v>909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623531.27</v>
      </c>
      <c r="X469" s="11">
        <v>477.4</v>
      </c>
      <c r="Y469" s="17">
        <v>623053.87</v>
      </c>
      <c r="Z469" s="11">
        <v>0</v>
      </c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11">
        <v>617911.75</v>
      </c>
      <c r="AG469" s="11">
        <v>477.4</v>
      </c>
      <c r="AH469" s="12">
        <v>617434.35</v>
      </c>
      <c r="AI469" s="11">
        <v>617434.35</v>
      </c>
      <c r="AJ469" s="11">
        <v>0</v>
      </c>
      <c r="AK469" s="11">
        <v>0</v>
      </c>
      <c r="AL469" s="11">
        <v>623053.87</v>
      </c>
      <c r="AM469" s="11">
        <v>623531.27</v>
      </c>
      <c r="AN469" s="11">
        <v>477.4</v>
      </c>
      <c r="AO469" s="11">
        <v>617911.75</v>
      </c>
      <c r="AP469" s="11">
        <v>0</v>
      </c>
      <c r="AQ469" s="11">
        <v>477.4</v>
      </c>
      <c r="AR469" t="s">
        <v>48</v>
      </c>
      <c r="AS469"/>
      <c r="AW469"/>
      <c r="AX469"/>
      <c r="AY469"/>
    </row>
    <row r="470" spans="1:51" hidden="1" x14ac:dyDescent="0.3">
      <c r="A470">
        <v>2022</v>
      </c>
      <c r="B470">
        <v>6</v>
      </c>
      <c r="C470">
        <v>12050200101</v>
      </c>
      <c r="D470" s="5" t="s">
        <v>44</v>
      </c>
      <c r="E470" s="8" t="s">
        <v>987</v>
      </c>
      <c r="F470">
        <v>12050200101</v>
      </c>
      <c r="G470" s="8" t="s">
        <v>50</v>
      </c>
      <c r="H470" t="s">
        <v>909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623531.27</v>
      </c>
      <c r="X470" s="11">
        <v>477.4</v>
      </c>
      <c r="Y470" s="17">
        <v>623053.87</v>
      </c>
      <c r="Z470" s="11">
        <v>0</v>
      </c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11">
        <v>617911.75</v>
      </c>
      <c r="AG470" s="11">
        <v>477.4</v>
      </c>
      <c r="AH470" s="12">
        <v>617434.35</v>
      </c>
      <c r="AI470" s="11">
        <v>617434.35</v>
      </c>
      <c r="AJ470" s="11">
        <v>0</v>
      </c>
      <c r="AK470" s="11">
        <v>0</v>
      </c>
      <c r="AL470" s="11">
        <v>623053.87</v>
      </c>
      <c r="AM470" s="11">
        <v>623531.27</v>
      </c>
      <c r="AN470" s="11">
        <v>477.4</v>
      </c>
      <c r="AO470" s="11">
        <v>617911.75</v>
      </c>
      <c r="AP470" s="11">
        <v>0</v>
      </c>
      <c r="AQ470" s="11">
        <v>477.4</v>
      </c>
      <c r="AR470" t="s">
        <v>48</v>
      </c>
      <c r="AS470"/>
      <c r="AW470"/>
      <c r="AX470"/>
      <c r="AY470"/>
    </row>
    <row r="471" spans="1:51" hidden="1" x14ac:dyDescent="0.3">
      <c r="A471">
        <v>2022</v>
      </c>
      <c r="B471">
        <v>6</v>
      </c>
      <c r="C471">
        <v>1205020010102</v>
      </c>
      <c r="D471" s="5" t="s">
        <v>44</v>
      </c>
      <c r="E471" s="8" t="s">
        <v>988</v>
      </c>
      <c r="F471">
        <v>1205020010102</v>
      </c>
      <c r="G471" s="8" t="s">
        <v>145</v>
      </c>
      <c r="H471" t="s">
        <v>909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623531.27</v>
      </c>
      <c r="X471" s="11">
        <v>477.4</v>
      </c>
      <c r="Y471" s="17">
        <v>623053.87</v>
      </c>
      <c r="Z471" s="11">
        <v>0</v>
      </c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11">
        <v>617911.75</v>
      </c>
      <c r="AG471" s="11">
        <v>477.4</v>
      </c>
      <c r="AH471" s="12">
        <v>617434.35</v>
      </c>
      <c r="AI471" s="11">
        <v>617434.35</v>
      </c>
      <c r="AJ471" s="11">
        <v>0</v>
      </c>
      <c r="AK471" s="11">
        <v>0</v>
      </c>
      <c r="AL471" s="11">
        <v>623053.87</v>
      </c>
      <c r="AM471" s="11">
        <v>623531.27</v>
      </c>
      <c r="AN471" s="11">
        <v>477.4</v>
      </c>
      <c r="AO471" s="11">
        <v>617911.75</v>
      </c>
      <c r="AP471" s="11">
        <v>0</v>
      </c>
      <c r="AQ471" s="11">
        <v>477.4</v>
      </c>
      <c r="AR471" t="s">
        <v>48</v>
      </c>
      <c r="AS471"/>
      <c r="AW471"/>
      <c r="AX471"/>
      <c r="AY471"/>
    </row>
    <row r="472" spans="1:51" hidden="1" x14ac:dyDescent="0.3">
      <c r="A472">
        <v>2022</v>
      </c>
      <c r="B472">
        <v>6</v>
      </c>
      <c r="C472">
        <v>120502001010206</v>
      </c>
      <c r="D472" s="5" t="s">
        <v>44</v>
      </c>
      <c r="E472" s="8" t="s">
        <v>989</v>
      </c>
      <c r="F472">
        <v>120502001010206</v>
      </c>
      <c r="G472" s="8" t="s">
        <v>242</v>
      </c>
      <c r="H472" t="s">
        <v>909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623531.27</v>
      </c>
      <c r="X472" s="11">
        <v>477.4</v>
      </c>
      <c r="Y472" s="17">
        <v>623053.87</v>
      </c>
      <c r="Z472" s="11">
        <v>0</v>
      </c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11">
        <v>617911.75</v>
      </c>
      <c r="AG472" s="11">
        <v>477.4</v>
      </c>
      <c r="AH472" s="12">
        <v>617434.35</v>
      </c>
      <c r="AI472" s="11">
        <v>617434.35</v>
      </c>
      <c r="AJ472" s="11">
        <v>0</v>
      </c>
      <c r="AK472" s="11">
        <v>0</v>
      </c>
      <c r="AL472" s="11">
        <v>623053.87</v>
      </c>
      <c r="AM472" s="11">
        <v>623531.27</v>
      </c>
      <c r="AN472" s="11">
        <v>477.4</v>
      </c>
      <c r="AO472" s="11">
        <v>617911.75</v>
      </c>
      <c r="AP472" s="11">
        <v>0</v>
      </c>
      <c r="AQ472" s="11">
        <v>477.4</v>
      </c>
      <c r="AR472" t="s">
        <v>48</v>
      </c>
      <c r="AS472"/>
      <c r="AW472"/>
      <c r="AX472"/>
      <c r="AY472"/>
    </row>
    <row r="473" spans="1:51" x14ac:dyDescent="0.3">
      <c r="A473">
        <v>2022</v>
      </c>
      <c r="B473">
        <v>6</v>
      </c>
      <c r="C473">
        <v>1.20502001010206E+17</v>
      </c>
      <c r="D473" s="5">
        <v>70</v>
      </c>
      <c r="E473" s="8" t="s">
        <v>990</v>
      </c>
      <c r="F473">
        <v>1.20502001010206E+17</v>
      </c>
      <c r="G473" s="8" t="s">
        <v>991</v>
      </c>
      <c r="H473" t="s">
        <v>909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623531.27</v>
      </c>
      <c r="X473" s="11">
        <v>477.4</v>
      </c>
      <c r="Y473" s="17">
        <v>623053.87</v>
      </c>
      <c r="Z473" s="11">
        <v>0</v>
      </c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11">
        <v>617911.75</v>
      </c>
      <c r="AG473" s="11">
        <v>477.4</v>
      </c>
      <c r="AH473" s="12">
        <v>617434.35</v>
      </c>
      <c r="AI473" s="11">
        <v>617434.35</v>
      </c>
      <c r="AJ473" s="11">
        <v>0</v>
      </c>
      <c r="AK473" s="11">
        <v>0</v>
      </c>
      <c r="AL473" s="11">
        <v>623053.87</v>
      </c>
      <c r="AM473" s="11">
        <v>623531.27</v>
      </c>
      <c r="AN473" s="11">
        <v>477.4</v>
      </c>
      <c r="AO473" s="11">
        <v>617911.75</v>
      </c>
      <c r="AP473" s="11">
        <v>0</v>
      </c>
      <c r="AQ473" s="11">
        <v>477.4</v>
      </c>
      <c r="AR473" t="s">
        <v>918</v>
      </c>
      <c r="AS473" s="4" t="str">
        <f>+G473</f>
        <v>Sistema General de Regalias</v>
      </c>
      <c r="AT473" t="str">
        <f>+D473&amp;AS473&amp;Y473</f>
        <v>70Sistema General de Regalias623053,87</v>
      </c>
      <c r="AU473" t="str">
        <f>+_xlfn.XLOOKUP(AT473,CRUCE!J:J,CRUCE!M:M)</f>
        <v>READY</v>
      </c>
      <c r="AV473" t="s">
        <v>1907</v>
      </c>
      <c r="AW473" s="23">
        <f>+SUMIFS(CRUCE!D:D,CRUCE!A:A,'2022'!D473,CRUCE!B:B,'2022'!AS473)/COUNTIFS(D:D,D473,AS:AS,AS473)</f>
        <v>623053.87</v>
      </c>
      <c r="AX473" s="23">
        <f>+SUMIFS(Y:Y,D:D,D473,AS:AS,AS473)/COUNTIFS(D:D,D473,AS:AS,AS473)</f>
        <v>623053.87</v>
      </c>
      <c r="AY473" s="23">
        <f>+AW473-AX473</f>
        <v>0</v>
      </c>
    </row>
    <row r="474" spans="1:51" hidden="1" x14ac:dyDescent="0.3">
      <c r="A474">
        <v>2022</v>
      </c>
      <c r="B474">
        <v>8</v>
      </c>
      <c r="C474">
        <v>1</v>
      </c>
      <c r="D474" s="5" t="s">
        <v>44</v>
      </c>
      <c r="E474" s="8">
        <v>45299</v>
      </c>
      <c r="F474">
        <v>1</v>
      </c>
      <c r="G474" s="8" t="s">
        <v>46</v>
      </c>
      <c r="H474" t="s">
        <v>992</v>
      </c>
      <c r="I474" s="11">
        <v>0</v>
      </c>
      <c r="J474" s="11">
        <v>0</v>
      </c>
      <c r="K474" s="11">
        <v>30983766</v>
      </c>
      <c r="L474" s="11">
        <v>0</v>
      </c>
      <c r="M474" s="11">
        <v>30983766</v>
      </c>
      <c r="N474" s="11">
        <v>30983766</v>
      </c>
      <c r="O474" s="11">
        <v>0</v>
      </c>
      <c r="P474" s="11">
        <v>30983766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30983766</v>
      </c>
      <c r="X474" s="11">
        <v>0</v>
      </c>
      <c r="Y474" s="17">
        <v>30983766</v>
      </c>
      <c r="Z474" s="11">
        <v>0</v>
      </c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30983766</v>
      </c>
      <c r="AG474" s="11">
        <v>0</v>
      </c>
      <c r="AH474" s="12">
        <v>30983766</v>
      </c>
      <c r="AI474" s="11">
        <v>30983766</v>
      </c>
      <c r="AJ474" s="11">
        <v>30983766</v>
      </c>
      <c r="AK474" s="11">
        <v>30983766</v>
      </c>
      <c r="AL474" s="11">
        <v>0</v>
      </c>
      <c r="AM474" s="11">
        <v>0</v>
      </c>
      <c r="AN474" s="11">
        <v>0</v>
      </c>
      <c r="AO474" s="11">
        <v>0</v>
      </c>
      <c r="AP474" s="11">
        <v>0</v>
      </c>
      <c r="AQ474" s="11">
        <v>0</v>
      </c>
      <c r="AR474" t="s">
        <v>48</v>
      </c>
      <c r="AS474"/>
      <c r="AW474"/>
      <c r="AX474"/>
      <c r="AY474"/>
    </row>
    <row r="475" spans="1:51" hidden="1" x14ac:dyDescent="0.3">
      <c r="A475">
        <v>2022</v>
      </c>
      <c r="B475">
        <v>8</v>
      </c>
      <c r="C475">
        <v>12</v>
      </c>
      <c r="D475" s="5" t="s">
        <v>44</v>
      </c>
      <c r="E475" s="8">
        <v>45634</v>
      </c>
      <c r="F475">
        <v>12</v>
      </c>
      <c r="G475" s="8" t="s">
        <v>367</v>
      </c>
      <c r="H475" t="s">
        <v>992</v>
      </c>
      <c r="I475" s="11">
        <v>0</v>
      </c>
      <c r="J475" s="11">
        <v>0</v>
      </c>
      <c r="K475" s="11">
        <v>30983766</v>
      </c>
      <c r="L475" s="11">
        <v>0</v>
      </c>
      <c r="M475" s="11">
        <v>30983766</v>
      </c>
      <c r="N475" s="11">
        <v>30983766</v>
      </c>
      <c r="O475" s="11">
        <v>0</v>
      </c>
      <c r="P475" s="11">
        <v>30983766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30983766</v>
      </c>
      <c r="X475" s="11">
        <v>0</v>
      </c>
      <c r="Y475" s="17">
        <v>30983766</v>
      </c>
      <c r="Z475" s="11">
        <v>0</v>
      </c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11">
        <v>30983766</v>
      </c>
      <c r="AG475" s="11">
        <v>0</v>
      </c>
      <c r="AH475" s="12">
        <v>30983766</v>
      </c>
      <c r="AI475" s="11">
        <v>30983766</v>
      </c>
      <c r="AJ475" s="11">
        <v>30983766</v>
      </c>
      <c r="AK475" s="11">
        <v>30983766</v>
      </c>
      <c r="AL475" s="11">
        <v>0</v>
      </c>
      <c r="AM475" s="11">
        <v>0</v>
      </c>
      <c r="AN475" s="11">
        <v>0</v>
      </c>
      <c r="AO475" s="11">
        <v>0</v>
      </c>
      <c r="AP475" s="11">
        <v>0</v>
      </c>
      <c r="AQ475" s="11">
        <v>0</v>
      </c>
      <c r="AR475" t="s">
        <v>48</v>
      </c>
      <c r="AS475"/>
      <c r="AW475"/>
      <c r="AX475"/>
      <c r="AY475"/>
    </row>
    <row r="476" spans="1:51" hidden="1" x14ac:dyDescent="0.3">
      <c r="A476">
        <v>2022</v>
      </c>
      <c r="B476">
        <v>8</v>
      </c>
      <c r="C476">
        <v>1210</v>
      </c>
      <c r="D476" s="5" t="s">
        <v>44</v>
      </c>
      <c r="E476" s="8" t="s">
        <v>993</v>
      </c>
      <c r="F476">
        <v>1210</v>
      </c>
      <c r="G476" s="8" t="s">
        <v>474</v>
      </c>
      <c r="H476" t="s">
        <v>992</v>
      </c>
      <c r="I476" s="11">
        <v>0</v>
      </c>
      <c r="J476" s="11">
        <v>0</v>
      </c>
      <c r="K476" s="11">
        <v>30983766</v>
      </c>
      <c r="L476" s="11">
        <v>0</v>
      </c>
      <c r="M476" s="11">
        <v>30983766</v>
      </c>
      <c r="N476" s="11">
        <v>30983766</v>
      </c>
      <c r="O476" s="11">
        <v>0</v>
      </c>
      <c r="P476" s="11">
        <v>30983766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30983766</v>
      </c>
      <c r="X476" s="11">
        <v>0</v>
      </c>
      <c r="Y476" s="17">
        <v>30983766</v>
      </c>
      <c r="Z476" s="11">
        <v>0</v>
      </c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11">
        <v>30983766</v>
      </c>
      <c r="AG476" s="11">
        <v>0</v>
      </c>
      <c r="AH476" s="12">
        <v>30983766</v>
      </c>
      <c r="AI476" s="11">
        <v>30983766</v>
      </c>
      <c r="AJ476" s="11">
        <v>30983766</v>
      </c>
      <c r="AK476" s="11">
        <v>30983766</v>
      </c>
      <c r="AL476" s="11">
        <v>0</v>
      </c>
      <c r="AM476" s="11">
        <v>0</v>
      </c>
      <c r="AN476" s="11">
        <v>0</v>
      </c>
      <c r="AO476" s="11">
        <v>0</v>
      </c>
      <c r="AP476" s="11">
        <v>0</v>
      </c>
      <c r="AQ476" s="11">
        <v>0</v>
      </c>
      <c r="AR476" t="s">
        <v>48</v>
      </c>
      <c r="AS476"/>
      <c r="AW476"/>
      <c r="AX476"/>
      <c r="AY476"/>
    </row>
    <row r="477" spans="1:51" hidden="1" x14ac:dyDescent="0.3">
      <c r="A477">
        <v>2022</v>
      </c>
      <c r="B477">
        <v>8</v>
      </c>
      <c r="C477">
        <v>121002</v>
      </c>
      <c r="D477" s="5" t="s">
        <v>44</v>
      </c>
      <c r="E477" s="8" t="s">
        <v>994</v>
      </c>
      <c r="F477">
        <v>121002</v>
      </c>
      <c r="G477" s="8" t="s">
        <v>476</v>
      </c>
      <c r="H477" t="s">
        <v>992</v>
      </c>
      <c r="I477" s="11">
        <v>0</v>
      </c>
      <c r="J477" s="11">
        <v>0</v>
      </c>
      <c r="K477" s="11">
        <v>30983766</v>
      </c>
      <c r="L477" s="11">
        <v>0</v>
      </c>
      <c r="M477" s="11">
        <v>30983766</v>
      </c>
      <c r="N477" s="11">
        <v>30983766</v>
      </c>
      <c r="O477" s="11">
        <v>0</v>
      </c>
      <c r="P477" s="11">
        <v>30983766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30983766</v>
      </c>
      <c r="X477" s="11">
        <v>0</v>
      </c>
      <c r="Y477" s="17">
        <v>30983766</v>
      </c>
      <c r="Z477" s="11">
        <v>0</v>
      </c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11">
        <v>30983766</v>
      </c>
      <c r="AG477" s="11">
        <v>0</v>
      </c>
      <c r="AH477" s="12">
        <v>30983766</v>
      </c>
      <c r="AI477" s="11">
        <v>30983766</v>
      </c>
      <c r="AJ477" s="11">
        <v>30983766</v>
      </c>
      <c r="AK477" s="11">
        <v>30983766</v>
      </c>
      <c r="AL477" s="11">
        <v>0</v>
      </c>
      <c r="AM477" s="11">
        <v>0</v>
      </c>
      <c r="AN477" s="11">
        <v>0</v>
      </c>
      <c r="AO477" s="11">
        <v>0</v>
      </c>
      <c r="AP477" s="11">
        <v>0</v>
      </c>
      <c r="AQ477" s="11">
        <v>0</v>
      </c>
      <c r="AR477" t="s">
        <v>48</v>
      </c>
      <c r="AS477"/>
      <c r="AW477"/>
      <c r="AX477"/>
      <c r="AY477"/>
    </row>
    <row r="478" spans="1:51" hidden="1" x14ac:dyDescent="0.3">
      <c r="A478">
        <v>2022</v>
      </c>
      <c r="B478">
        <v>8</v>
      </c>
      <c r="C478">
        <v>121002002</v>
      </c>
      <c r="D478" s="5" t="s">
        <v>44</v>
      </c>
      <c r="E478" s="8" t="s">
        <v>997</v>
      </c>
      <c r="F478">
        <v>121002002</v>
      </c>
      <c r="G478" s="8" t="s">
        <v>482</v>
      </c>
      <c r="H478" t="s">
        <v>992</v>
      </c>
      <c r="I478" s="11">
        <v>0</v>
      </c>
      <c r="J478" s="11">
        <v>0</v>
      </c>
      <c r="K478" s="11">
        <v>30983766</v>
      </c>
      <c r="L478" s="11">
        <v>0</v>
      </c>
      <c r="M478" s="11">
        <v>30983766</v>
      </c>
      <c r="N478" s="11">
        <v>30983766</v>
      </c>
      <c r="O478" s="11">
        <v>0</v>
      </c>
      <c r="P478" s="11">
        <v>30983766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30983766</v>
      </c>
      <c r="X478" s="11">
        <v>0</v>
      </c>
      <c r="Y478" s="17">
        <v>30983766</v>
      </c>
      <c r="Z478" s="11">
        <v>0</v>
      </c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11">
        <v>30983766</v>
      </c>
      <c r="AG478" s="11">
        <v>0</v>
      </c>
      <c r="AH478" s="12">
        <v>30983766</v>
      </c>
      <c r="AI478" s="11">
        <v>30983766</v>
      </c>
      <c r="AJ478" s="11">
        <v>30983766</v>
      </c>
      <c r="AK478" s="11">
        <v>30983766</v>
      </c>
      <c r="AL478" s="11">
        <v>0</v>
      </c>
      <c r="AM478" s="11">
        <v>0</v>
      </c>
      <c r="AN478" s="11">
        <v>0</v>
      </c>
      <c r="AO478" s="11">
        <v>0</v>
      </c>
      <c r="AP478" s="11">
        <v>0</v>
      </c>
      <c r="AQ478" s="11">
        <v>0</v>
      </c>
      <c r="AR478" t="s">
        <v>48</v>
      </c>
      <c r="AS478"/>
      <c r="AW478"/>
      <c r="AX478"/>
      <c r="AY478"/>
    </row>
    <row r="479" spans="1:51" x14ac:dyDescent="0.3">
      <c r="A479">
        <v>2022</v>
      </c>
      <c r="B479">
        <v>8</v>
      </c>
      <c r="C479">
        <v>12100200201</v>
      </c>
      <c r="D479" s="5">
        <v>82</v>
      </c>
      <c r="E479" s="8" t="s">
        <v>998</v>
      </c>
      <c r="F479">
        <v>12100200201</v>
      </c>
      <c r="G479" s="8" t="s">
        <v>484</v>
      </c>
      <c r="H479" t="s">
        <v>992</v>
      </c>
      <c r="I479" s="11">
        <v>0</v>
      </c>
      <c r="J479" s="11">
        <v>0</v>
      </c>
      <c r="K479" s="11">
        <v>30983766</v>
      </c>
      <c r="L479" s="11">
        <v>0</v>
      </c>
      <c r="M479" s="11">
        <v>30983766</v>
      </c>
      <c r="N479" s="11">
        <v>30983766</v>
      </c>
      <c r="O479" s="11">
        <v>0</v>
      </c>
      <c r="P479" s="11">
        <v>30983766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30983766</v>
      </c>
      <c r="X479" s="11">
        <v>0</v>
      </c>
      <c r="Y479" s="17">
        <v>30983766</v>
      </c>
      <c r="Z479" s="11">
        <v>0</v>
      </c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11">
        <v>30983766</v>
      </c>
      <c r="AG479" s="11">
        <v>0</v>
      </c>
      <c r="AH479" s="12">
        <v>30983766</v>
      </c>
      <c r="AI479" s="11">
        <v>30983766</v>
      </c>
      <c r="AJ479" s="11">
        <v>30983766</v>
      </c>
      <c r="AK479" s="11">
        <v>30983766</v>
      </c>
      <c r="AL479" s="11">
        <v>0</v>
      </c>
      <c r="AM479" s="11">
        <v>0</v>
      </c>
      <c r="AN479" s="11">
        <v>0</v>
      </c>
      <c r="AO479" s="11">
        <v>0</v>
      </c>
      <c r="AP479" s="11">
        <v>0</v>
      </c>
      <c r="AQ479" s="11">
        <v>0</v>
      </c>
      <c r="AR479" t="s">
        <v>485</v>
      </c>
      <c r="AS479" s="4" t="str">
        <f t="shared" ref="AS479" si="203">+G479</f>
        <v>Superávit Estampilla Pro-Desarrollo</v>
      </c>
      <c r="AT479" t="str">
        <f>+D479&amp;AS479&amp;Y479</f>
        <v>82Superávit Estampilla Pro-Desarrollo30983766</v>
      </c>
      <c r="AU479" t="e">
        <f>+_xlfn.XLOOKUP(AT479,CRUCE!J:J,CRUCE!M:M)</f>
        <v>#N/A</v>
      </c>
      <c r="AV479" t="s">
        <v>1907</v>
      </c>
      <c r="AW479" s="23">
        <f>+SUMIFS(CRUCE!D:D,CRUCE!A:A,'2022'!D479,CRUCE!B:B,'2022'!AS479)/COUNTIFS(D:D,D479,AS:AS,AS479)</f>
        <v>2055398880.8699999</v>
      </c>
      <c r="AX479" s="23">
        <f>+SUMIFS(Y:Y,D:D,D479,AS:AS,AS479)/COUNTIFS(D:D,D479,AS:AS,AS479)</f>
        <v>2055398880.8699999</v>
      </c>
      <c r="AY479" s="23">
        <f>+AW479-AX479</f>
        <v>0</v>
      </c>
    </row>
    <row r="480" spans="1:51" hidden="1" x14ac:dyDescent="0.3">
      <c r="A480">
        <v>2022</v>
      </c>
      <c r="B480">
        <v>9</v>
      </c>
      <c r="C480">
        <v>1</v>
      </c>
      <c r="D480" s="5" t="s">
        <v>44</v>
      </c>
      <c r="E480" s="8">
        <v>45300</v>
      </c>
      <c r="F480">
        <v>1</v>
      </c>
      <c r="G480" s="8" t="s">
        <v>46</v>
      </c>
      <c r="H480" t="s">
        <v>1006</v>
      </c>
      <c r="I480" s="11">
        <v>0</v>
      </c>
      <c r="J480" s="11">
        <v>0</v>
      </c>
      <c r="K480" s="11">
        <v>624964729.02999997</v>
      </c>
      <c r="L480" s="11">
        <v>107732336</v>
      </c>
      <c r="M480" s="11">
        <v>517232393.02999997</v>
      </c>
      <c r="N480" s="11">
        <v>624964729.02999997</v>
      </c>
      <c r="O480" s="11">
        <v>107732336</v>
      </c>
      <c r="P480" s="11">
        <v>517232393.02999997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732697065.02999997</v>
      </c>
      <c r="X480" s="11">
        <v>215464672</v>
      </c>
      <c r="Y480" s="17">
        <v>517232393.02999997</v>
      </c>
      <c r="Z480" s="11">
        <v>0</v>
      </c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732697065.02999997</v>
      </c>
      <c r="AG480" s="11">
        <v>215464672</v>
      </c>
      <c r="AH480" s="12">
        <v>517232393.02999997</v>
      </c>
      <c r="AI480" s="11">
        <v>517232393.02999997</v>
      </c>
      <c r="AJ480" s="11">
        <v>517232393.02999997</v>
      </c>
      <c r="AK480" s="11">
        <v>517232393.02999997</v>
      </c>
      <c r="AL480" s="11">
        <v>0</v>
      </c>
      <c r="AM480" s="11">
        <v>0</v>
      </c>
      <c r="AN480" s="11">
        <v>0</v>
      </c>
      <c r="AO480" s="11">
        <v>0</v>
      </c>
      <c r="AP480" s="11">
        <v>0</v>
      </c>
      <c r="AQ480" s="11">
        <v>0</v>
      </c>
      <c r="AR480" t="s">
        <v>48</v>
      </c>
      <c r="AS480"/>
      <c r="AW480"/>
      <c r="AX480"/>
      <c r="AY480"/>
    </row>
    <row r="481" spans="1:51" hidden="1" x14ac:dyDescent="0.3">
      <c r="A481">
        <v>2022</v>
      </c>
      <c r="B481">
        <v>9</v>
      </c>
      <c r="C481">
        <v>12</v>
      </c>
      <c r="D481" s="5" t="s">
        <v>44</v>
      </c>
      <c r="E481" s="8">
        <v>45635</v>
      </c>
      <c r="F481">
        <v>12</v>
      </c>
      <c r="G481" s="8" t="s">
        <v>367</v>
      </c>
      <c r="H481" t="s">
        <v>1006</v>
      </c>
      <c r="I481" s="11">
        <v>0</v>
      </c>
      <c r="J481" s="11">
        <v>0</v>
      </c>
      <c r="K481" s="11">
        <v>624964729.02999997</v>
      </c>
      <c r="L481" s="11">
        <v>107732336</v>
      </c>
      <c r="M481" s="11">
        <v>517232393.02999997</v>
      </c>
      <c r="N481" s="11">
        <v>624964729.02999997</v>
      </c>
      <c r="O481" s="11">
        <v>107732336</v>
      </c>
      <c r="P481" s="11">
        <v>517232393.02999997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732697065.02999997</v>
      </c>
      <c r="X481" s="11">
        <v>215464672</v>
      </c>
      <c r="Y481" s="17">
        <v>517232393.02999997</v>
      </c>
      <c r="Z481" s="11">
        <v>0</v>
      </c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11">
        <v>732697065.02999997</v>
      </c>
      <c r="AG481" s="11">
        <v>215464672</v>
      </c>
      <c r="AH481" s="12">
        <v>517232393.02999997</v>
      </c>
      <c r="AI481" s="11">
        <v>517232393.02999997</v>
      </c>
      <c r="AJ481" s="11">
        <v>517232393.02999997</v>
      </c>
      <c r="AK481" s="11">
        <v>517232393.02999997</v>
      </c>
      <c r="AL481" s="11">
        <v>0</v>
      </c>
      <c r="AM481" s="11">
        <v>0</v>
      </c>
      <c r="AN481" s="11">
        <v>0</v>
      </c>
      <c r="AO481" s="11">
        <v>0</v>
      </c>
      <c r="AP481" s="11">
        <v>0</v>
      </c>
      <c r="AQ481" s="11">
        <v>0</v>
      </c>
      <c r="AR481" t="s">
        <v>48</v>
      </c>
      <c r="AS481"/>
      <c r="AW481"/>
      <c r="AX481"/>
      <c r="AY481"/>
    </row>
    <row r="482" spans="1:51" hidden="1" x14ac:dyDescent="0.3">
      <c r="A482">
        <v>2022</v>
      </c>
      <c r="B482">
        <v>9</v>
      </c>
      <c r="C482">
        <v>1210</v>
      </c>
      <c r="D482" s="5" t="s">
        <v>44</v>
      </c>
      <c r="E482" s="8" t="s">
        <v>1007</v>
      </c>
      <c r="F482">
        <v>1210</v>
      </c>
      <c r="G482" s="8" t="s">
        <v>474</v>
      </c>
      <c r="H482" t="s">
        <v>1006</v>
      </c>
      <c r="I482" s="11">
        <v>0</v>
      </c>
      <c r="J482" s="11">
        <v>0</v>
      </c>
      <c r="K482" s="11">
        <v>624964729.02999997</v>
      </c>
      <c r="L482" s="11">
        <v>107732336</v>
      </c>
      <c r="M482" s="11">
        <v>517232393.02999997</v>
      </c>
      <c r="N482" s="11">
        <v>624964729.02999997</v>
      </c>
      <c r="O482" s="11">
        <v>107732336</v>
      </c>
      <c r="P482" s="11">
        <v>517232393.02999997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732697065.02999997</v>
      </c>
      <c r="X482" s="11">
        <v>215464672</v>
      </c>
      <c r="Y482" s="17">
        <v>517232393.02999997</v>
      </c>
      <c r="Z482" s="11">
        <v>0</v>
      </c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11">
        <v>732697065.02999997</v>
      </c>
      <c r="AG482" s="11">
        <v>215464672</v>
      </c>
      <c r="AH482" s="12">
        <v>517232393.02999997</v>
      </c>
      <c r="AI482" s="11">
        <v>517232393.02999997</v>
      </c>
      <c r="AJ482" s="11">
        <v>517232393.02999997</v>
      </c>
      <c r="AK482" s="11">
        <v>517232393.02999997</v>
      </c>
      <c r="AL482" s="11">
        <v>0</v>
      </c>
      <c r="AM482" s="11">
        <v>0</v>
      </c>
      <c r="AN482" s="11">
        <v>0</v>
      </c>
      <c r="AO482" s="11">
        <v>0</v>
      </c>
      <c r="AP482" s="11">
        <v>0</v>
      </c>
      <c r="AQ482" s="11">
        <v>0</v>
      </c>
      <c r="AR482" t="s">
        <v>48</v>
      </c>
      <c r="AS482"/>
      <c r="AW482"/>
      <c r="AX482"/>
      <c r="AY482"/>
    </row>
    <row r="483" spans="1:51" hidden="1" x14ac:dyDescent="0.3">
      <c r="A483">
        <v>2022</v>
      </c>
      <c r="B483">
        <v>9</v>
      </c>
      <c r="C483">
        <v>121002</v>
      </c>
      <c r="D483" s="5" t="s">
        <v>44</v>
      </c>
      <c r="E483" s="8" t="s">
        <v>1008</v>
      </c>
      <c r="F483">
        <v>121002</v>
      </c>
      <c r="G483" s="8" t="s">
        <v>476</v>
      </c>
      <c r="H483" t="s">
        <v>1006</v>
      </c>
      <c r="I483" s="11">
        <v>0</v>
      </c>
      <c r="J483" s="11">
        <v>0</v>
      </c>
      <c r="K483" s="11">
        <v>624964729.02999997</v>
      </c>
      <c r="L483" s="11">
        <v>107732336</v>
      </c>
      <c r="M483" s="11">
        <v>517232393.02999997</v>
      </c>
      <c r="N483" s="11">
        <v>624964729.02999997</v>
      </c>
      <c r="O483" s="11">
        <v>107732336</v>
      </c>
      <c r="P483" s="11">
        <v>517232393.02999997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732697065.02999997</v>
      </c>
      <c r="X483" s="11">
        <v>215464672</v>
      </c>
      <c r="Y483" s="17">
        <v>517232393.02999997</v>
      </c>
      <c r="Z483" s="11">
        <v>0</v>
      </c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11">
        <v>732697065.02999997</v>
      </c>
      <c r="AG483" s="11">
        <v>215464672</v>
      </c>
      <c r="AH483" s="12">
        <v>517232393.02999997</v>
      </c>
      <c r="AI483" s="11">
        <v>517232393.02999997</v>
      </c>
      <c r="AJ483" s="11">
        <v>517232393.02999997</v>
      </c>
      <c r="AK483" s="11">
        <v>517232393.02999997</v>
      </c>
      <c r="AL483" s="11">
        <v>0</v>
      </c>
      <c r="AM483" s="11">
        <v>0</v>
      </c>
      <c r="AN483" s="11">
        <v>0</v>
      </c>
      <c r="AO483" s="11">
        <v>0</v>
      </c>
      <c r="AP483" s="11">
        <v>0</v>
      </c>
      <c r="AQ483" s="11">
        <v>0</v>
      </c>
      <c r="AR483" t="s">
        <v>48</v>
      </c>
      <c r="AS483"/>
      <c r="AW483"/>
      <c r="AX483"/>
      <c r="AY483"/>
    </row>
    <row r="484" spans="1:51" hidden="1" x14ac:dyDescent="0.3">
      <c r="A484">
        <v>2022</v>
      </c>
      <c r="B484">
        <v>9</v>
      </c>
      <c r="C484">
        <v>121002001</v>
      </c>
      <c r="D484" s="5" t="s">
        <v>44</v>
      </c>
      <c r="E484" s="8" t="s">
        <v>1009</v>
      </c>
      <c r="F484">
        <v>121002001</v>
      </c>
      <c r="G484" s="8" t="s">
        <v>478</v>
      </c>
      <c r="H484" t="s">
        <v>1006</v>
      </c>
      <c r="I484" s="11">
        <v>0</v>
      </c>
      <c r="J484" s="11">
        <v>0</v>
      </c>
      <c r="K484" s="11">
        <v>239194397.44999999</v>
      </c>
      <c r="L484" s="11">
        <v>0</v>
      </c>
      <c r="M484" s="11">
        <v>239194397.44999999</v>
      </c>
      <c r="N484" s="11">
        <v>239194397.44999999</v>
      </c>
      <c r="O484" s="11">
        <v>0</v>
      </c>
      <c r="P484" s="11">
        <v>239194397.44999999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239194397.44999999</v>
      </c>
      <c r="X484" s="11">
        <v>0</v>
      </c>
      <c r="Y484" s="17">
        <v>239194397.44999999</v>
      </c>
      <c r="Z484" s="11">
        <v>0</v>
      </c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11">
        <v>239194397.44999999</v>
      </c>
      <c r="AG484" s="11">
        <v>0</v>
      </c>
      <c r="AH484" s="12">
        <v>239194397.44999999</v>
      </c>
      <c r="AI484" s="11">
        <v>239194397.44999999</v>
      </c>
      <c r="AJ484" s="11">
        <v>239194397.44999999</v>
      </c>
      <c r="AK484" s="11">
        <v>239194397.44999999</v>
      </c>
      <c r="AL484" s="11">
        <v>0</v>
      </c>
      <c r="AM484" s="11">
        <v>0</v>
      </c>
      <c r="AN484" s="11">
        <v>0</v>
      </c>
      <c r="AO484" s="11">
        <v>0</v>
      </c>
      <c r="AP484" s="11">
        <v>0</v>
      </c>
      <c r="AQ484" s="11">
        <v>0</v>
      </c>
      <c r="AR484" t="s">
        <v>48</v>
      </c>
      <c r="AS484"/>
      <c r="AW484"/>
      <c r="AX484"/>
      <c r="AY484"/>
    </row>
    <row r="485" spans="1:51" x14ac:dyDescent="0.3">
      <c r="A485">
        <v>2022</v>
      </c>
      <c r="B485">
        <v>9</v>
      </c>
      <c r="C485">
        <v>12100200101</v>
      </c>
      <c r="D485" s="5">
        <v>88</v>
      </c>
      <c r="E485" s="8" t="s">
        <v>1010</v>
      </c>
      <c r="F485">
        <v>12100200101</v>
      </c>
      <c r="G485" s="8" t="s">
        <v>480</v>
      </c>
      <c r="H485" t="s">
        <v>1006</v>
      </c>
      <c r="I485" s="11">
        <v>0</v>
      </c>
      <c r="J485" s="11">
        <v>0</v>
      </c>
      <c r="K485" s="11">
        <v>239194397.44999999</v>
      </c>
      <c r="L485" s="11">
        <v>0</v>
      </c>
      <c r="M485" s="11">
        <v>239194397.44999999</v>
      </c>
      <c r="N485" s="11">
        <v>239194397.44999999</v>
      </c>
      <c r="O485" s="11">
        <v>0</v>
      </c>
      <c r="P485" s="11">
        <v>239194397.44999999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239194397.44999999</v>
      </c>
      <c r="X485" s="11">
        <v>0</v>
      </c>
      <c r="Y485" s="17">
        <v>239194397.44999999</v>
      </c>
      <c r="Z485" s="11">
        <v>0</v>
      </c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11">
        <v>239194397.44999999</v>
      </c>
      <c r="AG485" s="11">
        <v>0</v>
      </c>
      <c r="AH485" s="12">
        <v>239194397.44999999</v>
      </c>
      <c r="AI485" s="11">
        <v>239194397.44999999</v>
      </c>
      <c r="AJ485" s="11">
        <v>239194397.44999999</v>
      </c>
      <c r="AK485" s="11">
        <v>239194397.44999999</v>
      </c>
      <c r="AL485" s="11">
        <v>0</v>
      </c>
      <c r="AM485" s="11">
        <v>0</v>
      </c>
      <c r="AN485" s="11">
        <v>0</v>
      </c>
      <c r="AO485" s="11">
        <v>0</v>
      </c>
      <c r="AP485" s="11">
        <v>0</v>
      </c>
      <c r="AQ485" s="11">
        <v>0</v>
      </c>
      <c r="AR485" t="s">
        <v>471</v>
      </c>
      <c r="AS485" s="4" t="str">
        <f t="shared" ref="AS485" si="204">+G485</f>
        <v xml:space="preserve">Superávit Recurso Ordinario </v>
      </c>
      <c r="AT485" t="str">
        <f>+D485&amp;AS485&amp;Y485</f>
        <v>88Superávit Recurso Ordinario 239194397,45</v>
      </c>
      <c r="AU485" t="e">
        <f>+_xlfn.XLOOKUP(AT485,CRUCE!J:J,CRUCE!M:M)</f>
        <v>#N/A</v>
      </c>
      <c r="AV485" t="s">
        <v>1907</v>
      </c>
      <c r="AW485" s="23">
        <f>+SUMIFS(CRUCE!D:D,CRUCE!A:A,'2022'!D485,CRUCE!B:B,'2022'!AS485)/COUNTIFS(D:D,D485,AS:AS,AS485)</f>
        <v>10392648884.855</v>
      </c>
      <c r="AX485" s="23">
        <f>+SUMIFS(Y:Y,D:D,D485,AS:AS,AS485)/COUNTIFS(D:D,D485,AS:AS,AS485)</f>
        <v>10392648884.855</v>
      </c>
      <c r="AY485" s="23">
        <f>+AW485-AX485</f>
        <v>0</v>
      </c>
    </row>
    <row r="486" spans="1:51" hidden="1" x14ac:dyDescent="0.3">
      <c r="A486">
        <v>2022</v>
      </c>
      <c r="B486">
        <v>9</v>
      </c>
      <c r="C486">
        <v>121002002</v>
      </c>
      <c r="D486" s="5" t="s">
        <v>44</v>
      </c>
      <c r="E486" s="8" t="s">
        <v>1011</v>
      </c>
      <c r="F486">
        <v>121002002</v>
      </c>
      <c r="G486" s="8" t="s">
        <v>482</v>
      </c>
      <c r="H486" t="s">
        <v>1006</v>
      </c>
      <c r="I486" s="11">
        <v>0</v>
      </c>
      <c r="J486" s="11">
        <v>0</v>
      </c>
      <c r="K486" s="11">
        <v>385770331.57999998</v>
      </c>
      <c r="L486" s="11">
        <v>107732336</v>
      </c>
      <c r="M486" s="11">
        <v>278037995.57999998</v>
      </c>
      <c r="N486" s="11">
        <v>385770331.57999998</v>
      </c>
      <c r="O486" s="11">
        <v>107732336</v>
      </c>
      <c r="P486" s="11">
        <v>278037995.57999998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493502667.57999998</v>
      </c>
      <c r="X486" s="11">
        <v>215464672</v>
      </c>
      <c r="Y486" s="17">
        <v>278037995.57999998</v>
      </c>
      <c r="Z486" s="11">
        <v>0</v>
      </c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11">
        <v>493502667.57999998</v>
      </c>
      <c r="AG486" s="11">
        <v>215464672</v>
      </c>
      <c r="AH486" s="12">
        <v>278037995.57999998</v>
      </c>
      <c r="AI486" s="11">
        <v>278037995.57999998</v>
      </c>
      <c r="AJ486" s="11">
        <v>278037995.57999998</v>
      </c>
      <c r="AK486" s="11">
        <v>278037995.57999998</v>
      </c>
      <c r="AL486" s="11">
        <v>0</v>
      </c>
      <c r="AM486" s="11">
        <v>0</v>
      </c>
      <c r="AN486" s="11">
        <v>0</v>
      </c>
      <c r="AO486" s="11">
        <v>0</v>
      </c>
      <c r="AP486" s="11">
        <v>0</v>
      </c>
      <c r="AQ486" s="11">
        <v>0</v>
      </c>
      <c r="AR486" t="s">
        <v>48</v>
      </c>
      <c r="AS486"/>
      <c r="AW486"/>
      <c r="AX486"/>
      <c r="AY486"/>
    </row>
    <row r="487" spans="1:51" x14ac:dyDescent="0.3">
      <c r="A487">
        <v>2022</v>
      </c>
      <c r="B487">
        <v>9</v>
      </c>
      <c r="C487">
        <v>12100200201</v>
      </c>
      <c r="D487" s="5">
        <v>82</v>
      </c>
      <c r="E487" s="8" t="s">
        <v>1012</v>
      </c>
      <c r="F487">
        <v>12100200201</v>
      </c>
      <c r="G487" s="8" t="s">
        <v>484</v>
      </c>
      <c r="H487" t="s">
        <v>1006</v>
      </c>
      <c r="I487" s="11">
        <v>0</v>
      </c>
      <c r="J487" s="11">
        <v>0</v>
      </c>
      <c r="K487" s="11">
        <v>125516848.73</v>
      </c>
      <c r="L487" s="11">
        <v>0</v>
      </c>
      <c r="M487" s="11">
        <v>125516848.73</v>
      </c>
      <c r="N487" s="11">
        <v>125516848.73</v>
      </c>
      <c r="O487" s="11">
        <v>0</v>
      </c>
      <c r="P487" s="11">
        <v>125516848.73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125516848.73</v>
      </c>
      <c r="X487" s="11">
        <v>0</v>
      </c>
      <c r="Y487" s="17">
        <v>125516848.73</v>
      </c>
      <c r="Z487" s="11">
        <v>0</v>
      </c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11">
        <v>125516848.73</v>
      </c>
      <c r="AG487" s="11">
        <v>0</v>
      </c>
      <c r="AH487" s="12">
        <v>125516848.73</v>
      </c>
      <c r="AI487" s="11">
        <v>125516848.73</v>
      </c>
      <c r="AJ487" s="11">
        <v>125516848.73</v>
      </c>
      <c r="AK487" s="11">
        <v>125516848.73</v>
      </c>
      <c r="AL487" s="11">
        <v>0</v>
      </c>
      <c r="AM487" s="11">
        <v>0</v>
      </c>
      <c r="AN487" s="11">
        <v>0</v>
      </c>
      <c r="AO487" s="11">
        <v>0</v>
      </c>
      <c r="AP487" s="11">
        <v>0</v>
      </c>
      <c r="AQ487" s="11">
        <v>0</v>
      </c>
      <c r="AR487" t="s">
        <v>485</v>
      </c>
      <c r="AS487" s="4" t="str">
        <f t="shared" ref="AS487" si="205">+G487</f>
        <v>Superávit Estampilla Pro-Desarrollo</v>
      </c>
      <c r="AT487" t="str">
        <f t="shared" ref="AT487:AT490" si="206">+D487&amp;AS487&amp;Y487</f>
        <v>82Superávit Estampilla Pro-Desarrollo125516848,73</v>
      </c>
      <c r="AU487" t="e">
        <f>+_xlfn.XLOOKUP(AT487,CRUCE!J:J,CRUCE!M:M)</f>
        <v>#N/A</v>
      </c>
      <c r="AV487" t="s">
        <v>1907</v>
      </c>
      <c r="AW487" s="23">
        <f>+SUMIFS(CRUCE!D:D,CRUCE!A:A,'2022'!D487,CRUCE!B:B,'2022'!AS487)/COUNTIFS(D:D,D487,AS:AS,AS487)</f>
        <v>2055398880.8699999</v>
      </c>
      <c r="AX487" s="23">
        <f t="shared" ref="AX487:AX490" si="207">+SUMIFS(Y:Y,D:D,D487,AS:AS,AS487)/COUNTIFS(D:D,D487,AS:AS,AS487)</f>
        <v>2055398880.8699999</v>
      </c>
      <c r="AY487" s="23">
        <f t="shared" ref="AY487:AY490" si="208">+AW487-AX487</f>
        <v>0</v>
      </c>
    </row>
    <row r="488" spans="1:51" x14ac:dyDescent="0.3">
      <c r="A488">
        <v>2022</v>
      </c>
      <c r="B488">
        <v>9</v>
      </c>
      <c r="C488">
        <v>12100200217</v>
      </c>
      <c r="D488" s="5">
        <v>83</v>
      </c>
      <c r="E488" s="8" t="s">
        <v>1311</v>
      </c>
      <c r="F488">
        <v>12100200217</v>
      </c>
      <c r="G488" s="8" t="s">
        <v>496</v>
      </c>
      <c r="H488" t="s">
        <v>1006</v>
      </c>
      <c r="I488" s="11">
        <v>0</v>
      </c>
      <c r="J488" s="11">
        <v>0</v>
      </c>
      <c r="K488" s="11">
        <v>11355716.949999999</v>
      </c>
      <c r="L488" s="11">
        <v>0</v>
      </c>
      <c r="M488" s="11">
        <v>11355716.949999999</v>
      </c>
      <c r="N488" s="11">
        <v>11355716.949999999</v>
      </c>
      <c r="O488" s="11">
        <v>0</v>
      </c>
      <c r="P488" s="11">
        <v>11355716.949999999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11355716.949999999</v>
      </c>
      <c r="X488" s="11">
        <v>0</v>
      </c>
      <c r="Y488" s="17">
        <v>11355716.949999999</v>
      </c>
      <c r="Z488" s="11">
        <v>0</v>
      </c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11">
        <v>11355716.949999999</v>
      </c>
      <c r="AG488" s="11">
        <v>0</v>
      </c>
      <c r="AH488" s="12">
        <v>11355716.949999999</v>
      </c>
      <c r="AI488" s="11">
        <v>11355716.949999999</v>
      </c>
      <c r="AJ488" s="11">
        <v>11355716.949999999</v>
      </c>
      <c r="AK488" s="11">
        <v>11355716.949999999</v>
      </c>
      <c r="AL488" s="11">
        <v>0</v>
      </c>
      <c r="AM488" s="11">
        <v>0</v>
      </c>
      <c r="AN488" s="11">
        <v>0</v>
      </c>
      <c r="AO488" s="11">
        <v>0</v>
      </c>
      <c r="AP488" s="11">
        <v>0</v>
      </c>
      <c r="AQ488" s="11">
        <v>0</v>
      </c>
      <c r="AR488" t="s">
        <v>497</v>
      </c>
      <c r="AS488" s="4" t="str">
        <f t="shared" ref="AS488:AS490" si="209">+G488</f>
        <v>Superavit Estampilla Pro-cultura</v>
      </c>
      <c r="AT488" t="str">
        <f t="shared" si="206"/>
        <v>83Superavit Estampilla Pro-cultura11355716,95</v>
      </c>
      <c r="AU488" t="str">
        <f>+_xlfn.XLOOKUP(AT488,CRUCE!J:J,CRUCE!M:M)</f>
        <v>READY</v>
      </c>
      <c r="AV488" t="s">
        <v>1907</v>
      </c>
      <c r="AW488" s="23">
        <f>+SUMIFS(CRUCE!D:D,CRUCE!A:A,'2022'!D488,CRUCE!B:B,'2022'!AS488)/COUNTIFS(D:D,D488,AS:AS,AS488)</f>
        <v>11355716.949999999</v>
      </c>
      <c r="AX488" s="23">
        <f t="shared" si="207"/>
        <v>11355716.949999999</v>
      </c>
      <c r="AY488" s="23">
        <f t="shared" si="208"/>
        <v>0</v>
      </c>
    </row>
    <row r="489" spans="1:51" x14ac:dyDescent="0.3">
      <c r="A489">
        <v>2022</v>
      </c>
      <c r="B489">
        <v>9</v>
      </c>
      <c r="C489">
        <v>12100200237</v>
      </c>
      <c r="D489" s="5">
        <v>94</v>
      </c>
      <c r="E489" s="8" t="s">
        <v>1312</v>
      </c>
      <c r="F489">
        <v>12100200237</v>
      </c>
      <c r="G489" s="8" t="s">
        <v>1313</v>
      </c>
      <c r="H489" t="s">
        <v>1006</v>
      </c>
      <c r="I489" s="11">
        <v>0</v>
      </c>
      <c r="J489" s="11">
        <v>0</v>
      </c>
      <c r="K489" s="11">
        <v>9721053.9000000004</v>
      </c>
      <c r="L489" s="11">
        <v>0</v>
      </c>
      <c r="M489" s="11">
        <v>9721053.9000000004</v>
      </c>
      <c r="N489" s="11">
        <v>9721053.9000000004</v>
      </c>
      <c r="O489" s="11">
        <v>0</v>
      </c>
      <c r="P489" s="11">
        <v>9721053.9000000004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9721053.9000000004</v>
      </c>
      <c r="X489" s="11">
        <v>0</v>
      </c>
      <c r="Y489" s="17">
        <v>9721053.9000000004</v>
      </c>
      <c r="Z489" s="11">
        <v>0</v>
      </c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11">
        <v>9721053.9000000004</v>
      </c>
      <c r="AG489" s="11">
        <v>0</v>
      </c>
      <c r="AH489" s="12">
        <v>9721053.9000000004</v>
      </c>
      <c r="AI489" s="11">
        <v>9721053.9000000004</v>
      </c>
      <c r="AJ489" s="11">
        <v>9721053.9000000004</v>
      </c>
      <c r="AK489" s="11">
        <v>9721053.9000000004</v>
      </c>
      <c r="AL489" s="11">
        <v>0</v>
      </c>
      <c r="AM489" s="11">
        <v>0</v>
      </c>
      <c r="AN489" s="11">
        <v>0</v>
      </c>
      <c r="AO489" s="11">
        <v>0</v>
      </c>
      <c r="AP489" s="11">
        <v>0</v>
      </c>
      <c r="AQ489" s="11">
        <v>0</v>
      </c>
      <c r="AR489" t="s">
        <v>529</v>
      </c>
      <c r="AS489" s="4" t="str">
        <f t="shared" si="209"/>
        <v>Superávit Impuesto al Registro Turismo 4%</v>
      </c>
      <c r="AT489" t="str">
        <f t="shared" si="206"/>
        <v>94Superávit Impuesto al Registro Turismo 4%9721053,9</v>
      </c>
      <c r="AU489" t="e">
        <f>+_xlfn.XLOOKUP(AT489,CRUCE!J:J,CRUCE!M:M)</f>
        <v>#N/A</v>
      </c>
      <c r="AV489" t="s">
        <v>1907</v>
      </c>
      <c r="AW489" s="23">
        <f>+SUMIFS(CRUCE!D:D,CRUCE!A:A,'2022'!D489,CRUCE!B:B,'2022'!AS489)/COUNTIFS(D:D,D489,AS:AS,AS489)</f>
        <v>352031881.005</v>
      </c>
      <c r="AX489" s="23">
        <f t="shared" si="207"/>
        <v>352031881.005</v>
      </c>
      <c r="AY489" s="23">
        <f t="shared" si="208"/>
        <v>0</v>
      </c>
    </row>
    <row r="490" spans="1:51" x14ac:dyDescent="0.3">
      <c r="A490">
        <v>2022</v>
      </c>
      <c r="B490">
        <v>9</v>
      </c>
      <c r="C490">
        <v>12100200241</v>
      </c>
      <c r="D490" s="5">
        <v>206</v>
      </c>
      <c r="E490" s="8" t="s">
        <v>1314</v>
      </c>
      <c r="F490">
        <v>12100200241</v>
      </c>
      <c r="G490" s="8" t="s">
        <v>1315</v>
      </c>
      <c r="H490" t="s">
        <v>1006</v>
      </c>
      <c r="I490" s="11">
        <v>0</v>
      </c>
      <c r="J490" s="11">
        <v>0</v>
      </c>
      <c r="K490" s="11">
        <v>239176712</v>
      </c>
      <c r="L490" s="11">
        <v>107732336</v>
      </c>
      <c r="M490" s="11">
        <v>131444376</v>
      </c>
      <c r="N490" s="11">
        <v>239176712</v>
      </c>
      <c r="O490" s="11">
        <v>107732336</v>
      </c>
      <c r="P490" s="11">
        <v>131444376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346909048</v>
      </c>
      <c r="X490" s="11">
        <v>215464672</v>
      </c>
      <c r="Y490" s="17">
        <v>131444376</v>
      </c>
      <c r="Z490" s="11">
        <v>0</v>
      </c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11">
        <v>346909048</v>
      </c>
      <c r="AG490" s="11">
        <v>215464672</v>
      </c>
      <c r="AH490" s="12">
        <v>131444376</v>
      </c>
      <c r="AI490" s="11">
        <v>131444376</v>
      </c>
      <c r="AJ490" s="11">
        <v>131444376</v>
      </c>
      <c r="AK490" s="11">
        <v>131444376</v>
      </c>
      <c r="AL490" s="11">
        <v>0</v>
      </c>
      <c r="AM490" s="11">
        <v>0</v>
      </c>
      <c r="AN490" s="11">
        <v>0</v>
      </c>
      <c r="AO490" s="11">
        <v>0</v>
      </c>
      <c r="AP490" s="11">
        <v>0</v>
      </c>
      <c r="AQ490" s="11">
        <v>0</v>
      </c>
      <c r="AR490" t="s">
        <v>1316</v>
      </c>
      <c r="AS490" s="4" t="str">
        <f t="shared" si="209"/>
        <v>Superávit Resoluciones Programa Inimputables</v>
      </c>
      <c r="AT490" t="str">
        <f t="shared" si="206"/>
        <v>206Superávit Resoluciones Programa Inimputables131444376</v>
      </c>
      <c r="AU490" t="str">
        <f>+_xlfn.XLOOKUP(AT490,CRUCE!J:J,CRUCE!M:M)</f>
        <v>READY</v>
      </c>
      <c r="AV490" t="s">
        <v>1907</v>
      </c>
      <c r="AW490" s="23">
        <f>+SUMIFS(CRUCE!D:D,CRUCE!A:A,'2022'!D490,CRUCE!B:B,'2022'!AS490)/COUNTIFS(D:D,D490,AS:AS,AS490)</f>
        <v>131444376</v>
      </c>
      <c r="AX490" s="23">
        <f t="shared" si="207"/>
        <v>131444376</v>
      </c>
      <c r="AY490" s="23">
        <f t="shared" si="208"/>
        <v>0</v>
      </c>
    </row>
    <row r="491" spans="1:51" x14ac:dyDescent="0.3">
      <c r="E491" s="14"/>
      <c r="Y491" s="17">
        <f>SUBTOTAL(9,Y2:Y490)</f>
        <v>557499668052.12012</v>
      </c>
      <c r="AW491" s="23">
        <f>SUBTOTAL(9,AW6:AW490)</f>
        <v>557499668052.12012</v>
      </c>
      <c r="AX491" s="23">
        <f>SUBTOTAL(9,AX6:AX490)</f>
        <v>557499668052.12012</v>
      </c>
      <c r="AY491" s="23">
        <f>SUBTOTAL(9,AY6:AY490)</f>
        <v>0</v>
      </c>
    </row>
    <row r="492" spans="1:51" x14ac:dyDescent="0.3">
      <c r="E492" s="14"/>
    </row>
    <row r="494" spans="1:51" x14ac:dyDescent="0.3">
      <c r="H494" s="8">
        <f t="shared" ref="H494:X494" si="210">+LEN(H206)</f>
        <v>43</v>
      </c>
      <c r="I494" s="8">
        <f t="shared" si="210"/>
        <v>1</v>
      </c>
      <c r="J494" s="8">
        <f t="shared" si="210"/>
        <v>1</v>
      </c>
      <c r="K494" s="8">
        <f t="shared" si="210"/>
        <v>12</v>
      </c>
      <c r="L494" s="8">
        <f t="shared" si="210"/>
        <v>1</v>
      </c>
      <c r="M494" s="8">
        <f t="shared" si="210"/>
        <v>12</v>
      </c>
      <c r="N494" s="8">
        <f t="shared" si="210"/>
        <v>12</v>
      </c>
      <c r="O494" s="8">
        <f t="shared" si="210"/>
        <v>1</v>
      </c>
      <c r="P494" s="8">
        <f t="shared" si="210"/>
        <v>12</v>
      </c>
      <c r="Q494" s="8">
        <f t="shared" si="210"/>
        <v>1</v>
      </c>
      <c r="R494" s="8">
        <f t="shared" si="210"/>
        <v>1</v>
      </c>
      <c r="S494" s="8">
        <f t="shared" si="210"/>
        <v>1</v>
      </c>
      <c r="T494" s="8">
        <f t="shared" si="210"/>
        <v>1</v>
      </c>
      <c r="U494" s="8">
        <f t="shared" si="210"/>
        <v>1</v>
      </c>
      <c r="V494" s="8">
        <f t="shared" si="210"/>
        <v>1</v>
      </c>
      <c r="W494" s="8">
        <f t="shared" si="210"/>
        <v>12</v>
      </c>
      <c r="X494" s="8">
        <f t="shared" si="210"/>
        <v>1</v>
      </c>
    </row>
    <row r="531" spans="5:5" x14ac:dyDescent="0.3">
      <c r="E531" s="14"/>
    </row>
    <row r="539" spans="5:5" x14ac:dyDescent="0.3">
      <c r="E539" s="14"/>
    </row>
    <row r="540" spans="5:5" x14ac:dyDescent="0.3">
      <c r="E540" s="14"/>
    </row>
    <row r="550" spans="5:5" x14ac:dyDescent="0.3">
      <c r="E550" s="14"/>
    </row>
    <row r="551" spans="5:5" x14ac:dyDescent="0.3">
      <c r="E551" s="14"/>
    </row>
  </sheetData>
  <autoFilter ref="A1:AU490" xr:uid="{7ED8F804-C6F7-428C-9CC3-95C9E014A45D}">
    <filterColumn colId="3">
      <customFilters>
        <customFilter operator="notEqual" val=" "/>
      </custom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4CF-1513-449A-A18D-B78AE541048D}">
  <sheetPr filterMode="1"/>
  <dimension ref="A1:AV551"/>
  <sheetViews>
    <sheetView workbookViewId="0">
      <pane xSplit="4" ySplit="1" topLeftCell="G6" activePane="bottomRight" state="frozen"/>
      <selection pane="topRight" activeCell="E1" sqref="E1"/>
      <selection pane="bottomLeft" activeCell="A2" sqref="A2"/>
      <selection pane="bottomRight" activeCell="G17" sqref="G17"/>
    </sheetView>
  </sheetViews>
  <sheetFormatPr baseColWidth="10" defaultRowHeight="14.4" outlineLevelCol="1" x14ac:dyDescent="0.3"/>
  <cols>
    <col min="4" max="4" width="12.109375" style="5" customWidth="1"/>
    <col min="5" max="5" width="47.5546875" style="8" bestFit="1" customWidth="1"/>
    <col min="7" max="7" width="54.21875" style="8" customWidth="1"/>
    <col min="8" max="8" width="19.6640625" hidden="1" customWidth="1" outlineLevel="1"/>
    <col min="9" max="10" width="18.21875" style="11" hidden="1" customWidth="1" outlineLevel="1"/>
    <col min="11" max="11" width="17.21875" style="11" hidden="1" customWidth="1" outlineLevel="1"/>
    <col min="12" max="12" width="16.21875" style="11" hidden="1" customWidth="1" outlineLevel="1"/>
    <col min="13" max="14" width="17.21875" style="11" hidden="1" customWidth="1" outlineLevel="1"/>
    <col min="15" max="15" width="16.21875" style="11" hidden="1" customWidth="1" outlineLevel="1"/>
    <col min="16" max="16" width="18.21875" style="11" hidden="1" customWidth="1" outlineLevel="1"/>
    <col min="17" max="17" width="17.21875" style="11" hidden="1" customWidth="1" outlineLevel="1"/>
    <col min="18" max="18" width="14.6640625" style="11" hidden="1" customWidth="1" outlineLevel="1"/>
    <col min="19" max="19" width="17.21875" style="11" hidden="1" customWidth="1" outlineLevel="1"/>
    <col min="20" max="22" width="11" style="11" hidden="1" customWidth="1" outlineLevel="1"/>
    <col min="23" max="23" width="18.21875" style="11" hidden="1" customWidth="1" outlineLevel="1"/>
    <col min="24" max="24" width="17.21875" style="11" hidden="1" customWidth="1" outlineLevel="1"/>
    <col min="25" max="25" width="18.21875" style="17" bestFit="1" customWidth="1" collapsed="1"/>
    <col min="26" max="26" width="17.21875" style="11" hidden="1" customWidth="1" outlineLevel="1"/>
    <col min="27" max="27" width="14.6640625" style="11" hidden="1" customWidth="1" outlineLevel="1"/>
    <col min="28" max="28" width="17.21875" style="11" hidden="1" customWidth="1" outlineLevel="1"/>
    <col min="29" max="31" width="11" style="11" hidden="1" customWidth="1" outlineLevel="1"/>
    <col min="32" max="32" width="18.21875" style="11" hidden="1" customWidth="1" outlineLevel="1"/>
    <col min="33" max="33" width="17.21875" style="11" hidden="1" customWidth="1" outlineLevel="1"/>
    <col min="34" max="34" width="22.109375" style="12" hidden="1" customWidth="1" outlineLevel="1"/>
    <col min="35" max="35" width="18.21875" style="11" hidden="1" customWidth="1" outlineLevel="1"/>
    <col min="36" max="37" width="17.21875" style="11" hidden="1" customWidth="1" outlineLevel="1"/>
    <col min="38" max="39" width="18.21875" style="11" hidden="1" customWidth="1" outlineLevel="1"/>
    <col min="40" max="40" width="16.21875" style="11" hidden="1" customWidth="1" outlineLevel="1"/>
    <col min="41" max="41" width="18.21875" style="11" hidden="1" customWidth="1" outlineLevel="1"/>
    <col min="42" max="42" width="11" style="11" hidden="1" customWidth="1" outlineLevel="1"/>
    <col min="43" max="43" width="16.21875" style="11" hidden="1" customWidth="1" outlineLevel="1"/>
    <col min="44" max="44" width="22.21875" customWidth="1" collapsed="1"/>
    <col min="45" max="45" width="22.21875" style="4" customWidth="1"/>
  </cols>
  <sheetData>
    <row r="1" spans="1:48" s="2" customFormat="1" x14ac:dyDescent="0.3">
      <c r="A1" s="2" t="s">
        <v>0</v>
      </c>
      <c r="B1" s="2" t="s">
        <v>1</v>
      </c>
      <c r="C1" s="2" t="s">
        <v>2</v>
      </c>
      <c r="D1" s="16" t="s">
        <v>3</v>
      </c>
      <c r="E1" s="9" t="s">
        <v>4</v>
      </c>
      <c r="F1" s="2" t="s">
        <v>5</v>
      </c>
      <c r="G1" s="9" t="s">
        <v>6</v>
      </c>
      <c r="H1" s="2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1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19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2" t="s">
        <v>43</v>
      </c>
      <c r="AS1" s="13" t="s">
        <v>1905</v>
      </c>
    </row>
    <row r="2" spans="1:48" hidden="1" x14ac:dyDescent="0.3">
      <c r="A2">
        <v>2023</v>
      </c>
      <c r="B2">
        <v>307</v>
      </c>
      <c r="C2">
        <v>1</v>
      </c>
      <c r="D2" s="5" t="s">
        <v>44</v>
      </c>
      <c r="E2" s="8" t="s">
        <v>45</v>
      </c>
      <c r="F2">
        <v>1</v>
      </c>
      <c r="G2" s="8" t="s">
        <v>46</v>
      </c>
      <c r="H2" t="s">
        <v>47</v>
      </c>
      <c r="I2" s="11">
        <v>168744628892.12</v>
      </c>
      <c r="J2" s="11">
        <v>168744628892.12</v>
      </c>
      <c r="K2" s="11">
        <v>160794967825.35001</v>
      </c>
      <c r="L2" s="11">
        <v>4998769112.46</v>
      </c>
      <c r="M2" s="11">
        <v>155796198712.89001</v>
      </c>
      <c r="N2" s="11">
        <v>160794967825.35001</v>
      </c>
      <c r="O2" s="11">
        <v>4998769112.46</v>
      </c>
      <c r="P2" s="11">
        <v>324540827605.01001</v>
      </c>
      <c r="Q2" s="11">
        <v>47335673113.800003</v>
      </c>
      <c r="R2" s="11">
        <v>480401743.55000001</v>
      </c>
      <c r="S2" s="11">
        <v>46855271370.25</v>
      </c>
      <c r="T2" s="11">
        <v>0</v>
      </c>
      <c r="U2" s="11">
        <v>0</v>
      </c>
      <c r="V2" s="11">
        <v>0</v>
      </c>
      <c r="W2" s="11">
        <v>358637832363.46002</v>
      </c>
      <c r="X2" s="11">
        <v>45982583930.360001</v>
      </c>
      <c r="Y2" s="17">
        <v>312655248433.09998</v>
      </c>
      <c r="Z2" s="11">
        <v>47335673113.800003</v>
      </c>
      <c r="AA2" s="11">
        <v>480401743.55000001</v>
      </c>
      <c r="AB2" s="11">
        <v>46855271370.25</v>
      </c>
      <c r="AC2" s="11">
        <v>0</v>
      </c>
      <c r="AD2" s="11">
        <v>0</v>
      </c>
      <c r="AE2" s="11">
        <v>0</v>
      </c>
      <c r="AF2" s="11">
        <v>358637832363.46002</v>
      </c>
      <c r="AG2" s="11">
        <v>45982583930.360001</v>
      </c>
      <c r="AH2" s="12">
        <v>312655248433.09998</v>
      </c>
      <c r="AI2" s="11">
        <v>312655248433.09998</v>
      </c>
      <c r="AJ2" s="11">
        <v>92551120008.570007</v>
      </c>
      <c r="AK2" s="11">
        <v>92551120008.570007</v>
      </c>
      <c r="AL2" s="11">
        <v>220241787613.67999</v>
      </c>
      <c r="AM2" s="11">
        <v>228006020831.79999</v>
      </c>
      <c r="AN2" s="11">
        <v>7764233218.1199999</v>
      </c>
      <c r="AO2" s="11">
        <v>228006020831.79999</v>
      </c>
      <c r="AP2" s="11">
        <v>0</v>
      </c>
      <c r="AQ2" s="11">
        <v>7764233218.1199999</v>
      </c>
      <c r="AR2" t="s">
        <v>48</v>
      </c>
      <c r="AS2"/>
    </row>
    <row r="3" spans="1:48" hidden="1" x14ac:dyDescent="0.3">
      <c r="A3">
        <v>2023</v>
      </c>
      <c r="B3">
        <v>307</v>
      </c>
      <c r="C3">
        <v>11</v>
      </c>
      <c r="D3" s="5" t="s">
        <v>44</v>
      </c>
      <c r="E3" s="8" t="s">
        <v>49</v>
      </c>
      <c r="F3">
        <v>11</v>
      </c>
      <c r="G3" s="8" t="s">
        <v>50</v>
      </c>
      <c r="H3" t="s">
        <v>47</v>
      </c>
      <c r="I3" s="11">
        <v>159959394474.12</v>
      </c>
      <c r="J3" s="11">
        <v>159959394474.12</v>
      </c>
      <c r="K3" s="11">
        <v>37126028668</v>
      </c>
      <c r="L3" s="11">
        <v>4954416392</v>
      </c>
      <c r="M3" s="11">
        <v>32171612276</v>
      </c>
      <c r="N3" s="11">
        <v>37126028668</v>
      </c>
      <c r="O3" s="11">
        <v>4954416392</v>
      </c>
      <c r="P3" s="11">
        <v>192131006750.12</v>
      </c>
      <c r="Q3" s="11">
        <v>47335673113.800003</v>
      </c>
      <c r="R3" s="11">
        <v>480401743.55000001</v>
      </c>
      <c r="S3" s="11">
        <v>46855271370.25</v>
      </c>
      <c r="T3" s="11">
        <v>0</v>
      </c>
      <c r="U3" s="11">
        <v>0</v>
      </c>
      <c r="V3" s="11">
        <v>0</v>
      </c>
      <c r="W3" s="11">
        <v>204533174870.06</v>
      </c>
      <c r="X3" s="11">
        <v>9034574191.8899994</v>
      </c>
      <c r="Y3" s="17">
        <v>195498600678.17001</v>
      </c>
      <c r="Z3" s="11">
        <v>47335673113.800003</v>
      </c>
      <c r="AA3" s="11">
        <v>480401743.55000001</v>
      </c>
      <c r="AB3" s="11">
        <v>46855271370.25</v>
      </c>
      <c r="AC3" s="11">
        <v>0</v>
      </c>
      <c r="AD3" s="11">
        <v>0</v>
      </c>
      <c r="AE3" s="11">
        <v>0</v>
      </c>
      <c r="AF3" s="11">
        <v>204533174870.06</v>
      </c>
      <c r="AG3" s="11">
        <v>9034574191.8899994</v>
      </c>
      <c r="AH3" s="12">
        <v>195498600678.17001</v>
      </c>
      <c r="AI3" s="11">
        <v>195498600678.17001</v>
      </c>
      <c r="AJ3" s="11">
        <v>5685554000</v>
      </c>
      <c r="AK3" s="11">
        <v>5685554000</v>
      </c>
      <c r="AL3" s="11">
        <v>189906447629.32999</v>
      </c>
      <c r="AM3" s="11">
        <v>197139710409.38</v>
      </c>
      <c r="AN3" s="11">
        <v>7233262780.0500002</v>
      </c>
      <c r="AO3" s="11">
        <v>197139710409.38</v>
      </c>
      <c r="AP3" s="11">
        <v>0</v>
      </c>
      <c r="AQ3" s="11">
        <v>7233262780.0500002</v>
      </c>
      <c r="AR3" t="s">
        <v>48</v>
      </c>
      <c r="AS3"/>
    </row>
    <row r="4" spans="1:48" hidden="1" x14ac:dyDescent="0.3">
      <c r="A4">
        <v>2023</v>
      </c>
      <c r="B4">
        <v>307</v>
      </c>
      <c r="C4">
        <v>1101</v>
      </c>
      <c r="D4" s="5" t="s">
        <v>44</v>
      </c>
      <c r="E4" s="8" t="s">
        <v>51</v>
      </c>
      <c r="F4">
        <v>1101</v>
      </c>
      <c r="G4" s="8" t="s">
        <v>52</v>
      </c>
      <c r="H4" t="s">
        <v>47</v>
      </c>
      <c r="I4" s="11">
        <v>122925813614</v>
      </c>
      <c r="J4" s="11">
        <v>122925813614</v>
      </c>
      <c r="K4" s="11">
        <v>29278803910</v>
      </c>
      <c r="L4" s="11">
        <v>4320000002</v>
      </c>
      <c r="M4" s="11">
        <v>24958803908</v>
      </c>
      <c r="N4" s="11">
        <v>29278803910</v>
      </c>
      <c r="O4" s="11">
        <v>4320000002</v>
      </c>
      <c r="P4" s="11">
        <v>147884617522</v>
      </c>
      <c r="Q4" s="11">
        <v>29039747634.34</v>
      </c>
      <c r="R4" s="11">
        <v>336916618.86000001</v>
      </c>
      <c r="S4" s="11">
        <v>28702831015.48</v>
      </c>
      <c r="T4" s="11">
        <v>0</v>
      </c>
      <c r="U4" s="11">
        <v>0</v>
      </c>
      <c r="V4" s="11">
        <v>0</v>
      </c>
      <c r="W4" s="11">
        <v>157908928957.12</v>
      </c>
      <c r="X4" s="11">
        <v>8041736775.9799995</v>
      </c>
      <c r="Y4" s="17">
        <v>149867192181.14001</v>
      </c>
      <c r="Z4" s="11">
        <v>29039747634.34</v>
      </c>
      <c r="AA4" s="11">
        <v>336916618.86000001</v>
      </c>
      <c r="AB4" s="11">
        <v>28702831015.48</v>
      </c>
      <c r="AC4" s="11">
        <v>0</v>
      </c>
      <c r="AD4" s="11">
        <v>0</v>
      </c>
      <c r="AE4" s="11">
        <v>0</v>
      </c>
      <c r="AF4" s="11">
        <v>157908928957.12</v>
      </c>
      <c r="AG4" s="11">
        <v>8041736775.9799995</v>
      </c>
      <c r="AH4" s="12">
        <v>149867192181.14001</v>
      </c>
      <c r="AI4" s="11">
        <v>149867192181.14001</v>
      </c>
      <c r="AJ4" s="11">
        <v>50000</v>
      </c>
      <c r="AK4" s="11">
        <v>50000</v>
      </c>
      <c r="AL4" s="11">
        <v>149954723132.29999</v>
      </c>
      <c r="AM4" s="11">
        <v>156206608458.44</v>
      </c>
      <c r="AN4" s="11">
        <v>6251885326.1400003</v>
      </c>
      <c r="AO4" s="11">
        <v>156206608458.44</v>
      </c>
      <c r="AP4" s="11">
        <v>0</v>
      </c>
      <c r="AQ4" s="11">
        <v>6251885326.1400003</v>
      </c>
      <c r="AR4" t="s">
        <v>48</v>
      </c>
      <c r="AS4"/>
    </row>
    <row r="5" spans="1:48" hidden="1" x14ac:dyDescent="0.3">
      <c r="A5">
        <v>2023</v>
      </c>
      <c r="B5">
        <v>307</v>
      </c>
      <c r="C5">
        <v>110101</v>
      </c>
      <c r="D5" s="5" t="s">
        <v>44</v>
      </c>
      <c r="E5" s="8" t="s">
        <v>53</v>
      </c>
      <c r="F5">
        <v>110101</v>
      </c>
      <c r="G5" s="8" t="s">
        <v>54</v>
      </c>
      <c r="H5" t="s">
        <v>47</v>
      </c>
      <c r="I5" s="11">
        <v>21958559206</v>
      </c>
      <c r="J5" s="11">
        <v>21958559206</v>
      </c>
      <c r="K5" s="11">
        <v>6000000000</v>
      </c>
      <c r="L5" s="11">
        <v>0</v>
      </c>
      <c r="M5" s="11">
        <v>6000000000</v>
      </c>
      <c r="N5" s="11">
        <v>6000000000</v>
      </c>
      <c r="O5" s="11">
        <v>0</v>
      </c>
      <c r="P5" s="11">
        <v>27958559206</v>
      </c>
      <c r="Q5" s="11">
        <v>29039747634.34</v>
      </c>
      <c r="R5" s="11">
        <v>336916618.86000001</v>
      </c>
      <c r="S5" s="11">
        <v>28702831015.48</v>
      </c>
      <c r="T5" s="11">
        <v>0</v>
      </c>
      <c r="U5" s="11">
        <v>0</v>
      </c>
      <c r="V5" s="11">
        <v>0</v>
      </c>
      <c r="W5" s="11">
        <v>26630538454.98</v>
      </c>
      <c r="X5" s="11">
        <v>11036800</v>
      </c>
      <c r="Y5" s="17">
        <v>26619501654.98</v>
      </c>
      <c r="Z5" s="11">
        <v>29039747634.34</v>
      </c>
      <c r="AA5" s="11">
        <v>336916618.86000001</v>
      </c>
      <c r="AB5" s="11">
        <v>28702831015.48</v>
      </c>
      <c r="AC5" s="11">
        <v>0</v>
      </c>
      <c r="AD5" s="11">
        <v>0</v>
      </c>
      <c r="AE5" s="11">
        <v>0</v>
      </c>
      <c r="AF5" s="11">
        <v>26630538454.98</v>
      </c>
      <c r="AG5" s="11">
        <v>11036800</v>
      </c>
      <c r="AH5" s="12">
        <v>26619501654.98</v>
      </c>
      <c r="AI5" s="11">
        <v>26619501654.98</v>
      </c>
      <c r="AJ5" s="11">
        <v>0</v>
      </c>
      <c r="AK5" s="11">
        <v>0</v>
      </c>
      <c r="AL5" s="11">
        <v>26629528854.98</v>
      </c>
      <c r="AM5" s="11">
        <v>26629693654.98</v>
      </c>
      <c r="AN5" s="11">
        <v>164800</v>
      </c>
      <c r="AO5" s="11">
        <v>26629693654.98</v>
      </c>
      <c r="AP5" s="11">
        <v>0</v>
      </c>
      <c r="AQ5" s="11">
        <v>164800</v>
      </c>
      <c r="AR5" t="s">
        <v>48</v>
      </c>
      <c r="AS5"/>
    </row>
    <row r="6" spans="1:48" x14ac:dyDescent="0.3">
      <c r="A6">
        <v>2023</v>
      </c>
      <c r="B6">
        <v>307</v>
      </c>
      <c r="C6">
        <v>110101100</v>
      </c>
      <c r="D6" s="5">
        <v>20</v>
      </c>
      <c r="E6" s="8" t="s">
        <v>55</v>
      </c>
      <c r="F6">
        <v>110101100</v>
      </c>
      <c r="G6" s="8" t="s">
        <v>56</v>
      </c>
      <c r="H6" t="s">
        <v>47</v>
      </c>
      <c r="I6" s="11">
        <v>21958559206</v>
      </c>
      <c r="J6" s="11">
        <v>21958559206</v>
      </c>
      <c r="K6" s="11">
        <v>6000000000</v>
      </c>
      <c r="L6" s="11">
        <v>0</v>
      </c>
      <c r="M6" s="11">
        <v>6000000000</v>
      </c>
      <c r="N6" s="11">
        <v>6000000000</v>
      </c>
      <c r="O6" s="11">
        <v>0</v>
      </c>
      <c r="P6" s="11">
        <v>27958559206</v>
      </c>
      <c r="Q6" s="11">
        <v>29039747634.34</v>
      </c>
      <c r="R6" s="11">
        <v>336916618.86000001</v>
      </c>
      <c r="S6" s="11">
        <v>28702831015.48</v>
      </c>
      <c r="T6" s="11">
        <v>0</v>
      </c>
      <c r="U6" s="11">
        <v>0</v>
      </c>
      <c r="V6" s="11">
        <v>0</v>
      </c>
      <c r="W6" s="11">
        <v>26630538454.98</v>
      </c>
      <c r="X6" s="11">
        <v>11036800</v>
      </c>
      <c r="Y6" s="17">
        <v>26619501654.98</v>
      </c>
      <c r="Z6" s="11">
        <v>29039747634.34</v>
      </c>
      <c r="AA6" s="11">
        <v>336916618.86000001</v>
      </c>
      <c r="AB6" s="11">
        <v>28702831015.48</v>
      </c>
      <c r="AC6" s="11">
        <v>0</v>
      </c>
      <c r="AD6" s="11">
        <v>0</v>
      </c>
      <c r="AE6" s="11">
        <v>0</v>
      </c>
      <c r="AF6" s="11">
        <v>26630538454.98</v>
      </c>
      <c r="AG6" s="11">
        <v>11036800</v>
      </c>
      <c r="AH6" s="12">
        <v>26619501654.98</v>
      </c>
      <c r="AI6" s="11">
        <v>26619501654.98</v>
      </c>
      <c r="AJ6" s="11">
        <v>0</v>
      </c>
      <c r="AK6" s="11">
        <v>0</v>
      </c>
      <c r="AL6" s="11">
        <v>26629528854.98</v>
      </c>
      <c r="AM6" s="11">
        <v>26629693654.98</v>
      </c>
      <c r="AN6" s="11">
        <v>164800</v>
      </c>
      <c r="AO6" s="11">
        <v>26629693654.98</v>
      </c>
      <c r="AP6" s="11">
        <v>0</v>
      </c>
      <c r="AQ6" s="11">
        <v>164800</v>
      </c>
      <c r="AR6" t="s">
        <v>57</v>
      </c>
      <c r="AS6" s="4" t="str">
        <f>+G6</f>
        <v>Impuesto sobre vehículos automotores</v>
      </c>
      <c r="AT6" t="str">
        <f>+D6&amp;AS6&amp;Y6</f>
        <v>20Impuesto sobre vehículos automotores26619501654,98</v>
      </c>
      <c r="AU6" t="str">
        <f>+_xlfn.XLOOKUP(AT6,CRUCE!K:K,CRUCE!M:M)</f>
        <v>READY</v>
      </c>
      <c r="AV6" t="s">
        <v>1907</v>
      </c>
    </row>
    <row r="7" spans="1:48" hidden="1" x14ac:dyDescent="0.3">
      <c r="A7">
        <v>2023</v>
      </c>
      <c r="B7">
        <v>307</v>
      </c>
      <c r="C7">
        <v>110102</v>
      </c>
      <c r="D7" s="5" t="s">
        <v>44</v>
      </c>
      <c r="E7" s="8" t="s">
        <v>58</v>
      </c>
      <c r="F7">
        <v>110102</v>
      </c>
      <c r="G7" s="8" t="s">
        <v>59</v>
      </c>
      <c r="H7" t="s">
        <v>47</v>
      </c>
      <c r="I7" s="11">
        <v>100967254408</v>
      </c>
      <c r="J7" s="11">
        <v>100967254408</v>
      </c>
      <c r="K7" s="11">
        <v>23278803910</v>
      </c>
      <c r="L7" s="11">
        <v>4320000002</v>
      </c>
      <c r="M7" s="11">
        <v>18958803908</v>
      </c>
      <c r="N7" s="11">
        <v>23278803910</v>
      </c>
      <c r="O7" s="11">
        <v>4320000002</v>
      </c>
      <c r="P7" s="11">
        <v>119926058316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131278390502.14</v>
      </c>
      <c r="X7" s="11">
        <v>8030699975.9799995</v>
      </c>
      <c r="Y7" s="17">
        <v>123247690526.16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131278390502.14</v>
      </c>
      <c r="AG7" s="11">
        <v>8030699975.9799995</v>
      </c>
      <c r="AH7" s="12">
        <v>123247690526.16</v>
      </c>
      <c r="AI7" s="11">
        <v>123247690526.16</v>
      </c>
      <c r="AJ7" s="11">
        <v>50000</v>
      </c>
      <c r="AK7" s="11">
        <v>50000</v>
      </c>
      <c r="AL7" s="11">
        <v>123325194277.32001</v>
      </c>
      <c r="AM7" s="11">
        <v>129576914803.46001</v>
      </c>
      <c r="AN7" s="11">
        <v>6251720526.1400003</v>
      </c>
      <c r="AO7" s="11">
        <v>129576914803.46001</v>
      </c>
      <c r="AP7" s="11">
        <v>0</v>
      </c>
      <c r="AQ7" s="11">
        <v>6251720526.1400003</v>
      </c>
      <c r="AR7" t="s">
        <v>48</v>
      </c>
      <c r="AS7"/>
    </row>
    <row r="8" spans="1:48" hidden="1" x14ac:dyDescent="0.3">
      <c r="A8">
        <v>2023</v>
      </c>
      <c r="B8">
        <v>307</v>
      </c>
      <c r="C8">
        <v>110102100</v>
      </c>
      <c r="D8" s="5" t="s">
        <v>44</v>
      </c>
      <c r="E8" s="8" t="s">
        <v>60</v>
      </c>
      <c r="F8">
        <v>110102100</v>
      </c>
      <c r="G8" s="8" t="s">
        <v>61</v>
      </c>
      <c r="H8" t="s">
        <v>47</v>
      </c>
      <c r="I8" s="11">
        <v>21600000000</v>
      </c>
      <c r="J8" s="11">
        <v>21600000000</v>
      </c>
      <c r="K8" s="11">
        <v>8620000000</v>
      </c>
      <c r="L8" s="11">
        <v>4320000000</v>
      </c>
      <c r="M8" s="11">
        <v>4300000000</v>
      </c>
      <c r="N8" s="11">
        <v>8620000000</v>
      </c>
      <c r="O8" s="11">
        <v>4320000000</v>
      </c>
      <c r="P8" s="11">
        <v>25900000000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28509968541.150002</v>
      </c>
      <c r="X8" s="11">
        <v>4368716921.8599997</v>
      </c>
      <c r="Y8" s="17">
        <v>24141251619.290001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28509968541.150002</v>
      </c>
      <c r="AG8" s="11">
        <v>4368716921.8599997</v>
      </c>
      <c r="AH8" s="12">
        <v>24141251619.290001</v>
      </c>
      <c r="AI8" s="11">
        <v>24141251619.290001</v>
      </c>
      <c r="AJ8" s="11">
        <v>-2643900</v>
      </c>
      <c r="AK8" s="11">
        <v>-2643900</v>
      </c>
      <c r="AL8" s="11">
        <v>24221123470.450001</v>
      </c>
      <c r="AM8" s="11">
        <v>26811540542.470001</v>
      </c>
      <c r="AN8" s="11">
        <v>2590417072.02</v>
      </c>
      <c r="AO8" s="11">
        <v>26811540542.470001</v>
      </c>
      <c r="AP8" s="11">
        <v>0</v>
      </c>
      <c r="AQ8" s="11">
        <v>2590417072.02</v>
      </c>
      <c r="AR8" t="s">
        <v>48</v>
      </c>
      <c r="AS8"/>
    </row>
    <row r="9" spans="1:48" hidden="1" x14ac:dyDescent="0.3">
      <c r="A9">
        <v>2023</v>
      </c>
      <c r="B9">
        <v>307</v>
      </c>
      <c r="C9">
        <v>11010210001</v>
      </c>
      <c r="D9" s="5" t="s">
        <v>44</v>
      </c>
      <c r="E9" s="8" t="s">
        <v>1024</v>
      </c>
      <c r="F9">
        <v>11010210001</v>
      </c>
      <c r="G9" s="8" t="s">
        <v>63</v>
      </c>
      <c r="H9" t="s">
        <v>47</v>
      </c>
      <c r="I9" s="11">
        <v>648000000</v>
      </c>
      <c r="J9" s="11">
        <v>648000000</v>
      </c>
      <c r="K9" s="11">
        <v>429600000</v>
      </c>
      <c r="L9" s="11">
        <v>129600000</v>
      </c>
      <c r="M9" s="11">
        <v>300000000</v>
      </c>
      <c r="N9" s="11">
        <v>429600000</v>
      </c>
      <c r="O9" s="11">
        <v>129600000</v>
      </c>
      <c r="P9" s="11">
        <v>948000000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837434402.37</v>
      </c>
      <c r="X9" s="11">
        <v>102301720.92</v>
      </c>
      <c r="Y9" s="17">
        <v>735132681.45000005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837434402.37</v>
      </c>
      <c r="AG9" s="11">
        <v>102301720.92</v>
      </c>
      <c r="AH9" s="12">
        <v>735132681.45000005</v>
      </c>
      <c r="AI9" s="11">
        <v>735132681.45000005</v>
      </c>
      <c r="AJ9" s="11">
        <v>0</v>
      </c>
      <c r="AK9" s="11">
        <v>0</v>
      </c>
      <c r="AL9" s="11">
        <v>735132681.45000005</v>
      </c>
      <c r="AM9" s="11">
        <v>758583853.47000003</v>
      </c>
      <c r="AN9" s="11">
        <v>23451172.02</v>
      </c>
      <c r="AO9" s="11">
        <v>758583853.47000003</v>
      </c>
      <c r="AP9" s="11">
        <v>0</v>
      </c>
      <c r="AQ9" s="11">
        <v>23451172.02</v>
      </c>
      <c r="AR9" t="s">
        <v>48</v>
      </c>
      <c r="AS9"/>
    </row>
    <row r="10" spans="1:48" x14ac:dyDescent="0.3">
      <c r="A10">
        <v>2023</v>
      </c>
      <c r="B10">
        <v>307</v>
      </c>
      <c r="C10">
        <v>1101021000101</v>
      </c>
      <c r="D10" s="5">
        <v>1</v>
      </c>
      <c r="E10" s="8" t="s">
        <v>1025</v>
      </c>
      <c r="F10">
        <v>1101021000101</v>
      </c>
      <c r="G10" s="8" t="s">
        <v>1026</v>
      </c>
      <c r="H10" t="s">
        <v>47</v>
      </c>
      <c r="I10" s="11">
        <v>129600000</v>
      </c>
      <c r="J10" s="11">
        <v>129600000</v>
      </c>
      <c r="K10" s="11">
        <v>0</v>
      </c>
      <c r="L10" s="11">
        <v>129600000</v>
      </c>
      <c r="M10" s="11">
        <v>-129600000</v>
      </c>
      <c r="N10" s="11">
        <v>0</v>
      </c>
      <c r="O10" s="11">
        <v>129600000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83076183.299999997</v>
      </c>
      <c r="X10" s="11">
        <v>83076183.299999997</v>
      </c>
      <c r="Y10" s="17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83076183.299999997</v>
      </c>
      <c r="AG10" s="11">
        <v>83076183.299999997</v>
      </c>
      <c r="AH10" s="12">
        <v>0</v>
      </c>
      <c r="AI10" s="11">
        <v>0</v>
      </c>
      <c r="AJ10" s="11">
        <v>-78850548.900000006</v>
      </c>
      <c r="AK10" s="11">
        <v>-78850548.900000006</v>
      </c>
      <c r="AL10" s="11">
        <v>78850548.900000006</v>
      </c>
      <c r="AM10" s="11">
        <v>83076183.299999997</v>
      </c>
      <c r="AN10" s="11">
        <v>4225634.4000000004</v>
      </c>
      <c r="AO10" s="11">
        <v>83076183.299999997</v>
      </c>
      <c r="AP10" s="11">
        <v>0</v>
      </c>
      <c r="AQ10" s="11">
        <v>4225634.4000000004</v>
      </c>
      <c r="AR10" t="s">
        <v>64</v>
      </c>
      <c r="AS10" s="4" t="str">
        <f t="shared" ref="AS10:AS14" si="0">+G10</f>
        <v>Impuesto de Registro - Cámaras de Comercio ( 20% FONPET)</v>
      </c>
      <c r="AT10" t="str">
        <f t="shared" ref="AT10:AT14" si="1">+D10&amp;AS10&amp;Y10</f>
        <v>1Impuesto de Registro - Cámaras de Comercio ( 20% FONPET)0</v>
      </c>
      <c r="AU10" t="e">
        <f>+_xlfn.XLOOKUP(AT10,CRUCE!K:K,CRUCE!M:M)</f>
        <v>#N/A</v>
      </c>
      <c r="AV10" t="s">
        <v>1907</v>
      </c>
    </row>
    <row r="11" spans="1:48" x14ac:dyDescent="0.3">
      <c r="A11">
        <v>2023</v>
      </c>
      <c r="B11">
        <v>307</v>
      </c>
      <c r="C11">
        <v>1101021000102</v>
      </c>
      <c r="D11" s="5">
        <v>13</v>
      </c>
      <c r="E11" s="8" t="s">
        <v>1027</v>
      </c>
      <c r="F11">
        <v>1101021000102</v>
      </c>
      <c r="G11" s="8" t="s">
        <v>1028</v>
      </c>
      <c r="H11" t="s">
        <v>47</v>
      </c>
      <c r="I11" s="11">
        <v>64800000</v>
      </c>
      <c r="J11" s="11">
        <v>64800000</v>
      </c>
      <c r="K11" s="11">
        <v>30000000</v>
      </c>
      <c r="L11" s="11">
        <v>0</v>
      </c>
      <c r="M11" s="11">
        <v>30000000</v>
      </c>
      <c r="N11" s="11">
        <v>30000000</v>
      </c>
      <c r="O11" s="11">
        <v>0</v>
      </c>
      <c r="P11" s="11">
        <v>94800000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75858385.280000001</v>
      </c>
      <c r="X11" s="11">
        <v>2345117.2000000002</v>
      </c>
      <c r="Y11" s="17">
        <v>73513268.079999998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75858385.280000001</v>
      </c>
      <c r="AG11" s="11">
        <v>2345117.2000000002</v>
      </c>
      <c r="AH11" s="12">
        <v>73513268.079999998</v>
      </c>
      <c r="AI11" s="11">
        <v>73513268.079999998</v>
      </c>
      <c r="AJ11" s="11">
        <v>0</v>
      </c>
      <c r="AK11" s="11">
        <v>0</v>
      </c>
      <c r="AL11" s="11">
        <v>73513268.079999998</v>
      </c>
      <c r="AM11" s="11">
        <v>75858385.280000001</v>
      </c>
      <c r="AN11" s="11">
        <v>2345117.2000000002</v>
      </c>
      <c r="AO11" s="11">
        <v>75858385.280000001</v>
      </c>
      <c r="AP11" s="11">
        <v>0</v>
      </c>
      <c r="AQ11" s="11">
        <v>2345117.2000000002</v>
      </c>
      <c r="AR11" t="s">
        <v>66</v>
      </c>
      <c r="AS11" s="4" t="str">
        <f t="shared" si="0"/>
        <v>Impuesto de Registro - Cámaras de Comercio (10% Cuotas Partes Pensionales)</v>
      </c>
      <c r="AT11" t="str">
        <f t="shared" si="1"/>
        <v>13Impuesto de Registro - Cámaras de Comercio (10% Cuotas Partes Pensionales)73513268,08</v>
      </c>
      <c r="AU11" t="str">
        <f>+_xlfn.XLOOKUP(AT11,CRUCE!K:K,CRUCE!M:M)</f>
        <v>READY</v>
      </c>
      <c r="AV11" t="s">
        <v>1907</v>
      </c>
    </row>
    <row r="12" spans="1:48" x14ac:dyDescent="0.3">
      <c r="A12">
        <v>2023</v>
      </c>
      <c r="B12">
        <v>307</v>
      </c>
      <c r="C12">
        <v>1101021000103</v>
      </c>
      <c r="D12" s="5">
        <v>20</v>
      </c>
      <c r="E12" s="8" t="s">
        <v>1029</v>
      </c>
      <c r="F12">
        <v>1101021000103</v>
      </c>
      <c r="G12" s="8" t="s">
        <v>1030</v>
      </c>
      <c r="H12" t="s">
        <v>47</v>
      </c>
      <c r="I12" s="11">
        <v>388800000</v>
      </c>
      <c r="J12" s="11">
        <v>388800000</v>
      </c>
      <c r="K12" s="11">
        <v>369600000</v>
      </c>
      <c r="L12" s="11">
        <v>0</v>
      </c>
      <c r="M12" s="11">
        <v>369600000</v>
      </c>
      <c r="N12" s="11">
        <v>369600000</v>
      </c>
      <c r="O12" s="11">
        <v>0</v>
      </c>
      <c r="P12" s="11">
        <v>758400000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602641448.41999996</v>
      </c>
      <c r="X12" s="11">
        <v>14535303.210000001</v>
      </c>
      <c r="Y12" s="17">
        <v>588106145.21000004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602641448.41999996</v>
      </c>
      <c r="AG12" s="11">
        <v>14535303.210000001</v>
      </c>
      <c r="AH12" s="12">
        <v>588106145.21000004</v>
      </c>
      <c r="AI12" s="11">
        <v>588106145.21000004</v>
      </c>
      <c r="AJ12" s="11">
        <v>78850548.900000006</v>
      </c>
      <c r="AK12" s="11">
        <v>78850548.900000006</v>
      </c>
      <c r="AL12" s="11">
        <v>509255596.31</v>
      </c>
      <c r="AM12" s="11">
        <v>523790899.51999998</v>
      </c>
      <c r="AN12" s="11">
        <v>14535303.210000001</v>
      </c>
      <c r="AO12" s="11">
        <v>523790899.51999998</v>
      </c>
      <c r="AP12" s="11">
        <v>0</v>
      </c>
      <c r="AQ12" s="11">
        <v>14535303.210000001</v>
      </c>
      <c r="AR12" t="s">
        <v>57</v>
      </c>
      <c r="AS12" s="4" t="str">
        <f t="shared" si="0"/>
        <v>Impuesto de Registro - Cámaras de Comercio (ICLD)</v>
      </c>
      <c r="AT12" t="str">
        <f t="shared" si="1"/>
        <v>20Impuesto de Registro - Cámaras de Comercio (ICLD)588106145,21</v>
      </c>
      <c r="AU12" t="e">
        <f>+_xlfn.XLOOKUP(AT12,CRUCE!K:K,CRUCE!M:M)</f>
        <v>#N/A</v>
      </c>
      <c r="AV12" t="s">
        <v>1907</v>
      </c>
    </row>
    <row r="13" spans="1:48" x14ac:dyDescent="0.3">
      <c r="A13">
        <v>2023</v>
      </c>
      <c r="B13">
        <v>307</v>
      </c>
      <c r="C13">
        <v>1101021000104</v>
      </c>
      <c r="D13" s="5">
        <v>52</v>
      </c>
      <c r="E13" s="8" t="s">
        <v>1031</v>
      </c>
      <c r="F13">
        <v>1101021000104</v>
      </c>
      <c r="G13" s="8" t="s">
        <v>1032</v>
      </c>
      <c r="H13" t="s">
        <v>47</v>
      </c>
      <c r="I13" s="11">
        <v>25920000</v>
      </c>
      <c r="J13" s="11">
        <v>25920000</v>
      </c>
      <c r="K13" s="11">
        <v>12000000</v>
      </c>
      <c r="L13" s="11">
        <v>0</v>
      </c>
      <c r="M13" s="11">
        <v>12000000</v>
      </c>
      <c r="N13" s="11">
        <v>12000000</v>
      </c>
      <c r="O13" s="11">
        <v>0</v>
      </c>
      <c r="P13" s="11">
        <v>37920000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30343354.129999999</v>
      </c>
      <c r="X13" s="11">
        <v>938046.88</v>
      </c>
      <c r="Y13" s="17">
        <v>29405307.25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30343354.129999999</v>
      </c>
      <c r="AG13" s="11">
        <v>938046.88</v>
      </c>
      <c r="AH13" s="12">
        <v>29405307.25</v>
      </c>
      <c r="AI13" s="11">
        <v>29405307.25</v>
      </c>
      <c r="AJ13" s="11">
        <v>0</v>
      </c>
      <c r="AK13" s="11">
        <v>0</v>
      </c>
      <c r="AL13" s="11">
        <v>29405307.25</v>
      </c>
      <c r="AM13" s="11">
        <v>30343354.129999999</v>
      </c>
      <c r="AN13" s="11">
        <v>938046.88</v>
      </c>
      <c r="AO13" s="11">
        <v>30343354.129999999</v>
      </c>
      <c r="AP13" s="11">
        <v>0</v>
      </c>
      <c r="AQ13" s="11">
        <v>938046.88</v>
      </c>
      <c r="AR13" t="s">
        <v>69</v>
      </c>
      <c r="AS13" s="4" t="str">
        <f t="shared" si="0"/>
        <v>Impuesto de Registro - Cámaras de Comercio (4% Turismo)</v>
      </c>
      <c r="AT13" t="str">
        <f t="shared" si="1"/>
        <v>52Impuesto de Registro - Cámaras de Comercio (4% Turismo)29405307,25</v>
      </c>
      <c r="AU13" t="str">
        <f>+_xlfn.XLOOKUP(AT13,CRUCE!K:K,CRUCE!M:M)</f>
        <v>READY</v>
      </c>
      <c r="AV13" t="s">
        <v>1907</v>
      </c>
    </row>
    <row r="14" spans="1:48" x14ac:dyDescent="0.3">
      <c r="A14">
        <v>2023</v>
      </c>
      <c r="B14">
        <v>307</v>
      </c>
      <c r="C14">
        <v>1101021000105</v>
      </c>
      <c r="D14" s="5">
        <v>53</v>
      </c>
      <c r="E14" s="8" t="s">
        <v>1033</v>
      </c>
      <c r="F14">
        <v>1101021000105</v>
      </c>
      <c r="G14" s="8" t="s">
        <v>1034</v>
      </c>
      <c r="H14" t="s">
        <v>47</v>
      </c>
      <c r="I14" s="11">
        <v>38880000</v>
      </c>
      <c r="J14" s="11">
        <v>38880000</v>
      </c>
      <c r="K14" s="11">
        <v>18000000</v>
      </c>
      <c r="L14" s="11">
        <v>0</v>
      </c>
      <c r="M14" s="11">
        <v>18000000</v>
      </c>
      <c r="N14" s="11">
        <v>18000000</v>
      </c>
      <c r="O14" s="11">
        <v>0</v>
      </c>
      <c r="P14" s="11">
        <v>56880000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45515031.240000002</v>
      </c>
      <c r="X14" s="11">
        <v>1407070.33</v>
      </c>
      <c r="Y14" s="17">
        <v>44107960.909999996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45515031.240000002</v>
      </c>
      <c r="AG14" s="11">
        <v>1407070.33</v>
      </c>
      <c r="AH14" s="12">
        <v>44107960.909999996</v>
      </c>
      <c r="AI14" s="11">
        <v>44107960.909999996</v>
      </c>
      <c r="AJ14" s="11">
        <v>0</v>
      </c>
      <c r="AK14" s="11">
        <v>0</v>
      </c>
      <c r="AL14" s="11">
        <v>44107960.909999996</v>
      </c>
      <c r="AM14" s="11">
        <v>45515031.240000002</v>
      </c>
      <c r="AN14" s="11">
        <v>1407070.33</v>
      </c>
      <c r="AO14" s="11">
        <v>45515031.240000002</v>
      </c>
      <c r="AP14" s="11">
        <v>0</v>
      </c>
      <c r="AQ14" s="11">
        <v>1407070.33</v>
      </c>
      <c r="AR14" t="s">
        <v>71</v>
      </c>
      <c r="AS14" s="4" t="str">
        <f t="shared" si="0"/>
        <v>Impuesto de Registro - Cámaras de Comercio (6% Proyecta)</v>
      </c>
      <c r="AT14" t="str">
        <f t="shared" si="1"/>
        <v>53Impuesto de Registro - Cámaras de Comercio (6% Proyecta)44107960,91</v>
      </c>
      <c r="AU14" t="str">
        <f>+_xlfn.XLOOKUP(AT14,CRUCE!K:K,CRUCE!M:M)</f>
        <v>READY</v>
      </c>
      <c r="AV14" t="s">
        <v>1907</v>
      </c>
    </row>
    <row r="15" spans="1:48" hidden="1" x14ac:dyDescent="0.3">
      <c r="A15">
        <v>2023</v>
      </c>
      <c r="B15">
        <v>307</v>
      </c>
      <c r="C15">
        <v>11010210002</v>
      </c>
      <c r="D15" s="5" t="s">
        <v>44</v>
      </c>
      <c r="E15" s="8" t="s">
        <v>1035</v>
      </c>
      <c r="F15">
        <v>11010210002</v>
      </c>
      <c r="G15" s="8" t="s">
        <v>73</v>
      </c>
      <c r="H15" t="s">
        <v>47</v>
      </c>
      <c r="I15" s="11">
        <v>20952000000</v>
      </c>
      <c r="J15" s="11">
        <v>20952000000</v>
      </c>
      <c r="K15" s="11">
        <v>8190400000</v>
      </c>
      <c r="L15" s="11">
        <v>4190400000</v>
      </c>
      <c r="M15" s="11">
        <v>4000000000</v>
      </c>
      <c r="N15" s="11">
        <v>8190400000</v>
      </c>
      <c r="O15" s="11">
        <v>4190400000</v>
      </c>
      <c r="P15" s="11">
        <v>24952000000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27672534138.779999</v>
      </c>
      <c r="X15" s="11">
        <v>4266415200.9400001</v>
      </c>
      <c r="Y15" s="17">
        <v>23406118937.84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27672534138.779999</v>
      </c>
      <c r="AG15" s="11">
        <v>4266415200.9400001</v>
      </c>
      <c r="AH15" s="12">
        <v>23406118937.84</v>
      </c>
      <c r="AI15" s="11">
        <v>23406118937.84</v>
      </c>
      <c r="AJ15" s="11">
        <v>-2643900</v>
      </c>
      <c r="AK15" s="11">
        <v>-2643900</v>
      </c>
      <c r="AL15" s="11">
        <v>23485990789</v>
      </c>
      <c r="AM15" s="11">
        <v>26052956689</v>
      </c>
      <c r="AN15" s="11">
        <v>2566965900</v>
      </c>
      <c r="AO15" s="11">
        <v>26052956689</v>
      </c>
      <c r="AP15" s="11">
        <v>0</v>
      </c>
      <c r="AQ15" s="11">
        <v>2566965900</v>
      </c>
      <c r="AR15" t="s">
        <v>48</v>
      </c>
      <c r="AS15"/>
    </row>
    <row r="16" spans="1:48" x14ac:dyDescent="0.3">
      <c r="A16">
        <v>2023</v>
      </c>
      <c r="B16">
        <v>307</v>
      </c>
      <c r="C16">
        <v>1101021000201</v>
      </c>
      <c r="D16" s="5">
        <v>1</v>
      </c>
      <c r="E16" s="8" t="s">
        <v>1036</v>
      </c>
      <c r="F16">
        <v>1101021000201</v>
      </c>
      <c r="G16" s="8" t="s">
        <v>1037</v>
      </c>
      <c r="H16" t="s">
        <v>47</v>
      </c>
      <c r="I16" s="11">
        <v>4190400000</v>
      </c>
      <c r="J16" s="11">
        <v>4190400000</v>
      </c>
      <c r="K16" s="11">
        <v>0</v>
      </c>
      <c r="L16" s="11">
        <v>4190400000</v>
      </c>
      <c r="M16" s="11">
        <v>-4190400000</v>
      </c>
      <c r="N16" s="11">
        <v>0</v>
      </c>
      <c r="O16" s="11">
        <v>4190400000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1714499640</v>
      </c>
      <c r="X16" s="11">
        <v>1714499640</v>
      </c>
      <c r="Y16" s="17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1714499640</v>
      </c>
      <c r="AG16" s="11">
        <v>1714499640</v>
      </c>
      <c r="AH16" s="12">
        <v>0</v>
      </c>
      <c r="AI16" s="11">
        <v>0</v>
      </c>
      <c r="AJ16" s="11">
        <v>-1601604749.78</v>
      </c>
      <c r="AK16" s="11">
        <v>-1601604749.78</v>
      </c>
      <c r="AL16" s="11">
        <v>1606213940</v>
      </c>
      <c r="AM16" s="11">
        <v>1711306380</v>
      </c>
      <c r="AN16" s="11">
        <v>105092440</v>
      </c>
      <c r="AO16" s="11">
        <v>1711306380</v>
      </c>
      <c r="AP16" s="11">
        <v>0</v>
      </c>
      <c r="AQ16" s="11">
        <v>105092440</v>
      </c>
      <c r="AR16" t="s">
        <v>64</v>
      </c>
      <c r="AS16" s="4" t="str">
        <f t="shared" ref="AS16:AS21" si="2">+G16</f>
        <v>Impuesto de Registro - Oficinas de Instrumentos Públicos ( 20% FONPET)</v>
      </c>
      <c r="AT16" t="str">
        <f t="shared" ref="AT16:AT21" si="3">+D16&amp;AS16&amp;Y16</f>
        <v>1Impuesto de Registro - Oficinas de Instrumentos Públicos ( 20% FONPET)0</v>
      </c>
      <c r="AU16" t="e">
        <f>+_xlfn.XLOOKUP(AT16,CRUCE!K:K,CRUCE!M:M)</f>
        <v>#N/A</v>
      </c>
      <c r="AV16" t="s">
        <v>1907</v>
      </c>
    </row>
    <row r="17" spans="1:48" x14ac:dyDescent="0.3">
      <c r="A17">
        <v>2023</v>
      </c>
      <c r="B17">
        <v>307</v>
      </c>
      <c r="C17">
        <v>1101021000202</v>
      </c>
      <c r="D17" s="5">
        <v>13</v>
      </c>
      <c r="E17" s="8" t="s">
        <v>1038</v>
      </c>
      <c r="F17">
        <v>1101021000202</v>
      </c>
      <c r="G17" s="8" t="s">
        <v>1039</v>
      </c>
      <c r="H17" t="s">
        <v>47</v>
      </c>
      <c r="I17" s="11">
        <v>2095200000</v>
      </c>
      <c r="J17" s="11">
        <v>2095200000</v>
      </c>
      <c r="K17" s="11">
        <v>400000000</v>
      </c>
      <c r="L17" s="11">
        <v>0</v>
      </c>
      <c r="M17" s="11">
        <v>400000000</v>
      </c>
      <c r="N17" s="11">
        <v>400000000</v>
      </c>
      <c r="O17" s="11">
        <v>0</v>
      </c>
      <c r="P17" s="11">
        <v>2495200000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2607102648.6999998</v>
      </c>
      <c r="X17" s="11">
        <v>266490755.12</v>
      </c>
      <c r="Y17" s="17">
        <v>2340611893.5799999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2607102648.6999998</v>
      </c>
      <c r="AG17" s="11">
        <v>266490755.12</v>
      </c>
      <c r="AH17" s="12">
        <v>2340611893.5799999</v>
      </c>
      <c r="AI17" s="11">
        <v>2340611893.5799999</v>
      </c>
      <c r="AJ17" s="11">
        <v>-264390</v>
      </c>
      <c r="AK17" s="11">
        <v>-264390</v>
      </c>
      <c r="AL17" s="11">
        <v>2348599078.6999998</v>
      </c>
      <c r="AM17" s="11">
        <v>2605295668.6999998</v>
      </c>
      <c r="AN17" s="11">
        <v>256696590</v>
      </c>
      <c r="AO17" s="11">
        <v>2605295668.6999998</v>
      </c>
      <c r="AP17" s="11">
        <v>0</v>
      </c>
      <c r="AQ17" s="11">
        <v>256696590</v>
      </c>
      <c r="AR17" t="s">
        <v>66</v>
      </c>
      <c r="AS17" s="4" t="str">
        <f t="shared" si="2"/>
        <v>Impuesto de Registro - Oficinas de Instrumentos Públicos (10% Cuotas Partes Pensionales)</v>
      </c>
      <c r="AT17" t="str">
        <f t="shared" si="3"/>
        <v>13Impuesto de Registro - Oficinas de Instrumentos Públicos (10% Cuotas Partes Pensionales)2340611893,58</v>
      </c>
      <c r="AU17" t="str">
        <f>+_xlfn.XLOOKUP(AT17,CRUCE!K:K,CRUCE!M:M)</f>
        <v>READY</v>
      </c>
      <c r="AV17" t="s">
        <v>1907</v>
      </c>
    </row>
    <row r="18" spans="1:48" x14ac:dyDescent="0.3">
      <c r="A18">
        <v>2023</v>
      </c>
      <c r="B18">
        <v>307</v>
      </c>
      <c r="C18">
        <v>1101021000203</v>
      </c>
      <c r="D18" s="5">
        <v>20</v>
      </c>
      <c r="E18" s="8" t="s">
        <v>1040</v>
      </c>
      <c r="F18">
        <v>1101021000203</v>
      </c>
      <c r="G18" s="8" t="s">
        <v>1041</v>
      </c>
      <c r="H18" t="s">
        <v>47</v>
      </c>
      <c r="I18" s="11">
        <v>12571200000</v>
      </c>
      <c r="J18" s="11">
        <v>12571200000</v>
      </c>
      <c r="K18" s="11">
        <v>7390400000</v>
      </c>
      <c r="L18" s="11">
        <v>0</v>
      </c>
      <c r="M18" s="11">
        <v>7390400000</v>
      </c>
      <c r="N18" s="11">
        <v>7390400000</v>
      </c>
      <c r="O18" s="11">
        <v>0</v>
      </c>
      <c r="P18" s="11">
        <v>19961600000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20743829201.380001</v>
      </c>
      <c r="X18" s="11">
        <v>2018934050.7</v>
      </c>
      <c r="Y18" s="17">
        <v>18724895150.68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20743829201.380001</v>
      </c>
      <c r="AG18" s="11">
        <v>2018934050.7</v>
      </c>
      <c r="AH18" s="12">
        <v>18724895150.68</v>
      </c>
      <c r="AI18" s="11">
        <v>18724895150.68</v>
      </c>
      <c r="AJ18" s="11">
        <v>1599489629.78</v>
      </c>
      <c r="AK18" s="11">
        <v>1599489629.78</v>
      </c>
      <c r="AL18" s="11">
        <v>17182578691.599998</v>
      </c>
      <c r="AM18" s="11">
        <v>19131058971.599998</v>
      </c>
      <c r="AN18" s="11">
        <v>1948480280</v>
      </c>
      <c r="AO18" s="11">
        <v>19131058971.599998</v>
      </c>
      <c r="AP18" s="11">
        <v>0</v>
      </c>
      <c r="AQ18" s="11">
        <v>1948480280</v>
      </c>
      <c r="AR18" t="s">
        <v>57</v>
      </c>
      <c r="AS18" s="4" t="str">
        <f t="shared" si="2"/>
        <v>Impuesto de Registro - Oficinas de Instrumentos Públicos (ICLD)</v>
      </c>
      <c r="AT18" t="str">
        <f t="shared" si="3"/>
        <v>20Impuesto de Registro - Oficinas de Instrumentos Públicos (ICLD)18724895150,68</v>
      </c>
      <c r="AU18" t="e">
        <f>+_xlfn.XLOOKUP(AT18,CRUCE!K:K,CRUCE!M:M)</f>
        <v>#N/A</v>
      </c>
      <c r="AV18" t="s">
        <v>1907</v>
      </c>
    </row>
    <row r="19" spans="1:48" x14ac:dyDescent="0.3">
      <c r="A19">
        <v>2023</v>
      </c>
      <c r="B19">
        <v>307</v>
      </c>
      <c r="C19">
        <v>1101021000204</v>
      </c>
      <c r="D19" s="5">
        <v>52</v>
      </c>
      <c r="E19" s="8" t="s">
        <v>1042</v>
      </c>
      <c r="F19">
        <v>1101021000204</v>
      </c>
      <c r="G19" s="8" t="s">
        <v>1043</v>
      </c>
      <c r="H19" t="s">
        <v>47</v>
      </c>
      <c r="I19" s="11">
        <v>838080000</v>
      </c>
      <c r="J19" s="11">
        <v>838080000</v>
      </c>
      <c r="K19" s="11">
        <v>160000000</v>
      </c>
      <c r="L19" s="11">
        <v>0</v>
      </c>
      <c r="M19" s="11">
        <v>160000000</v>
      </c>
      <c r="N19" s="11">
        <v>160000000</v>
      </c>
      <c r="O19" s="11">
        <v>0</v>
      </c>
      <c r="P19" s="11">
        <v>998080000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1042841059.48</v>
      </c>
      <c r="X19" s="11">
        <v>106596302.05</v>
      </c>
      <c r="Y19" s="17">
        <v>936244757.42999995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1042841059.48</v>
      </c>
      <c r="AG19" s="11">
        <v>106596302.05</v>
      </c>
      <c r="AH19" s="12">
        <v>936244757.42999995</v>
      </c>
      <c r="AI19" s="11">
        <v>936244757.42999995</v>
      </c>
      <c r="AJ19" s="11">
        <v>-105756</v>
      </c>
      <c r="AK19" s="11">
        <v>-105756</v>
      </c>
      <c r="AL19" s="11">
        <v>939439631.48000002</v>
      </c>
      <c r="AM19" s="11">
        <v>1042118267.48</v>
      </c>
      <c r="AN19" s="11">
        <v>102678636</v>
      </c>
      <c r="AO19" s="11">
        <v>1042118267.48</v>
      </c>
      <c r="AP19" s="11">
        <v>0</v>
      </c>
      <c r="AQ19" s="11">
        <v>102678636</v>
      </c>
      <c r="AR19" t="s">
        <v>69</v>
      </c>
      <c r="AS19" s="4" t="str">
        <f t="shared" si="2"/>
        <v>Impuesto de Registro - Oficinas de Instrumentos Públicos (4% Turismo)</v>
      </c>
      <c r="AT19" t="str">
        <f t="shared" si="3"/>
        <v>52Impuesto de Registro - Oficinas de Instrumentos Públicos (4% Turismo)936244757,43</v>
      </c>
      <c r="AU19" t="str">
        <f>+_xlfn.XLOOKUP(AT19,CRUCE!K:K,CRUCE!M:M)</f>
        <v>READY</v>
      </c>
      <c r="AV19" t="s">
        <v>1907</v>
      </c>
    </row>
    <row r="20" spans="1:48" x14ac:dyDescent="0.3">
      <c r="A20">
        <v>2023</v>
      </c>
      <c r="B20">
        <v>307</v>
      </c>
      <c r="C20">
        <v>1101021000205</v>
      </c>
      <c r="D20" s="5">
        <v>53</v>
      </c>
      <c r="E20" s="8" t="s">
        <v>1044</v>
      </c>
      <c r="F20">
        <v>1101021000205</v>
      </c>
      <c r="G20" s="8" t="s">
        <v>1045</v>
      </c>
      <c r="H20" t="s">
        <v>47</v>
      </c>
      <c r="I20" s="11">
        <v>1257120000</v>
      </c>
      <c r="J20" s="11">
        <v>1257120000</v>
      </c>
      <c r="K20" s="11">
        <v>240000000</v>
      </c>
      <c r="L20" s="11">
        <v>0</v>
      </c>
      <c r="M20" s="11">
        <v>240000000</v>
      </c>
      <c r="N20" s="11">
        <v>240000000</v>
      </c>
      <c r="O20" s="11">
        <v>0</v>
      </c>
      <c r="P20" s="11">
        <v>1497120000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1564261589.22</v>
      </c>
      <c r="X20" s="11">
        <v>159894453.06999999</v>
      </c>
      <c r="Y20" s="17">
        <v>1404367136.1500001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1564261589.22</v>
      </c>
      <c r="AG20" s="11">
        <v>159894453.06999999</v>
      </c>
      <c r="AH20" s="12">
        <v>1404367136.1500001</v>
      </c>
      <c r="AI20" s="11">
        <v>1404367136.1500001</v>
      </c>
      <c r="AJ20" s="11">
        <v>-158634</v>
      </c>
      <c r="AK20" s="11">
        <v>-158634</v>
      </c>
      <c r="AL20" s="11">
        <v>1409159447.22</v>
      </c>
      <c r="AM20" s="11">
        <v>1563177401.22</v>
      </c>
      <c r="AN20" s="11">
        <v>154017954</v>
      </c>
      <c r="AO20" s="11">
        <v>1563177401.22</v>
      </c>
      <c r="AP20" s="11">
        <v>0</v>
      </c>
      <c r="AQ20" s="11">
        <v>154017954</v>
      </c>
      <c r="AR20" t="s">
        <v>71</v>
      </c>
      <c r="AS20" s="4" t="str">
        <f t="shared" si="2"/>
        <v>Impuesto de Registro - Oficinas de Instrumentos Públicos (6% Proyecta)</v>
      </c>
      <c r="AT20" t="str">
        <f t="shared" si="3"/>
        <v>53Impuesto de Registro - Oficinas de Instrumentos Públicos (6% Proyecta)1404367136,15</v>
      </c>
      <c r="AU20" t="str">
        <f>+_xlfn.XLOOKUP(AT20,CRUCE!K:K,CRUCE!M:M)</f>
        <v>READY</v>
      </c>
      <c r="AV20" t="s">
        <v>1907</v>
      </c>
    </row>
    <row r="21" spans="1:48" x14ac:dyDescent="0.3">
      <c r="A21">
        <v>2023</v>
      </c>
      <c r="B21">
        <v>307</v>
      </c>
      <c r="C21">
        <v>110102102</v>
      </c>
      <c r="D21" s="5">
        <v>20</v>
      </c>
      <c r="E21" s="8" t="s">
        <v>78</v>
      </c>
      <c r="F21">
        <v>110102102</v>
      </c>
      <c r="G21" s="8" t="s">
        <v>79</v>
      </c>
      <c r="H21" t="s">
        <v>47</v>
      </c>
      <c r="I21" s="11">
        <v>693652915</v>
      </c>
      <c r="J21" s="11">
        <v>693652915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693652915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728410100</v>
      </c>
      <c r="X21" s="11">
        <v>0</v>
      </c>
      <c r="Y21" s="17">
        <v>728410100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728410100</v>
      </c>
      <c r="AG21" s="11">
        <v>0</v>
      </c>
      <c r="AH21" s="12">
        <v>728410100</v>
      </c>
      <c r="AI21" s="11">
        <v>728410100</v>
      </c>
      <c r="AJ21" s="11">
        <v>0</v>
      </c>
      <c r="AK21" s="11">
        <v>0</v>
      </c>
      <c r="AL21" s="11">
        <v>728410100</v>
      </c>
      <c r="AM21" s="11">
        <v>728410100</v>
      </c>
      <c r="AN21" s="11">
        <v>0</v>
      </c>
      <c r="AO21" s="11">
        <v>728410100</v>
      </c>
      <c r="AP21" s="11">
        <v>0</v>
      </c>
      <c r="AQ21" s="11">
        <v>0</v>
      </c>
      <c r="AR21" t="s">
        <v>57</v>
      </c>
      <c r="AS21" s="4" t="str">
        <f t="shared" si="2"/>
        <v>Impuesto al degüello de ganado mayor</v>
      </c>
      <c r="AT21" t="str">
        <f t="shared" si="3"/>
        <v>20Impuesto al degüello de ganado mayor728410100</v>
      </c>
      <c r="AU21" t="str">
        <f>+_xlfn.XLOOKUP(AT21,CRUCE!K:K,CRUCE!M:M)</f>
        <v>READY</v>
      </c>
      <c r="AV21" t="s">
        <v>1907</v>
      </c>
    </row>
    <row r="22" spans="1:48" hidden="1" x14ac:dyDescent="0.3">
      <c r="A22">
        <v>2023</v>
      </c>
      <c r="B22">
        <v>307</v>
      </c>
      <c r="C22">
        <v>110102104</v>
      </c>
      <c r="D22" s="5" t="s">
        <v>44</v>
      </c>
      <c r="E22" s="8" t="s">
        <v>85</v>
      </c>
      <c r="F22">
        <v>110102104</v>
      </c>
      <c r="G22" s="8" t="s">
        <v>86</v>
      </c>
      <c r="H22" t="s">
        <v>47</v>
      </c>
      <c r="I22" s="11">
        <v>3511903982</v>
      </c>
      <c r="J22" s="11">
        <v>3511903982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3511903982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3343520626.5799999</v>
      </c>
      <c r="X22" s="11">
        <v>49445107.039999999</v>
      </c>
      <c r="Y22" s="17">
        <v>3294075519.54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3343520626.5799999</v>
      </c>
      <c r="AG22" s="11">
        <v>49445107.039999999</v>
      </c>
      <c r="AH22" s="12">
        <v>3294075519.54</v>
      </c>
      <c r="AI22" s="11">
        <v>3294075519.54</v>
      </c>
      <c r="AJ22" s="11">
        <v>0</v>
      </c>
      <c r="AK22" s="11">
        <v>0</v>
      </c>
      <c r="AL22" s="11">
        <v>3294075519.54</v>
      </c>
      <c r="AM22" s="11">
        <v>3343520626.5799999</v>
      </c>
      <c r="AN22" s="11">
        <v>49445107.039999999</v>
      </c>
      <c r="AO22" s="11">
        <v>3343520626.5799999</v>
      </c>
      <c r="AP22" s="11">
        <v>0</v>
      </c>
      <c r="AQ22" s="11">
        <v>49445107.039999999</v>
      </c>
      <c r="AR22" t="s">
        <v>48</v>
      </c>
      <c r="AS22"/>
    </row>
    <row r="23" spans="1:48" hidden="1" x14ac:dyDescent="0.3">
      <c r="A23">
        <v>2023</v>
      </c>
      <c r="B23">
        <v>307</v>
      </c>
      <c r="C23">
        <v>11010210402</v>
      </c>
      <c r="D23" s="5" t="s">
        <v>44</v>
      </c>
      <c r="E23" s="8" t="s">
        <v>93</v>
      </c>
      <c r="F23">
        <v>11010210402</v>
      </c>
      <c r="G23" s="8" t="s">
        <v>94</v>
      </c>
      <c r="H23" t="s">
        <v>47</v>
      </c>
      <c r="I23" s="11">
        <v>3511903982</v>
      </c>
      <c r="J23" s="11">
        <v>3511903982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3511903982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3343520626.5799999</v>
      </c>
      <c r="X23" s="11">
        <v>49445107.039999999</v>
      </c>
      <c r="Y23" s="17">
        <v>3294075519.54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3343520626.5799999</v>
      </c>
      <c r="AG23" s="11">
        <v>49445107.039999999</v>
      </c>
      <c r="AH23" s="12">
        <v>3294075519.54</v>
      </c>
      <c r="AI23" s="11">
        <v>3294075519.54</v>
      </c>
      <c r="AJ23" s="11">
        <v>0</v>
      </c>
      <c r="AK23" s="11">
        <v>0</v>
      </c>
      <c r="AL23" s="11">
        <v>3294075519.54</v>
      </c>
      <c r="AM23" s="11">
        <v>3343520626.5799999</v>
      </c>
      <c r="AN23" s="11">
        <v>49445107.039999999</v>
      </c>
      <c r="AO23" s="11">
        <v>3343520626.5799999</v>
      </c>
      <c r="AP23" s="11">
        <v>0</v>
      </c>
      <c r="AQ23" s="11">
        <v>49445107.039999999</v>
      </c>
      <c r="AR23" t="s">
        <v>48</v>
      </c>
      <c r="AS23"/>
    </row>
    <row r="24" spans="1:48" x14ac:dyDescent="0.3">
      <c r="A24">
        <v>2023</v>
      </c>
      <c r="B24">
        <v>307</v>
      </c>
      <c r="C24">
        <v>1101021040201</v>
      </c>
      <c r="D24" s="5">
        <v>145</v>
      </c>
      <c r="E24" s="8" t="s">
        <v>1046</v>
      </c>
      <c r="F24">
        <v>1101021040201</v>
      </c>
      <c r="G24" s="8" t="s">
        <v>96</v>
      </c>
      <c r="H24" t="s">
        <v>47</v>
      </c>
      <c r="I24" s="11">
        <v>38364903.119999997</v>
      </c>
      <c r="J24" s="11">
        <v>38364903.119999997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38364903.119999997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43652739.479999997</v>
      </c>
      <c r="X24" s="11">
        <v>2199246.2400000002</v>
      </c>
      <c r="Y24" s="17">
        <v>41453493.240000002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43652739.479999997</v>
      </c>
      <c r="AG24" s="11">
        <v>2199246.2400000002</v>
      </c>
      <c r="AH24" s="12">
        <v>41453493.240000002</v>
      </c>
      <c r="AI24" s="11">
        <v>41453493.240000002</v>
      </c>
      <c r="AJ24" s="11">
        <v>0</v>
      </c>
      <c r="AK24" s="11">
        <v>0</v>
      </c>
      <c r="AL24" s="11">
        <v>41453493.240000002</v>
      </c>
      <c r="AM24" s="11">
        <v>43652739.479999997</v>
      </c>
      <c r="AN24" s="11">
        <v>2199246.2400000002</v>
      </c>
      <c r="AO24" s="11">
        <v>43652739.479999997</v>
      </c>
      <c r="AP24" s="11">
        <v>0</v>
      </c>
      <c r="AQ24" s="11">
        <v>2199246.2400000002</v>
      </c>
      <c r="AR24" t="s">
        <v>84</v>
      </c>
      <c r="AS24" s="4" t="str">
        <f t="shared" ref="AS24:AS27" si="4">+G24</f>
        <v>Impuesto al consumo de vinos, aperitivos y similares - Nacionales</v>
      </c>
      <c r="AT24" t="str">
        <f t="shared" ref="AT24:AT27" si="5">+D24&amp;AS24&amp;Y24</f>
        <v>145Impuesto al consumo de vinos, aperitivos y similares - Nacionales41453493,24</v>
      </c>
      <c r="AU24" t="str">
        <f>+_xlfn.XLOOKUP(AT24,CRUCE!K:K,CRUCE!M:M)</f>
        <v>READY</v>
      </c>
      <c r="AV24" t="s">
        <v>1907</v>
      </c>
    </row>
    <row r="25" spans="1:48" x14ac:dyDescent="0.3">
      <c r="A25">
        <v>2023</v>
      </c>
      <c r="B25">
        <v>307</v>
      </c>
      <c r="C25">
        <v>1101021040201</v>
      </c>
      <c r="D25" s="5">
        <v>20</v>
      </c>
      <c r="E25" s="8" t="s">
        <v>95</v>
      </c>
      <c r="F25">
        <v>1101021040201</v>
      </c>
      <c r="G25" s="8" t="s">
        <v>96</v>
      </c>
      <c r="H25" t="s">
        <v>47</v>
      </c>
      <c r="I25" s="11">
        <v>2577372402</v>
      </c>
      <c r="J25" s="11">
        <v>2577372402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2577372402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866391763.60000002</v>
      </c>
      <c r="X25" s="11">
        <v>43707100.799999997</v>
      </c>
      <c r="Y25" s="17">
        <v>822684662.79999995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866391763.60000002</v>
      </c>
      <c r="AG25" s="11">
        <v>43707100.799999997</v>
      </c>
      <c r="AH25" s="12">
        <v>822684662.79999995</v>
      </c>
      <c r="AI25" s="11">
        <v>822684662.79999995</v>
      </c>
      <c r="AJ25" s="11">
        <v>0</v>
      </c>
      <c r="AK25" s="11">
        <v>0</v>
      </c>
      <c r="AL25" s="11">
        <v>822684662.79999995</v>
      </c>
      <c r="AM25" s="11">
        <v>866391763.60000002</v>
      </c>
      <c r="AN25" s="11">
        <v>43707100.799999997</v>
      </c>
      <c r="AO25" s="11">
        <v>866391763.60000002</v>
      </c>
      <c r="AP25" s="11">
        <v>0</v>
      </c>
      <c r="AQ25" s="11">
        <v>43707100.799999997</v>
      </c>
      <c r="AR25" t="s">
        <v>57</v>
      </c>
      <c r="AS25" s="4" t="str">
        <f t="shared" si="4"/>
        <v>Impuesto al consumo de vinos, aperitivos y similares - Nacionales</v>
      </c>
      <c r="AT25" t="str">
        <f t="shared" si="5"/>
        <v>20Impuesto al consumo de vinos, aperitivos y similares - Nacionales822684662,8</v>
      </c>
      <c r="AU25" t="str">
        <f>+_xlfn.XLOOKUP(AT25,CRUCE!K:K,CRUCE!M:M)</f>
        <v>READY</v>
      </c>
      <c r="AV25" t="s">
        <v>1907</v>
      </c>
    </row>
    <row r="26" spans="1:48" x14ac:dyDescent="0.3">
      <c r="A26">
        <v>2023</v>
      </c>
      <c r="B26">
        <v>307</v>
      </c>
      <c r="C26">
        <v>1101021040202</v>
      </c>
      <c r="D26" s="5">
        <v>145</v>
      </c>
      <c r="E26" s="8" t="s">
        <v>1047</v>
      </c>
      <c r="F26">
        <v>1101021040202</v>
      </c>
      <c r="G26" s="8" t="s">
        <v>98</v>
      </c>
      <c r="H26" t="s">
        <v>47</v>
      </c>
      <c r="I26" s="11">
        <v>128868620.88</v>
      </c>
      <c r="J26" s="11">
        <v>128868620.88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128868620.88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118913938.5</v>
      </c>
      <c r="X26" s="11">
        <v>172481</v>
      </c>
      <c r="Y26" s="17">
        <v>118741457.5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118913938.5</v>
      </c>
      <c r="AG26" s="11">
        <v>172481</v>
      </c>
      <c r="AH26" s="12">
        <v>118741457.5</v>
      </c>
      <c r="AI26" s="11">
        <v>118741457.5</v>
      </c>
      <c r="AJ26" s="11">
        <v>0</v>
      </c>
      <c r="AK26" s="11">
        <v>0</v>
      </c>
      <c r="AL26" s="11">
        <v>118741457.5</v>
      </c>
      <c r="AM26" s="11">
        <v>118913938.5</v>
      </c>
      <c r="AN26" s="11">
        <v>172481</v>
      </c>
      <c r="AO26" s="11">
        <v>118913938.5</v>
      </c>
      <c r="AP26" s="11">
        <v>0</v>
      </c>
      <c r="AQ26" s="11">
        <v>172481</v>
      </c>
      <c r="AR26" t="s">
        <v>84</v>
      </c>
      <c r="AS26" s="4" t="str">
        <f t="shared" si="4"/>
        <v>Impuesto al consumo de vinos, aperitivos y similares - Extranjeros</v>
      </c>
      <c r="AT26" t="str">
        <f t="shared" si="5"/>
        <v>145Impuesto al consumo de vinos, aperitivos y similares - Extranjeros118741457,5</v>
      </c>
      <c r="AU26" t="str">
        <f>+_xlfn.XLOOKUP(AT26,CRUCE!K:K,CRUCE!M:M)</f>
        <v>READY</v>
      </c>
      <c r="AV26" t="s">
        <v>1907</v>
      </c>
    </row>
    <row r="27" spans="1:48" x14ac:dyDescent="0.3">
      <c r="A27">
        <v>2023</v>
      </c>
      <c r="B27">
        <v>307</v>
      </c>
      <c r="C27">
        <v>1101021040202</v>
      </c>
      <c r="D27" s="5">
        <v>20</v>
      </c>
      <c r="E27" s="8" t="s">
        <v>97</v>
      </c>
      <c r="F27">
        <v>1101021040202</v>
      </c>
      <c r="G27" s="8" t="s">
        <v>98</v>
      </c>
      <c r="H27" t="s">
        <v>47</v>
      </c>
      <c r="I27" s="11">
        <v>767298056</v>
      </c>
      <c r="J27" s="11">
        <v>767298056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767298056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2314562185</v>
      </c>
      <c r="X27" s="11">
        <v>3366279</v>
      </c>
      <c r="Y27" s="17">
        <v>2311195906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2314562185</v>
      </c>
      <c r="AG27" s="11">
        <v>3366279</v>
      </c>
      <c r="AH27" s="12">
        <v>2311195906</v>
      </c>
      <c r="AI27" s="11">
        <v>2311195906</v>
      </c>
      <c r="AJ27" s="11">
        <v>0</v>
      </c>
      <c r="AK27" s="11">
        <v>0</v>
      </c>
      <c r="AL27" s="11">
        <v>2311195906</v>
      </c>
      <c r="AM27" s="11">
        <v>2314562185</v>
      </c>
      <c r="AN27" s="11">
        <v>3366279</v>
      </c>
      <c r="AO27" s="11">
        <v>2314562185</v>
      </c>
      <c r="AP27" s="11">
        <v>0</v>
      </c>
      <c r="AQ27" s="11">
        <v>3366279</v>
      </c>
      <c r="AR27" t="s">
        <v>57</v>
      </c>
      <c r="AS27" s="4" t="str">
        <f t="shared" si="4"/>
        <v>Impuesto al consumo de vinos, aperitivos y similares - Extranjeros</v>
      </c>
      <c r="AT27" t="str">
        <f t="shared" si="5"/>
        <v>20Impuesto al consumo de vinos, aperitivos y similares - Extranjeros2311195906</v>
      </c>
      <c r="AU27" t="str">
        <f>+_xlfn.XLOOKUP(AT27,CRUCE!K:K,CRUCE!M:M)</f>
        <v>READY</v>
      </c>
      <c r="AV27" t="s">
        <v>1907</v>
      </c>
    </row>
    <row r="28" spans="1:48" hidden="1" x14ac:dyDescent="0.3">
      <c r="A28">
        <v>2023</v>
      </c>
      <c r="B28">
        <v>307</v>
      </c>
      <c r="C28">
        <v>110102105</v>
      </c>
      <c r="D28" s="5" t="s">
        <v>44</v>
      </c>
      <c r="E28" s="8" t="s">
        <v>99</v>
      </c>
      <c r="F28">
        <v>110102105</v>
      </c>
      <c r="G28" s="8" t="s">
        <v>100</v>
      </c>
      <c r="H28" t="s">
        <v>47</v>
      </c>
      <c r="I28" s="11">
        <v>19256889233</v>
      </c>
      <c r="J28" s="11">
        <v>19256889233</v>
      </c>
      <c r="K28" s="11">
        <v>1000000000</v>
      </c>
      <c r="L28" s="11">
        <v>0</v>
      </c>
      <c r="M28" s="11">
        <v>1000000000</v>
      </c>
      <c r="N28" s="11">
        <v>1000000000</v>
      </c>
      <c r="O28" s="11">
        <v>0</v>
      </c>
      <c r="P28" s="11">
        <v>20256889233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22722606937</v>
      </c>
      <c r="X28" s="11">
        <v>250092961</v>
      </c>
      <c r="Y28" s="17">
        <v>22472513976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22722606937</v>
      </c>
      <c r="AG28" s="11">
        <v>250092961</v>
      </c>
      <c r="AH28" s="12">
        <v>22472513976</v>
      </c>
      <c r="AI28" s="11">
        <v>22472513976</v>
      </c>
      <c r="AJ28" s="11">
        <v>0</v>
      </c>
      <c r="AK28" s="11">
        <v>0</v>
      </c>
      <c r="AL28" s="11">
        <v>22472513976</v>
      </c>
      <c r="AM28" s="11">
        <v>22722606937</v>
      </c>
      <c r="AN28" s="11">
        <v>250092961</v>
      </c>
      <c r="AO28" s="11">
        <v>22722606937</v>
      </c>
      <c r="AP28" s="11">
        <v>0</v>
      </c>
      <c r="AQ28" s="11">
        <v>250092961</v>
      </c>
      <c r="AR28" t="s">
        <v>48</v>
      </c>
      <c r="AS28"/>
    </row>
    <row r="29" spans="1:48" x14ac:dyDescent="0.3">
      <c r="A29">
        <v>2023</v>
      </c>
      <c r="B29">
        <v>307</v>
      </c>
      <c r="C29">
        <v>11010210501</v>
      </c>
      <c r="D29" s="5">
        <v>20</v>
      </c>
      <c r="E29" s="8" t="s">
        <v>101</v>
      </c>
      <c r="F29">
        <v>11010210501</v>
      </c>
      <c r="G29" s="8" t="s">
        <v>102</v>
      </c>
      <c r="H29" t="s">
        <v>47</v>
      </c>
      <c r="I29" s="11">
        <v>18965700746</v>
      </c>
      <c r="J29" s="11">
        <v>18965700746</v>
      </c>
      <c r="K29" s="11">
        <v>1000000000</v>
      </c>
      <c r="L29" s="11">
        <v>0</v>
      </c>
      <c r="M29" s="11">
        <v>1000000000</v>
      </c>
      <c r="N29" s="11">
        <v>1000000000</v>
      </c>
      <c r="O29" s="11">
        <v>0</v>
      </c>
      <c r="P29" s="11">
        <v>19965700746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22338306937</v>
      </c>
      <c r="X29" s="11">
        <v>250092961</v>
      </c>
      <c r="Y29" s="17">
        <v>22088213976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22338306937</v>
      </c>
      <c r="AG29" s="11">
        <v>250092961</v>
      </c>
      <c r="AH29" s="12">
        <v>22088213976</v>
      </c>
      <c r="AI29" s="11">
        <v>22088213976</v>
      </c>
      <c r="AJ29" s="11">
        <v>0</v>
      </c>
      <c r="AK29" s="11">
        <v>0</v>
      </c>
      <c r="AL29" s="11">
        <v>22088213976</v>
      </c>
      <c r="AM29" s="11">
        <v>22338306937</v>
      </c>
      <c r="AN29" s="11">
        <v>250092961</v>
      </c>
      <c r="AO29" s="11">
        <v>22338306937</v>
      </c>
      <c r="AP29" s="11">
        <v>0</v>
      </c>
      <c r="AQ29" s="11">
        <v>250092961</v>
      </c>
      <c r="AR29" t="s">
        <v>57</v>
      </c>
      <c r="AS29" s="4" t="str">
        <f t="shared" ref="AS29:AS30" si="6">+G29</f>
        <v>Impuesto al consumo de cervezas, sifones, refajos y mezclas - Nacionales</v>
      </c>
      <c r="AT29" t="str">
        <f t="shared" ref="AT29:AT30" si="7">+D29&amp;AS29&amp;Y29</f>
        <v>20Impuesto al consumo de cervezas, sifones, refajos y mezclas - Nacionales22088213976</v>
      </c>
      <c r="AU29" t="str">
        <f>+_xlfn.XLOOKUP(AT29,CRUCE!K:K,CRUCE!M:M)</f>
        <v>READY</v>
      </c>
      <c r="AV29" t="s">
        <v>1907</v>
      </c>
    </row>
    <row r="30" spans="1:48" x14ac:dyDescent="0.3">
      <c r="A30">
        <v>2023</v>
      </c>
      <c r="B30">
        <v>307</v>
      </c>
      <c r="C30">
        <v>11010210502</v>
      </c>
      <c r="D30" s="5">
        <v>20</v>
      </c>
      <c r="E30" s="8" t="s">
        <v>103</v>
      </c>
      <c r="F30">
        <v>11010210502</v>
      </c>
      <c r="G30" s="8" t="s">
        <v>104</v>
      </c>
      <c r="H30" t="s">
        <v>47</v>
      </c>
      <c r="I30" s="11">
        <v>291188487</v>
      </c>
      <c r="J30" s="11">
        <v>291188487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291188487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384300000</v>
      </c>
      <c r="X30" s="11">
        <v>0</v>
      </c>
      <c r="Y30" s="17">
        <v>384300000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384300000</v>
      </c>
      <c r="AG30" s="11">
        <v>0</v>
      </c>
      <c r="AH30" s="12">
        <v>384300000</v>
      </c>
      <c r="AI30" s="11">
        <v>384300000</v>
      </c>
      <c r="AJ30" s="11">
        <v>0</v>
      </c>
      <c r="AK30" s="11">
        <v>0</v>
      </c>
      <c r="AL30" s="11">
        <v>384300000</v>
      </c>
      <c r="AM30" s="11">
        <v>384300000</v>
      </c>
      <c r="AN30" s="11">
        <v>0</v>
      </c>
      <c r="AO30" s="11">
        <v>384300000</v>
      </c>
      <c r="AP30" s="11">
        <v>0</v>
      </c>
      <c r="AQ30" s="11">
        <v>0</v>
      </c>
      <c r="AR30" t="s">
        <v>57</v>
      </c>
      <c r="AS30" s="4" t="str">
        <f t="shared" si="6"/>
        <v>Impuesto al consumo de cervezas, sifones, refajos y mezclas - Extranjeras</v>
      </c>
      <c r="AT30" t="str">
        <f t="shared" si="7"/>
        <v>20Impuesto al consumo de cervezas, sifones, refajos y mezclas - Extranjeras384300000</v>
      </c>
      <c r="AU30" t="str">
        <f>+_xlfn.XLOOKUP(AT30,CRUCE!K:K,CRUCE!M:M)</f>
        <v>READY</v>
      </c>
      <c r="AV30" t="s">
        <v>1907</v>
      </c>
    </row>
    <row r="31" spans="1:48" hidden="1" x14ac:dyDescent="0.3">
      <c r="A31">
        <v>2023</v>
      </c>
      <c r="B31">
        <v>307</v>
      </c>
      <c r="C31">
        <v>110102106</v>
      </c>
      <c r="D31" s="5" t="s">
        <v>44</v>
      </c>
      <c r="E31" s="8" t="s">
        <v>105</v>
      </c>
      <c r="F31">
        <v>110102106</v>
      </c>
      <c r="G31" s="8" t="s">
        <v>106</v>
      </c>
      <c r="H31" t="s">
        <v>47</v>
      </c>
      <c r="I31" s="11">
        <v>12138258784</v>
      </c>
      <c r="J31" s="11">
        <v>12138258784</v>
      </c>
      <c r="K31" s="11">
        <v>458803910</v>
      </c>
      <c r="L31" s="11">
        <v>2</v>
      </c>
      <c r="M31" s="11">
        <v>458803908</v>
      </c>
      <c r="N31" s="11">
        <v>458803910</v>
      </c>
      <c r="O31" s="11">
        <v>2</v>
      </c>
      <c r="P31" s="11">
        <v>12597062692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12488132223</v>
      </c>
      <c r="X31" s="11">
        <v>70000</v>
      </c>
      <c r="Y31" s="17">
        <v>12488062223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12488132223</v>
      </c>
      <c r="AG31" s="11">
        <v>70000</v>
      </c>
      <c r="AH31" s="12">
        <v>12488062223</v>
      </c>
      <c r="AI31" s="11">
        <v>12488062223</v>
      </c>
      <c r="AJ31" s="11">
        <v>0</v>
      </c>
      <c r="AK31" s="11">
        <v>0</v>
      </c>
      <c r="AL31" s="11">
        <v>12488132223</v>
      </c>
      <c r="AM31" s="11">
        <v>12488132223</v>
      </c>
      <c r="AN31" s="11">
        <v>0</v>
      </c>
      <c r="AO31" s="11">
        <v>12488132223</v>
      </c>
      <c r="AP31" s="11">
        <v>0</v>
      </c>
      <c r="AQ31" s="11">
        <v>0</v>
      </c>
      <c r="AR31" t="s">
        <v>48</v>
      </c>
      <c r="AS31"/>
    </row>
    <row r="32" spans="1:48" hidden="1" x14ac:dyDescent="0.3">
      <c r="A32">
        <v>2023</v>
      </c>
      <c r="B32">
        <v>307</v>
      </c>
      <c r="C32">
        <v>11010210601</v>
      </c>
      <c r="D32" s="5" t="s">
        <v>44</v>
      </c>
      <c r="E32" s="8" t="s">
        <v>107</v>
      </c>
      <c r="F32">
        <v>11010210601</v>
      </c>
      <c r="G32" s="8" t="s">
        <v>108</v>
      </c>
      <c r="H32" t="s">
        <v>47</v>
      </c>
      <c r="I32" s="11">
        <v>12138258784</v>
      </c>
      <c r="J32" s="11">
        <v>12138258784</v>
      </c>
      <c r="K32" s="11">
        <v>458803910</v>
      </c>
      <c r="L32" s="11">
        <v>2</v>
      </c>
      <c r="M32" s="11">
        <v>458803908</v>
      </c>
      <c r="N32" s="11">
        <v>458803910</v>
      </c>
      <c r="O32" s="11">
        <v>2</v>
      </c>
      <c r="P32" s="11">
        <v>12597062692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12488132223</v>
      </c>
      <c r="X32" s="11">
        <v>70000</v>
      </c>
      <c r="Y32" s="17">
        <v>12488062223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12488132223</v>
      </c>
      <c r="AG32" s="11">
        <v>70000</v>
      </c>
      <c r="AH32" s="12">
        <v>12488062223</v>
      </c>
      <c r="AI32" s="11">
        <v>12488062223</v>
      </c>
      <c r="AJ32" s="11">
        <v>0</v>
      </c>
      <c r="AK32" s="11">
        <v>0</v>
      </c>
      <c r="AL32" s="11">
        <v>12488132223</v>
      </c>
      <c r="AM32" s="11">
        <v>12488132223</v>
      </c>
      <c r="AN32" s="11">
        <v>0</v>
      </c>
      <c r="AO32" s="11">
        <v>12488132223</v>
      </c>
      <c r="AP32" s="11">
        <v>0</v>
      </c>
      <c r="AQ32" s="11">
        <v>0</v>
      </c>
      <c r="AR32" t="s">
        <v>48</v>
      </c>
      <c r="AS32"/>
    </row>
    <row r="33" spans="1:48" x14ac:dyDescent="0.3">
      <c r="A33">
        <v>2023</v>
      </c>
      <c r="B33">
        <v>307</v>
      </c>
      <c r="C33">
        <v>1101021060102</v>
      </c>
      <c r="D33" s="5">
        <v>20</v>
      </c>
      <c r="E33" s="8" t="s">
        <v>109</v>
      </c>
      <c r="F33">
        <v>1101021060102</v>
      </c>
      <c r="G33" s="8" t="s">
        <v>110</v>
      </c>
      <c r="H33" t="s">
        <v>47</v>
      </c>
      <c r="I33" s="11">
        <v>12138258784</v>
      </c>
      <c r="J33" s="11">
        <v>12138258784</v>
      </c>
      <c r="K33" s="11">
        <v>458803910</v>
      </c>
      <c r="L33" s="11">
        <v>2</v>
      </c>
      <c r="M33" s="11">
        <v>458803908</v>
      </c>
      <c r="N33" s="11">
        <v>458803910</v>
      </c>
      <c r="O33" s="11">
        <v>2</v>
      </c>
      <c r="P33" s="11">
        <v>12597062692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12488132223</v>
      </c>
      <c r="X33" s="11">
        <v>70000</v>
      </c>
      <c r="Y33" s="17">
        <v>12488062223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12488132223</v>
      </c>
      <c r="AG33" s="11">
        <v>70000</v>
      </c>
      <c r="AH33" s="12">
        <v>12488062223</v>
      </c>
      <c r="AI33" s="11">
        <v>12488062223</v>
      </c>
      <c r="AJ33" s="11">
        <v>0</v>
      </c>
      <c r="AK33" s="11">
        <v>0</v>
      </c>
      <c r="AL33" s="11">
        <v>12488132223</v>
      </c>
      <c r="AM33" s="11">
        <v>12488132223</v>
      </c>
      <c r="AN33" s="11">
        <v>0</v>
      </c>
      <c r="AO33" s="11">
        <v>12488132223</v>
      </c>
      <c r="AP33" s="11">
        <v>0</v>
      </c>
      <c r="AQ33" s="11">
        <v>0</v>
      </c>
      <c r="AR33" t="s">
        <v>57</v>
      </c>
      <c r="AS33" s="4" t="str">
        <f t="shared" ref="AS33:AS35" si="8">+G33</f>
        <v>Componente específico del impuesto al consumo de cigarrillos y tabaco - Extranjeros</v>
      </c>
      <c r="AT33" t="str">
        <f t="shared" ref="AT33:AT35" si="9">+D33&amp;AS33&amp;Y33</f>
        <v>20Componente específico del impuesto al consumo de cigarrillos y tabaco - Extranjeros12488062223</v>
      </c>
      <c r="AU33" t="str">
        <f>+_xlfn.XLOOKUP(AT33,CRUCE!K:K,CRUCE!M:M)</f>
        <v>READY</v>
      </c>
      <c r="AV33" t="s">
        <v>1907</v>
      </c>
    </row>
    <row r="34" spans="1:48" x14ac:dyDescent="0.3">
      <c r="A34">
        <v>2023</v>
      </c>
      <c r="B34">
        <v>307</v>
      </c>
      <c r="C34">
        <v>110102109</v>
      </c>
      <c r="D34" s="5">
        <v>20</v>
      </c>
      <c r="E34" s="8" t="s">
        <v>111</v>
      </c>
      <c r="F34">
        <v>110102109</v>
      </c>
      <c r="G34" s="8" t="s">
        <v>112</v>
      </c>
      <c r="H34" t="s">
        <v>47</v>
      </c>
      <c r="I34" s="11">
        <v>8999529162</v>
      </c>
      <c r="J34" s="11">
        <v>8999529162</v>
      </c>
      <c r="K34" s="11">
        <v>1500000000</v>
      </c>
      <c r="L34" s="11">
        <v>0</v>
      </c>
      <c r="M34" s="11">
        <v>1500000000</v>
      </c>
      <c r="N34" s="11">
        <v>1500000000</v>
      </c>
      <c r="O34" s="11">
        <v>0</v>
      </c>
      <c r="P34" s="11">
        <v>10499529162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11106315100</v>
      </c>
      <c r="X34" s="11">
        <v>919866000</v>
      </c>
      <c r="Y34" s="17">
        <v>10186449100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11106315100</v>
      </c>
      <c r="AG34" s="11">
        <v>919866000</v>
      </c>
      <c r="AH34" s="12">
        <v>10186449100</v>
      </c>
      <c r="AI34" s="11">
        <v>10186449100</v>
      </c>
      <c r="AJ34" s="11">
        <v>0</v>
      </c>
      <c r="AK34" s="11">
        <v>0</v>
      </c>
      <c r="AL34" s="11">
        <v>10186449100</v>
      </c>
      <c r="AM34" s="11">
        <v>11106315100</v>
      </c>
      <c r="AN34" s="11">
        <v>919866000</v>
      </c>
      <c r="AO34" s="11">
        <v>11106315100</v>
      </c>
      <c r="AP34" s="11">
        <v>0</v>
      </c>
      <c r="AQ34" s="11">
        <v>919866000</v>
      </c>
      <c r="AR34" t="s">
        <v>57</v>
      </c>
      <c r="AS34" s="4" t="str">
        <f t="shared" si="8"/>
        <v xml:space="preserve">Sobretasa a la gasolina </v>
      </c>
      <c r="AT34" t="str">
        <f t="shared" si="9"/>
        <v>20Sobretasa a la gasolina 10186449100</v>
      </c>
      <c r="AU34" t="str">
        <f>+_xlfn.XLOOKUP(AT34,CRUCE!K:K,CRUCE!M:M)</f>
        <v>READY</v>
      </c>
      <c r="AV34" t="s">
        <v>1907</v>
      </c>
    </row>
    <row r="35" spans="1:48" x14ac:dyDescent="0.3">
      <c r="A35">
        <v>2023</v>
      </c>
      <c r="B35">
        <v>307</v>
      </c>
      <c r="C35">
        <v>110102218</v>
      </c>
      <c r="D35" s="5">
        <v>190</v>
      </c>
      <c r="E35" s="8" t="s">
        <v>1317</v>
      </c>
      <c r="F35">
        <v>110102218</v>
      </c>
      <c r="G35" s="8" t="s">
        <v>1318</v>
      </c>
      <c r="H35" t="s">
        <v>47</v>
      </c>
      <c r="I35" s="11">
        <v>3750000000</v>
      </c>
      <c r="J35" s="11">
        <v>3750000000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3750000000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5949439621.7399998</v>
      </c>
      <c r="X35" s="11">
        <v>326807600</v>
      </c>
      <c r="Y35" s="17">
        <v>5622632021.7399998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5949439621.7399998</v>
      </c>
      <c r="AG35" s="11">
        <v>326807600</v>
      </c>
      <c r="AH35" s="12">
        <v>5622632021.7399998</v>
      </c>
      <c r="AI35" s="11">
        <v>5622632021.7399998</v>
      </c>
      <c r="AJ35" s="11">
        <v>0</v>
      </c>
      <c r="AK35" s="11">
        <v>0</v>
      </c>
      <c r="AL35" s="11">
        <v>5622632021.7399998</v>
      </c>
      <c r="AM35" s="11">
        <v>5949439621.7399998</v>
      </c>
      <c r="AN35" s="11">
        <v>326807600</v>
      </c>
      <c r="AO35" s="11">
        <v>5949439621.7399998</v>
      </c>
      <c r="AP35" s="11">
        <v>0</v>
      </c>
      <c r="AQ35" s="11">
        <v>326807600</v>
      </c>
      <c r="AR35" t="s">
        <v>182</v>
      </c>
      <c r="AS35" s="4" t="str">
        <f t="shared" si="8"/>
        <v>Tasa prodeporte y recreación</v>
      </c>
      <c r="AT35" t="str">
        <f t="shared" si="9"/>
        <v>190Tasa prodeporte y recreación5622632021,74</v>
      </c>
      <c r="AU35" t="str">
        <f>+_xlfn.XLOOKUP(AT35,CRUCE!K:K,CRUCE!M:M)</f>
        <v>READY</v>
      </c>
      <c r="AV35" t="s">
        <v>1907</v>
      </c>
    </row>
    <row r="36" spans="1:48" hidden="1" x14ac:dyDescent="0.3">
      <c r="A36">
        <v>2023</v>
      </c>
      <c r="B36">
        <v>307</v>
      </c>
      <c r="C36">
        <v>110102300</v>
      </c>
      <c r="D36" s="5" t="s">
        <v>44</v>
      </c>
      <c r="E36" s="8" t="s">
        <v>116</v>
      </c>
      <c r="F36">
        <v>110102300</v>
      </c>
      <c r="G36" s="8" t="s">
        <v>117</v>
      </c>
      <c r="H36" t="s">
        <v>47</v>
      </c>
      <c r="I36" s="11">
        <v>31017020332</v>
      </c>
      <c r="J36" s="11">
        <v>31017020332</v>
      </c>
      <c r="K36" s="11">
        <v>11700000000</v>
      </c>
      <c r="L36" s="11">
        <v>0</v>
      </c>
      <c r="M36" s="11">
        <v>11700000000</v>
      </c>
      <c r="N36" s="11">
        <v>11700000000</v>
      </c>
      <c r="O36" s="11">
        <v>0</v>
      </c>
      <c r="P36" s="11">
        <v>42717020332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46429997352.669998</v>
      </c>
      <c r="X36" s="11">
        <v>2115701386.0799999</v>
      </c>
      <c r="Y36" s="17">
        <v>44314295966.589996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46429997352.669998</v>
      </c>
      <c r="AG36" s="11">
        <v>2115701386.0799999</v>
      </c>
      <c r="AH36" s="12">
        <v>44314295966.589996</v>
      </c>
      <c r="AI36" s="11">
        <v>44314295966.589996</v>
      </c>
      <c r="AJ36" s="11">
        <v>2693900</v>
      </c>
      <c r="AK36" s="11">
        <v>2693900</v>
      </c>
      <c r="AL36" s="11">
        <v>44311857866.589996</v>
      </c>
      <c r="AM36" s="11">
        <v>46426949652.669998</v>
      </c>
      <c r="AN36" s="11">
        <v>2115091786.0799999</v>
      </c>
      <c r="AO36" s="11">
        <v>46426949652.669998</v>
      </c>
      <c r="AP36" s="11">
        <v>0</v>
      </c>
      <c r="AQ36" s="11">
        <v>2115091786.0799999</v>
      </c>
      <c r="AR36" t="s">
        <v>48</v>
      </c>
      <c r="AS36"/>
    </row>
    <row r="37" spans="1:48" hidden="1" x14ac:dyDescent="0.3">
      <c r="A37">
        <v>2023</v>
      </c>
      <c r="B37">
        <v>307</v>
      </c>
      <c r="C37">
        <v>11010230001</v>
      </c>
      <c r="D37" s="5" t="s">
        <v>44</v>
      </c>
      <c r="E37" s="8" t="s">
        <v>1048</v>
      </c>
      <c r="F37">
        <v>11010230001</v>
      </c>
      <c r="G37" s="8" t="s">
        <v>119</v>
      </c>
      <c r="H37" t="s">
        <v>47</v>
      </c>
      <c r="I37" s="11">
        <v>5507579280</v>
      </c>
      <c r="J37" s="11">
        <v>5507579280</v>
      </c>
      <c r="K37" s="11">
        <v>5200000000</v>
      </c>
      <c r="L37" s="11">
        <v>0</v>
      </c>
      <c r="M37" s="11">
        <v>5200000000</v>
      </c>
      <c r="N37" s="11">
        <v>5200000000</v>
      </c>
      <c r="O37" s="11">
        <v>0</v>
      </c>
      <c r="P37" s="11">
        <v>10707579280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8703755803.0300007</v>
      </c>
      <c r="X37" s="11">
        <v>185410415</v>
      </c>
      <c r="Y37" s="17">
        <v>8518345388.0299997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8703755803.0300007</v>
      </c>
      <c r="AG37" s="11">
        <v>185410415</v>
      </c>
      <c r="AH37" s="12">
        <v>8518345388.0299997</v>
      </c>
      <c r="AI37" s="11">
        <v>8518345388.0299997</v>
      </c>
      <c r="AJ37" s="11">
        <v>0</v>
      </c>
      <c r="AK37" s="11">
        <v>0</v>
      </c>
      <c r="AL37" s="11">
        <v>8518345388.0299997</v>
      </c>
      <c r="AM37" s="11">
        <v>8703755803.0300007</v>
      </c>
      <c r="AN37" s="11">
        <v>185410415</v>
      </c>
      <c r="AO37" s="11">
        <v>8703755803.0300007</v>
      </c>
      <c r="AP37" s="11">
        <v>0</v>
      </c>
      <c r="AQ37" s="11">
        <v>185410415</v>
      </c>
      <c r="AR37" t="s">
        <v>48</v>
      </c>
      <c r="AS37"/>
    </row>
    <row r="38" spans="1:48" x14ac:dyDescent="0.3">
      <c r="A38">
        <v>2023</v>
      </c>
      <c r="B38">
        <v>307</v>
      </c>
      <c r="C38">
        <v>1101023000101</v>
      </c>
      <c r="D38" s="5">
        <v>6</v>
      </c>
      <c r="E38" s="8" t="s">
        <v>1049</v>
      </c>
      <c r="F38">
        <v>1101023000101</v>
      </c>
      <c r="G38" s="8" t="s">
        <v>1050</v>
      </c>
      <c r="H38" t="s">
        <v>47</v>
      </c>
      <c r="I38" s="11">
        <v>4406063424</v>
      </c>
      <c r="J38" s="11">
        <v>4406063424</v>
      </c>
      <c r="K38" s="11">
        <v>4160000000</v>
      </c>
      <c r="L38" s="11">
        <v>0</v>
      </c>
      <c r="M38" s="11">
        <v>4160000000</v>
      </c>
      <c r="N38" s="11">
        <v>4160000000</v>
      </c>
      <c r="O38" s="11">
        <v>0</v>
      </c>
      <c r="P38" s="11">
        <v>8566063424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6963034942.4300003</v>
      </c>
      <c r="X38" s="11">
        <v>148328332</v>
      </c>
      <c r="Y38" s="17">
        <v>6814706610.4300003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6963034942.4300003</v>
      </c>
      <c r="AG38" s="11">
        <v>148328332</v>
      </c>
      <c r="AH38" s="12">
        <v>6814706610.4300003</v>
      </c>
      <c r="AI38" s="11">
        <v>6814706610.4300003</v>
      </c>
      <c r="AJ38" s="11">
        <v>0</v>
      </c>
      <c r="AK38" s="11">
        <v>0</v>
      </c>
      <c r="AL38" s="11">
        <v>6814706610.4300003</v>
      </c>
      <c r="AM38" s="11">
        <v>6963034942.4300003</v>
      </c>
      <c r="AN38" s="11">
        <v>148328332</v>
      </c>
      <c r="AO38" s="11">
        <v>6963034942.4300003</v>
      </c>
      <c r="AP38" s="11">
        <v>0</v>
      </c>
      <c r="AQ38" s="11">
        <v>148328332</v>
      </c>
      <c r="AR38" t="s">
        <v>120</v>
      </c>
      <c r="AS38" s="4" t="str">
        <f t="shared" ref="AS38:AS39" si="10">+G38</f>
        <v>Estampilla para el bienestar del adulto mayor (80% Inversion)</v>
      </c>
      <c r="AT38" t="str">
        <f t="shared" ref="AT38:AT39" si="11">+D38&amp;AS38&amp;Y38</f>
        <v>6Estampilla para el bienestar del adulto mayor (80% Inversion)6814706610,43</v>
      </c>
      <c r="AU38" t="str">
        <f>+_xlfn.XLOOKUP(AT38,CRUCE!K:K,CRUCE!M:M)</f>
        <v>READY</v>
      </c>
      <c r="AV38" t="s">
        <v>1907</v>
      </c>
    </row>
    <row r="39" spans="1:48" x14ac:dyDescent="0.3">
      <c r="A39">
        <v>2023</v>
      </c>
      <c r="B39">
        <v>307</v>
      </c>
      <c r="C39">
        <v>1101023000102</v>
      </c>
      <c r="D39" s="5">
        <v>178</v>
      </c>
      <c r="E39" s="8" t="s">
        <v>1051</v>
      </c>
      <c r="F39">
        <v>1101023000102</v>
      </c>
      <c r="G39" s="8" t="s">
        <v>1052</v>
      </c>
      <c r="H39" t="s">
        <v>47</v>
      </c>
      <c r="I39" s="11">
        <v>1101515856</v>
      </c>
      <c r="J39" s="11">
        <v>1101515856</v>
      </c>
      <c r="K39" s="11">
        <v>1040000000</v>
      </c>
      <c r="L39" s="11">
        <v>0</v>
      </c>
      <c r="M39" s="11">
        <v>1040000000</v>
      </c>
      <c r="N39" s="11">
        <v>1040000000</v>
      </c>
      <c r="O39" s="11">
        <v>0</v>
      </c>
      <c r="P39" s="11">
        <v>2141515856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1740720860.5999999</v>
      </c>
      <c r="X39" s="11">
        <v>37082083</v>
      </c>
      <c r="Y39" s="17">
        <v>1703638777.5999999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1740720860.5999999</v>
      </c>
      <c r="AG39" s="11">
        <v>37082083</v>
      </c>
      <c r="AH39" s="12">
        <v>1703638777.5999999</v>
      </c>
      <c r="AI39" s="11">
        <v>1703638777.5999999</v>
      </c>
      <c r="AJ39" s="11">
        <v>0</v>
      </c>
      <c r="AK39" s="11">
        <v>0</v>
      </c>
      <c r="AL39" s="11">
        <v>1703638777.5999999</v>
      </c>
      <c r="AM39" s="11">
        <v>1740720860.5999999</v>
      </c>
      <c r="AN39" s="11">
        <v>37082083</v>
      </c>
      <c r="AO39" s="11">
        <v>1740720860.5999999</v>
      </c>
      <c r="AP39" s="11">
        <v>0</v>
      </c>
      <c r="AQ39" s="11">
        <v>37082083</v>
      </c>
      <c r="AR39" t="s">
        <v>122</v>
      </c>
      <c r="AS39" s="4" t="str">
        <f t="shared" si="10"/>
        <v>Estampilla para el bienestar del adulto mayor (20% Pensiones)</v>
      </c>
      <c r="AT39" t="str">
        <f t="shared" si="11"/>
        <v>178Estampilla para el bienestar del adulto mayor (20% Pensiones)1703638777,6</v>
      </c>
      <c r="AU39" t="str">
        <f>+_xlfn.XLOOKUP(AT39,CRUCE!K:K,CRUCE!M:M)</f>
        <v>READY</v>
      </c>
      <c r="AV39" t="s">
        <v>1907</v>
      </c>
    </row>
    <row r="40" spans="1:48" hidden="1" x14ac:dyDescent="0.3">
      <c r="A40">
        <v>2023</v>
      </c>
      <c r="B40">
        <v>307</v>
      </c>
      <c r="C40">
        <v>11010230002</v>
      </c>
      <c r="D40" s="5" t="s">
        <v>44</v>
      </c>
      <c r="E40" s="8" t="s">
        <v>1053</v>
      </c>
      <c r="F40">
        <v>11010230002</v>
      </c>
      <c r="G40" s="8" t="s">
        <v>124</v>
      </c>
      <c r="H40" t="s">
        <v>47</v>
      </c>
      <c r="I40" s="11">
        <v>10529744160</v>
      </c>
      <c r="J40" s="11">
        <v>10529744160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10529744160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14537421868.73</v>
      </c>
      <c r="X40" s="11">
        <v>717683495.82000005</v>
      </c>
      <c r="Y40" s="17">
        <v>13819738372.91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14537421868.73</v>
      </c>
      <c r="AG40" s="11">
        <v>717683495.82000005</v>
      </c>
      <c r="AH40" s="12">
        <v>13819738372.91</v>
      </c>
      <c r="AI40" s="11">
        <v>13819738372.91</v>
      </c>
      <c r="AJ40" s="11">
        <v>2693900</v>
      </c>
      <c r="AK40" s="11">
        <v>2693900</v>
      </c>
      <c r="AL40" s="11">
        <v>13817300272.91</v>
      </c>
      <c r="AM40" s="11">
        <v>14534374168.73</v>
      </c>
      <c r="AN40" s="11">
        <v>717073895.82000005</v>
      </c>
      <c r="AO40" s="11">
        <v>14534374168.73</v>
      </c>
      <c r="AP40" s="11">
        <v>0</v>
      </c>
      <c r="AQ40" s="11">
        <v>717073895.82000005</v>
      </c>
      <c r="AR40" t="s">
        <v>48</v>
      </c>
      <c r="AS40"/>
    </row>
    <row r="41" spans="1:48" x14ac:dyDescent="0.3">
      <c r="A41">
        <v>2023</v>
      </c>
      <c r="B41">
        <v>307</v>
      </c>
      <c r="C41">
        <v>1101023000201</v>
      </c>
      <c r="D41" s="5">
        <v>4</v>
      </c>
      <c r="E41" s="8" t="s">
        <v>1054</v>
      </c>
      <c r="F41">
        <v>1101023000201</v>
      </c>
      <c r="G41" s="8" t="s">
        <v>1055</v>
      </c>
      <c r="H41" t="s">
        <v>47</v>
      </c>
      <c r="I41" s="11">
        <v>5264872080</v>
      </c>
      <c r="J41" s="11">
        <v>5264872080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5264872080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7267674364.3699999</v>
      </c>
      <c r="X41" s="11">
        <v>358844247.91000003</v>
      </c>
      <c r="Y41" s="17">
        <v>6908830116.46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7267674364.3699999</v>
      </c>
      <c r="AG41" s="11">
        <v>358844247.91000003</v>
      </c>
      <c r="AH41" s="12">
        <v>6908830116.46</v>
      </c>
      <c r="AI41" s="11">
        <v>6908830116.46</v>
      </c>
      <c r="AJ41" s="11">
        <v>1346950</v>
      </c>
      <c r="AK41" s="11">
        <v>1346950</v>
      </c>
      <c r="AL41" s="11">
        <v>6907611066.46</v>
      </c>
      <c r="AM41" s="11">
        <v>7266150514.3699999</v>
      </c>
      <c r="AN41" s="11">
        <v>358539447.91000003</v>
      </c>
      <c r="AO41" s="11">
        <v>7266150514.3699999</v>
      </c>
      <c r="AP41" s="11">
        <v>0</v>
      </c>
      <c r="AQ41" s="11">
        <v>358539447.91000003</v>
      </c>
      <c r="AR41" t="s">
        <v>125</v>
      </c>
      <c r="AS41" s="4" t="str">
        <f t="shared" ref="AS41:AS46" si="12">+G41</f>
        <v>Estampilla pro desarrollo departamental (50% inversion)</v>
      </c>
      <c r="AT41" t="str">
        <f t="shared" ref="AT41:AT46" si="13">+D41&amp;AS41&amp;Y41</f>
        <v>4Estampilla pro desarrollo departamental (50% inversion)6908830116,46</v>
      </c>
      <c r="AU41" t="str">
        <f>+_xlfn.XLOOKUP(AT41,CRUCE!K:K,CRUCE!M:M)</f>
        <v>READY</v>
      </c>
      <c r="AV41" t="s">
        <v>1907</v>
      </c>
    </row>
    <row r="42" spans="1:48" x14ac:dyDescent="0.3">
      <c r="A42">
        <v>2023</v>
      </c>
      <c r="B42">
        <v>307</v>
      </c>
      <c r="C42">
        <v>1101023000202</v>
      </c>
      <c r="D42" s="5">
        <v>176</v>
      </c>
      <c r="E42" s="8" t="s">
        <v>1056</v>
      </c>
      <c r="F42">
        <v>1101023000202</v>
      </c>
      <c r="G42" s="8" t="s">
        <v>1057</v>
      </c>
      <c r="H42" t="s">
        <v>47</v>
      </c>
      <c r="I42" s="11">
        <v>2105948832</v>
      </c>
      <c r="J42" s="11">
        <v>2105948832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2105948832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2908964818.7399998</v>
      </c>
      <c r="X42" s="11">
        <v>143667584.16</v>
      </c>
      <c r="Y42" s="17">
        <v>2765297234.5799999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2908964818.7399998</v>
      </c>
      <c r="AG42" s="11">
        <v>143667584.16</v>
      </c>
      <c r="AH42" s="12">
        <v>2765297234.5799999</v>
      </c>
      <c r="AI42" s="11">
        <v>2765297234.5799999</v>
      </c>
      <c r="AJ42" s="11">
        <v>538780</v>
      </c>
      <c r="AK42" s="11">
        <v>538780</v>
      </c>
      <c r="AL42" s="11">
        <v>2764809614.5799999</v>
      </c>
      <c r="AM42" s="11">
        <v>2908355278.7399998</v>
      </c>
      <c r="AN42" s="11">
        <v>143545664.16</v>
      </c>
      <c r="AO42" s="11">
        <v>2908355278.7399998</v>
      </c>
      <c r="AP42" s="11">
        <v>0</v>
      </c>
      <c r="AQ42" s="11">
        <v>143545664.16</v>
      </c>
      <c r="AR42" t="s">
        <v>127</v>
      </c>
      <c r="AS42" s="4" t="str">
        <f t="shared" si="12"/>
        <v>Estampilla pro desarrollo departamental (20% Pension)</v>
      </c>
      <c r="AT42" t="str">
        <f t="shared" si="13"/>
        <v>176Estampilla pro desarrollo departamental (20% Pension)2765297234,58</v>
      </c>
      <c r="AU42" t="str">
        <f>+_xlfn.XLOOKUP(AT42,CRUCE!K:K,CRUCE!M:M)</f>
        <v>READY</v>
      </c>
      <c r="AV42" t="s">
        <v>1907</v>
      </c>
    </row>
    <row r="43" spans="1:48" x14ac:dyDescent="0.3">
      <c r="A43">
        <v>2023</v>
      </c>
      <c r="B43">
        <v>307</v>
      </c>
      <c r="C43">
        <v>1101023000203</v>
      </c>
      <c r="D43" s="5">
        <v>177</v>
      </c>
      <c r="E43" s="8" t="s">
        <v>1058</v>
      </c>
      <c r="F43">
        <v>1101023000203</v>
      </c>
      <c r="G43" s="8" t="s">
        <v>1059</v>
      </c>
      <c r="H43" t="s">
        <v>47</v>
      </c>
      <c r="I43" s="11">
        <v>3158923248</v>
      </c>
      <c r="J43" s="11">
        <v>3158923248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3158923248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4360782685.6199999</v>
      </c>
      <c r="X43" s="11">
        <v>215171663.75</v>
      </c>
      <c r="Y43" s="17">
        <v>4145611021.8699999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4360782685.6199999</v>
      </c>
      <c r="AG43" s="11">
        <v>215171663.75</v>
      </c>
      <c r="AH43" s="12">
        <v>4145611021.8699999</v>
      </c>
      <c r="AI43" s="11">
        <v>4145611021.8699999</v>
      </c>
      <c r="AJ43" s="11">
        <v>808170</v>
      </c>
      <c r="AK43" s="11">
        <v>808170</v>
      </c>
      <c r="AL43" s="11">
        <v>4144879591.8699999</v>
      </c>
      <c r="AM43" s="11">
        <v>4359868375.6199999</v>
      </c>
      <c r="AN43" s="11">
        <v>214988783.75</v>
      </c>
      <c r="AO43" s="11">
        <v>4359868375.6199999</v>
      </c>
      <c r="AP43" s="11">
        <v>0</v>
      </c>
      <c r="AQ43" s="11">
        <v>214988783.75</v>
      </c>
      <c r="AR43" t="s">
        <v>129</v>
      </c>
      <c r="AS43" s="4" t="str">
        <f t="shared" si="12"/>
        <v>Estampilla pro desarrollo departamental (30% Proyecta)</v>
      </c>
      <c r="AT43" t="str">
        <f t="shared" si="13"/>
        <v>177Estampilla pro desarrollo departamental (30% Proyecta)4145611021,87</v>
      </c>
      <c r="AU43" t="str">
        <f>+_xlfn.XLOOKUP(AT43,CRUCE!K:K,CRUCE!M:M)</f>
        <v>READY</v>
      </c>
      <c r="AV43" t="s">
        <v>1907</v>
      </c>
    </row>
    <row r="44" spans="1:48" x14ac:dyDescent="0.3">
      <c r="A44">
        <v>2023</v>
      </c>
      <c r="B44">
        <v>307</v>
      </c>
      <c r="C44">
        <v>11010230018</v>
      </c>
      <c r="D44" s="5">
        <v>20</v>
      </c>
      <c r="E44" s="8" t="s">
        <v>1319</v>
      </c>
      <c r="F44">
        <v>11010230018</v>
      </c>
      <c r="G44" s="8" t="s">
        <v>1320</v>
      </c>
      <c r="H44" t="s">
        <v>47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7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2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t="s">
        <v>57</v>
      </c>
      <c r="AS44" s="4" t="str">
        <f t="shared" si="12"/>
        <v>Estampilla Universidad de los Llanos</v>
      </c>
      <c r="AT44" t="str">
        <f t="shared" si="13"/>
        <v>20Estampilla Universidad de los Llanos0</v>
      </c>
      <c r="AU44" t="str">
        <f>+_xlfn.XLOOKUP(AT44,CRUCE!K:K,CRUCE!M:M)</f>
        <v>READY</v>
      </c>
      <c r="AV44" t="s">
        <v>1907</v>
      </c>
    </row>
    <row r="45" spans="1:48" x14ac:dyDescent="0.3">
      <c r="A45">
        <v>2023</v>
      </c>
      <c r="B45">
        <v>307</v>
      </c>
      <c r="C45">
        <v>11010230024</v>
      </c>
      <c r="D45" s="5">
        <v>7</v>
      </c>
      <c r="E45" s="8" t="s">
        <v>1321</v>
      </c>
      <c r="F45">
        <v>11010230024</v>
      </c>
      <c r="G45" s="8" t="s">
        <v>1322</v>
      </c>
      <c r="H45" t="s">
        <v>47</v>
      </c>
      <c r="I45" s="11">
        <v>1114695320</v>
      </c>
      <c r="J45" s="11">
        <v>1114695320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1114695320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83430200</v>
      </c>
      <c r="X45" s="11">
        <v>453100</v>
      </c>
      <c r="Y45" s="17">
        <v>82977100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83430200</v>
      </c>
      <c r="AG45" s="11">
        <v>453100</v>
      </c>
      <c r="AH45" s="12">
        <v>82977100</v>
      </c>
      <c r="AI45" s="11">
        <v>82977100</v>
      </c>
      <c r="AJ45" s="11">
        <v>0</v>
      </c>
      <c r="AK45" s="11">
        <v>0</v>
      </c>
      <c r="AL45" s="11">
        <v>82977100</v>
      </c>
      <c r="AM45" s="11">
        <v>83430200</v>
      </c>
      <c r="AN45" s="11">
        <v>453100</v>
      </c>
      <c r="AO45" s="11">
        <v>83430200</v>
      </c>
      <c r="AP45" s="11">
        <v>0</v>
      </c>
      <c r="AQ45" s="11">
        <v>453100</v>
      </c>
      <c r="AR45" t="s">
        <v>1323</v>
      </c>
      <c r="AS45" s="4" t="str">
        <f t="shared" si="12"/>
        <v>Estampilla pro Universidad del Quindío</v>
      </c>
      <c r="AT45" t="str">
        <f t="shared" si="13"/>
        <v>7Estampilla pro Universidad del Quindío82977100</v>
      </c>
      <c r="AU45" t="str">
        <f>+_xlfn.XLOOKUP(AT45,CRUCE!K:K,CRUCE!M:M)</f>
        <v>READY</v>
      </c>
      <c r="AV45" t="s">
        <v>1907</v>
      </c>
    </row>
    <row r="46" spans="1:48" x14ac:dyDescent="0.3">
      <c r="A46">
        <v>2023</v>
      </c>
      <c r="B46">
        <v>307</v>
      </c>
      <c r="C46">
        <v>11010230045</v>
      </c>
      <c r="D46" s="5">
        <v>8</v>
      </c>
      <c r="E46" s="8" t="s">
        <v>130</v>
      </c>
      <c r="F46">
        <v>11010230045</v>
      </c>
      <c r="G46" s="8" t="s">
        <v>131</v>
      </c>
      <c r="H46" t="s">
        <v>47</v>
      </c>
      <c r="I46" s="11">
        <v>11369530092</v>
      </c>
      <c r="J46" s="11">
        <v>11369530092</v>
      </c>
      <c r="K46" s="11">
        <v>6500000000</v>
      </c>
      <c r="L46" s="11">
        <v>0</v>
      </c>
      <c r="M46" s="11">
        <v>6500000000</v>
      </c>
      <c r="N46" s="11">
        <v>6500000000</v>
      </c>
      <c r="O46" s="11">
        <v>0</v>
      </c>
      <c r="P46" s="11">
        <v>17869530092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19220014889.27</v>
      </c>
      <c r="X46" s="11">
        <v>767126960.25999999</v>
      </c>
      <c r="Y46" s="17">
        <v>18452887929.009998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19220014889.27</v>
      </c>
      <c r="AG46" s="11">
        <v>767126960.25999999</v>
      </c>
      <c r="AH46" s="12">
        <v>18452887929.009998</v>
      </c>
      <c r="AI46" s="11">
        <v>18452887929.009998</v>
      </c>
      <c r="AJ46" s="11">
        <v>0</v>
      </c>
      <c r="AK46" s="11">
        <v>0</v>
      </c>
      <c r="AL46" s="11">
        <v>18452887929.009998</v>
      </c>
      <c r="AM46" s="11">
        <v>19220014889.27</v>
      </c>
      <c r="AN46" s="11">
        <v>767126960.25999999</v>
      </c>
      <c r="AO46" s="11">
        <v>19220014889.27</v>
      </c>
      <c r="AP46" s="11">
        <v>0</v>
      </c>
      <c r="AQ46" s="11">
        <v>767126960.25999999</v>
      </c>
      <c r="AR46" t="s">
        <v>132</v>
      </c>
      <c r="AS46" s="4" t="str">
        <f t="shared" si="12"/>
        <v>Estampilla pro Hospital Departamental Universitario del Quindío San Juan de Dios</v>
      </c>
      <c r="AT46" t="str">
        <f t="shared" si="13"/>
        <v>8Estampilla pro Hospital Departamental Universitario del Quindío San Juan de Dios18452887929,01</v>
      </c>
      <c r="AU46" t="str">
        <f>+_xlfn.XLOOKUP(AT46,CRUCE!K:K,CRUCE!M:M)</f>
        <v>READY</v>
      </c>
      <c r="AV46" t="s">
        <v>1907</v>
      </c>
    </row>
    <row r="47" spans="1:48" hidden="1" x14ac:dyDescent="0.3">
      <c r="A47">
        <v>2023</v>
      </c>
      <c r="B47">
        <v>307</v>
      </c>
      <c r="C47">
        <v>11010230055</v>
      </c>
      <c r="D47" s="5" t="s">
        <v>44</v>
      </c>
      <c r="E47" s="8" t="s">
        <v>1060</v>
      </c>
      <c r="F47">
        <v>11010230055</v>
      </c>
      <c r="G47" s="8" t="s">
        <v>134</v>
      </c>
      <c r="H47" t="s">
        <v>47</v>
      </c>
      <c r="I47" s="11">
        <v>2495471480</v>
      </c>
      <c r="J47" s="11">
        <v>2495471480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2495471480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3885374591.6399999</v>
      </c>
      <c r="X47" s="11">
        <v>445027415</v>
      </c>
      <c r="Y47" s="17">
        <v>3440347176.6399999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3885374591.6399999</v>
      </c>
      <c r="AG47" s="11">
        <v>445027415</v>
      </c>
      <c r="AH47" s="12">
        <v>3440347176.6399999</v>
      </c>
      <c r="AI47" s="11">
        <v>3440347176.6399999</v>
      </c>
      <c r="AJ47" s="11">
        <v>0</v>
      </c>
      <c r="AK47" s="11">
        <v>0</v>
      </c>
      <c r="AL47" s="11">
        <v>3440347176.6399999</v>
      </c>
      <c r="AM47" s="11">
        <v>3885374591.6399999</v>
      </c>
      <c r="AN47" s="11">
        <v>445027415</v>
      </c>
      <c r="AO47" s="11">
        <v>3885374591.6399999</v>
      </c>
      <c r="AP47" s="11">
        <v>0</v>
      </c>
      <c r="AQ47" s="11">
        <v>445027415</v>
      </c>
      <c r="AR47" t="s">
        <v>48</v>
      </c>
      <c r="AS47"/>
    </row>
    <row r="48" spans="1:48" x14ac:dyDescent="0.3">
      <c r="A48">
        <v>2023</v>
      </c>
      <c r="B48">
        <v>307</v>
      </c>
      <c r="C48">
        <v>1101023005501</v>
      </c>
      <c r="D48" s="5">
        <v>5</v>
      </c>
      <c r="E48" s="8" t="s">
        <v>1061</v>
      </c>
      <c r="F48">
        <v>1101023005501</v>
      </c>
      <c r="G48" s="8" t="s">
        <v>1062</v>
      </c>
      <c r="H48" t="s">
        <v>47</v>
      </c>
      <c r="I48" s="11">
        <v>499094296</v>
      </c>
      <c r="J48" s="11">
        <v>499094296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499094296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777084918.36000001</v>
      </c>
      <c r="X48" s="11">
        <v>89005483</v>
      </c>
      <c r="Y48" s="17">
        <v>688079435.36000001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777084918.36000001</v>
      </c>
      <c r="AG48" s="11">
        <v>89005483</v>
      </c>
      <c r="AH48" s="12">
        <v>688079435.36000001</v>
      </c>
      <c r="AI48" s="11">
        <v>688079435.36000001</v>
      </c>
      <c r="AJ48" s="11">
        <v>0</v>
      </c>
      <c r="AK48" s="11">
        <v>0</v>
      </c>
      <c r="AL48" s="11">
        <v>688079435.36000001</v>
      </c>
      <c r="AM48" s="11">
        <v>777084918.36000001</v>
      </c>
      <c r="AN48" s="11">
        <v>89005483</v>
      </c>
      <c r="AO48" s="11">
        <v>777084918.36000001</v>
      </c>
      <c r="AP48" s="11">
        <v>0</v>
      </c>
      <c r="AQ48" s="11">
        <v>89005483</v>
      </c>
      <c r="AR48" t="s">
        <v>135</v>
      </c>
      <c r="AS48" s="4" t="str">
        <f t="shared" ref="AS48:AS52" si="14">+G48</f>
        <v>Estampilla pro cultura (20% Pensiones)</v>
      </c>
      <c r="AT48" t="str">
        <f t="shared" ref="AT48:AT52" si="15">+D48&amp;AS48&amp;Y48</f>
        <v>5Estampilla pro cultura (20% Pensiones)688079435,36</v>
      </c>
      <c r="AU48" t="str">
        <f>+_xlfn.XLOOKUP(AT48,CRUCE!K:K,CRUCE!M:M)</f>
        <v>READY</v>
      </c>
      <c r="AV48" t="s">
        <v>1907</v>
      </c>
    </row>
    <row r="49" spans="1:48" x14ac:dyDescent="0.3">
      <c r="A49">
        <v>2023</v>
      </c>
      <c r="B49">
        <v>307</v>
      </c>
      <c r="C49">
        <v>1101023005502</v>
      </c>
      <c r="D49" s="5">
        <v>33</v>
      </c>
      <c r="E49" s="8" t="s">
        <v>1063</v>
      </c>
      <c r="F49">
        <v>1101023005502</v>
      </c>
      <c r="G49" s="8" t="s">
        <v>1064</v>
      </c>
      <c r="H49" t="s">
        <v>47</v>
      </c>
      <c r="I49" s="11">
        <v>249547148</v>
      </c>
      <c r="J49" s="11">
        <v>249547148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249547148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388537459.14999998</v>
      </c>
      <c r="X49" s="11">
        <v>44502741.5</v>
      </c>
      <c r="Y49" s="17">
        <v>344034717.64999998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388537459.14999998</v>
      </c>
      <c r="AG49" s="11">
        <v>44502741.5</v>
      </c>
      <c r="AH49" s="12">
        <v>344034717.64999998</v>
      </c>
      <c r="AI49" s="11">
        <v>344034717.64999998</v>
      </c>
      <c r="AJ49" s="11">
        <v>0</v>
      </c>
      <c r="AK49" s="11">
        <v>0</v>
      </c>
      <c r="AL49" s="11">
        <v>344034717.64999998</v>
      </c>
      <c r="AM49" s="11">
        <v>388537459.14999998</v>
      </c>
      <c r="AN49" s="11">
        <v>44502741.5</v>
      </c>
      <c r="AO49" s="11">
        <v>388537459.14999998</v>
      </c>
      <c r="AP49" s="11">
        <v>0</v>
      </c>
      <c r="AQ49" s="11">
        <v>44502741.5</v>
      </c>
      <c r="AR49" t="s">
        <v>137</v>
      </c>
      <c r="AS49" s="4" t="str">
        <f t="shared" si="14"/>
        <v>Estampilla pro cultura (10% Seguridad Social Artista)</v>
      </c>
      <c r="AT49" t="str">
        <f t="shared" si="15"/>
        <v>33Estampilla pro cultura (10% Seguridad Social Artista)344034717,65</v>
      </c>
      <c r="AU49" t="str">
        <f>+_xlfn.XLOOKUP(AT49,CRUCE!K:K,CRUCE!M:M)</f>
        <v>READY</v>
      </c>
      <c r="AV49" t="s">
        <v>1907</v>
      </c>
    </row>
    <row r="50" spans="1:48" x14ac:dyDescent="0.3">
      <c r="A50">
        <v>2023</v>
      </c>
      <c r="B50">
        <v>307</v>
      </c>
      <c r="C50">
        <v>1101023005503</v>
      </c>
      <c r="D50" s="5">
        <v>34</v>
      </c>
      <c r="E50" s="8" t="s">
        <v>1065</v>
      </c>
      <c r="F50">
        <v>1101023005503</v>
      </c>
      <c r="G50" s="8" t="s">
        <v>1066</v>
      </c>
      <c r="H50" t="s">
        <v>47</v>
      </c>
      <c r="I50" s="11">
        <v>249547148</v>
      </c>
      <c r="J50" s="11">
        <v>249547148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249547148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388543299.16000003</v>
      </c>
      <c r="X50" s="11">
        <v>44502741.5</v>
      </c>
      <c r="Y50" s="17">
        <v>344040557.66000003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388543299.16000003</v>
      </c>
      <c r="AG50" s="11">
        <v>44502741.5</v>
      </c>
      <c r="AH50" s="12">
        <v>344040557.66000003</v>
      </c>
      <c r="AI50" s="11">
        <v>344040557.66000003</v>
      </c>
      <c r="AJ50" s="11">
        <v>0</v>
      </c>
      <c r="AK50" s="11">
        <v>0</v>
      </c>
      <c r="AL50" s="11">
        <v>344040557.66000003</v>
      </c>
      <c r="AM50" s="11">
        <v>388543299.16000003</v>
      </c>
      <c r="AN50" s="11">
        <v>44502741.5</v>
      </c>
      <c r="AO50" s="11">
        <v>388543299.16000003</v>
      </c>
      <c r="AP50" s="11">
        <v>0</v>
      </c>
      <c r="AQ50" s="11">
        <v>44502741.5</v>
      </c>
      <c r="AR50" t="s">
        <v>139</v>
      </c>
      <c r="AS50" s="4" t="str">
        <f t="shared" si="14"/>
        <v>Estampilla pro cultura (10% Bibliotecas)</v>
      </c>
      <c r="AT50" t="str">
        <f t="shared" si="15"/>
        <v>34Estampilla pro cultura (10% Bibliotecas)344040557,66</v>
      </c>
      <c r="AU50" t="str">
        <f>+_xlfn.XLOOKUP(AT50,CRUCE!K:K,CRUCE!M:M)</f>
        <v>READY</v>
      </c>
      <c r="AV50" t="s">
        <v>1907</v>
      </c>
    </row>
    <row r="51" spans="1:48" x14ac:dyDescent="0.3">
      <c r="A51">
        <v>2023</v>
      </c>
      <c r="B51">
        <v>307</v>
      </c>
      <c r="C51">
        <v>1101023005504</v>
      </c>
      <c r="D51" s="5">
        <v>39</v>
      </c>
      <c r="E51" s="8" t="s">
        <v>1067</v>
      </c>
      <c r="F51">
        <v>1101023005504</v>
      </c>
      <c r="G51" s="8" t="s">
        <v>1068</v>
      </c>
      <c r="H51" t="s">
        <v>47</v>
      </c>
      <c r="I51" s="11">
        <v>1247735740</v>
      </c>
      <c r="J51" s="11">
        <v>1247735740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1247735740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1942671455.8800001</v>
      </c>
      <c r="X51" s="11">
        <v>222513707.5</v>
      </c>
      <c r="Y51" s="17">
        <v>1720157748.3800001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1942671455.8800001</v>
      </c>
      <c r="AG51" s="11">
        <v>222513707.5</v>
      </c>
      <c r="AH51" s="12">
        <v>1720157748.3800001</v>
      </c>
      <c r="AI51" s="11">
        <v>1720157748.3800001</v>
      </c>
      <c r="AJ51" s="11">
        <v>0</v>
      </c>
      <c r="AK51" s="11">
        <v>0</v>
      </c>
      <c r="AL51" s="11">
        <v>1720157748.3800001</v>
      </c>
      <c r="AM51" s="11">
        <v>1942671455.8800001</v>
      </c>
      <c r="AN51" s="11">
        <v>222513707.5</v>
      </c>
      <c r="AO51" s="11">
        <v>1942671455.8800001</v>
      </c>
      <c r="AP51" s="11">
        <v>0</v>
      </c>
      <c r="AQ51" s="11">
        <v>222513707.5</v>
      </c>
      <c r="AR51" t="s">
        <v>141</v>
      </c>
      <c r="AS51" s="4" t="str">
        <f t="shared" si="14"/>
        <v>Estampilla pro cultura (50% Concertacion)</v>
      </c>
      <c r="AT51" t="str">
        <f t="shared" si="15"/>
        <v>39Estampilla pro cultura (50% Concertacion)1720157748,38</v>
      </c>
      <c r="AU51" t="str">
        <f>+_xlfn.XLOOKUP(AT51,CRUCE!K:K,CRUCE!M:M)</f>
        <v>READY</v>
      </c>
      <c r="AV51" t="s">
        <v>1907</v>
      </c>
    </row>
    <row r="52" spans="1:48" x14ac:dyDescent="0.3">
      <c r="A52">
        <v>2023</v>
      </c>
      <c r="B52">
        <v>307</v>
      </c>
      <c r="C52">
        <v>1101023005505</v>
      </c>
      <c r="D52" s="5">
        <v>41</v>
      </c>
      <c r="E52" s="8" t="s">
        <v>1069</v>
      </c>
      <c r="F52">
        <v>1101023005505</v>
      </c>
      <c r="G52" s="8" t="s">
        <v>1070</v>
      </c>
      <c r="H52" t="s">
        <v>47</v>
      </c>
      <c r="I52" s="11">
        <v>249547148</v>
      </c>
      <c r="J52" s="11">
        <v>249547148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249547148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388537459.08999997</v>
      </c>
      <c r="X52" s="11">
        <v>44502741.5</v>
      </c>
      <c r="Y52" s="17">
        <v>344034717.58999997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388537459.08999997</v>
      </c>
      <c r="AG52" s="11">
        <v>44502741.5</v>
      </c>
      <c r="AH52" s="12">
        <v>344034717.58999997</v>
      </c>
      <c r="AI52" s="11">
        <v>344034717.58999997</v>
      </c>
      <c r="AJ52" s="11">
        <v>0</v>
      </c>
      <c r="AK52" s="11">
        <v>0</v>
      </c>
      <c r="AL52" s="11">
        <v>344034717.58999997</v>
      </c>
      <c r="AM52" s="11">
        <v>388537459.08999997</v>
      </c>
      <c r="AN52" s="11">
        <v>44502741.5</v>
      </c>
      <c r="AO52" s="11">
        <v>388537459.08999997</v>
      </c>
      <c r="AP52" s="11">
        <v>0</v>
      </c>
      <c r="AQ52" s="11">
        <v>44502741.5</v>
      </c>
      <c r="AR52" t="s">
        <v>143</v>
      </c>
      <c r="AS52" s="4" t="str">
        <f t="shared" si="14"/>
        <v>Estampilla pro cultura (10% Estimulos)</v>
      </c>
      <c r="AT52" t="str">
        <f t="shared" si="15"/>
        <v>41Estampilla pro cultura (10% Estimulos)344034717,59</v>
      </c>
      <c r="AU52" t="str">
        <f>+_xlfn.XLOOKUP(AT52,CRUCE!K:K,CRUCE!M:M)</f>
        <v>READY</v>
      </c>
      <c r="AV52" t="s">
        <v>1907</v>
      </c>
    </row>
    <row r="53" spans="1:48" hidden="1" x14ac:dyDescent="0.3">
      <c r="A53">
        <v>2023</v>
      </c>
      <c r="B53">
        <v>307</v>
      </c>
      <c r="C53">
        <v>1102</v>
      </c>
      <c r="D53" s="5" t="s">
        <v>44</v>
      </c>
      <c r="E53" s="8" t="s">
        <v>144</v>
      </c>
      <c r="F53">
        <v>1102</v>
      </c>
      <c r="G53" s="8" t="s">
        <v>145</v>
      </c>
      <c r="H53" t="s">
        <v>47</v>
      </c>
      <c r="I53" s="11">
        <v>37033580860.120003</v>
      </c>
      <c r="J53" s="11">
        <v>37033580860.120003</v>
      </c>
      <c r="K53" s="11">
        <v>7847224758</v>
      </c>
      <c r="L53" s="11">
        <v>634416390</v>
      </c>
      <c r="M53" s="11">
        <v>7212808368</v>
      </c>
      <c r="N53" s="11">
        <v>7847224758</v>
      </c>
      <c r="O53" s="11">
        <v>634416390</v>
      </c>
      <c r="P53" s="11">
        <v>44246389228.120003</v>
      </c>
      <c r="Q53" s="11">
        <v>18295925479.459999</v>
      </c>
      <c r="R53" s="11">
        <v>143485124.69</v>
      </c>
      <c r="S53" s="11">
        <v>18152440354.77</v>
      </c>
      <c r="T53" s="11">
        <v>0</v>
      </c>
      <c r="U53" s="11">
        <v>0</v>
      </c>
      <c r="V53" s="11">
        <v>0</v>
      </c>
      <c r="W53" s="11">
        <v>46624245912.940002</v>
      </c>
      <c r="X53" s="11">
        <v>992837415.90999997</v>
      </c>
      <c r="Y53" s="17">
        <v>45631408497.029999</v>
      </c>
      <c r="Z53" s="11">
        <v>18295925479.459999</v>
      </c>
      <c r="AA53" s="11">
        <v>143485124.69</v>
      </c>
      <c r="AB53" s="11">
        <v>18152440354.77</v>
      </c>
      <c r="AC53" s="11">
        <v>0</v>
      </c>
      <c r="AD53" s="11">
        <v>0</v>
      </c>
      <c r="AE53" s="11">
        <v>0</v>
      </c>
      <c r="AF53" s="11">
        <v>46624245912.940002</v>
      </c>
      <c r="AG53" s="11">
        <v>992837415.90999997</v>
      </c>
      <c r="AH53" s="12">
        <v>45631408497.029999</v>
      </c>
      <c r="AI53" s="11">
        <v>45631408497.029999</v>
      </c>
      <c r="AJ53" s="11">
        <v>5685504000</v>
      </c>
      <c r="AK53" s="11">
        <v>5685504000</v>
      </c>
      <c r="AL53" s="11">
        <v>39951724497.029999</v>
      </c>
      <c r="AM53" s="11">
        <v>40933101950.940002</v>
      </c>
      <c r="AN53" s="11">
        <v>981377453.90999997</v>
      </c>
      <c r="AO53" s="11">
        <v>40933101950.940002</v>
      </c>
      <c r="AP53" s="11">
        <v>0</v>
      </c>
      <c r="AQ53" s="11">
        <v>981377453.90999997</v>
      </c>
      <c r="AR53" t="s">
        <v>48</v>
      </c>
      <c r="AS53"/>
    </row>
    <row r="54" spans="1:48" hidden="1" x14ac:dyDescent="0.3">
      <c r="A54">
        <v>2023</v>
      </c>
      <c r="B54">
        <v>307</v>
      </c>
      <c r="C54">
        <v>110201</v>
      </c>
      <c r="D54" s="5" t="s">
        <v>44</v>
      </c>
      <c r="E54" s="8" t="s">
        <v>146</v>
      </c>
      <c r="F54">
        <v>110201</v>
      </c>
      <c r="G54" s="8" t="s">
        <v>147</v>
      </c>
      <c r="H54" t="s">
        <v>47</v>
      </c>
      <c r="I54" s="11">
        <v>3771638460</v>
      </c>
      <c r="J54" s="11">
        <v>3771638460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3771638460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6187548674.6800003</v>
      </c>
      <c r="X54" s="11">
        <v>179826693</v>
      </c>
      <c r="Y54" s="17">
        <v>6007721981.6800003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6187548674.6800003</v>
      </c>
      <c r="AG54" s="11">
        <v>179826693</v>
      </c>
      <c r="AH54" s="12">
        <v>6007721981.6800003</v>
      </c>
      <c r="AI54" s="11">
        <v>6007721981.6800003</v>
      </c>
      <c r="AJ54" s="11">
        <v>0</v>
      </c>
      <c r="AK54" s="11">
        <v>0</v>
      </c>
      <c r="AL54" s="11">
        <v>6007721981.6800003</v>
      </c>
      <c r="AM54" s="11">
        <v>6187548674.6800003</v>
      </c>
      <c r="AN54" s="11">
        <v>179826693</v>
      </c>
      <c r="AO54" s="11">
        <v>6187548674.6800003</v>
      </c>
      <c r="AP54" s="11">
        <v>0</v>
      </c>
      <c r="AQ54" s="11">
        <v>179826693</v>
      </c>
      <c r="AR54" t="s">
        <v>48</v>
      </c>
      <c r="AS54"/>
    </row>
    <row r="55" spans="1:48" hidden="1" x14ac:dyDescent="0.3">
      <c r="A55">
        <v>2023</v>
      </c>
      <c r="B55">
        <v>307</v>
      </c>
      <c r="C55">
        <v>110201003</v>
      </c>
      <c r="D55" s="5" t="s">
        <v>44</v>
      </c>
      <c r="E55" s="8" t="s">
        <v>148</v>
      </c>
      <c r="F55">
        <v>110201003</v>
      </c>
      <c r="G55" s="8" t="s">
        <v>149</v>
      </c>
      <c r="H55" t="s">
        <v>47</v>
      </c>
      <c r="I55" s="11">
        <v>612099454</v>
      </c>
      <c r="J55" s="11">
        <v>612099454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612099454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655907726.08000004</v>
      </c>
      <c r="X55" s="11">
        <v>19966215</v>
      </c>
      <c r="Y55" s="17">
        <v>635941511.08000004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655907726.08000004</v>
      </c>
      <c r="AG55" s="11">
        <v>19966215</v>
      </c>
      <c r="AH55" s="12">
        <v>635941511.08000004</v>
      </c>
      <c r="AI55" s="11">
        <v>635941511.08000004</v>
      </c>
      <c r="AJ55" s="11">
        <v>0</v>
      </c>
      <c r="AK55" s="11">
        <v>0</v>
      </c>
      <c r="AL55" s="11">
        <v>635941511.08000004</v>
      </c>
      <c r="AM55" s="11">
        <v>655907726.08000004</v>
      </c>
      <c r="AN55" s="11">
        <v>19966215</v>
      </c>
      <c r="AO55" s="11">
        <v>655907726.08000004</v>
      </c>
      <c r="AP55" s="11">
        <v>0</v>
      </c>
      <c r="AQ55" s="11">
        <v>19966215</v>
      </c>
      <c r="AR55" t="s">
        <v>48</v>
      </c>
      <c r="AS55"/>
    </row>
    <row r="56" spans="1:48" hidden="1" x14ac:dyDescent="0.3">
      <c r="A56">
        <v>2023</v>
      </c>
      <c r="B56">
        <v>307</v>
      </c>
      <c r="C56">
        <v>11020100301</v>
      </c>
      <c r="D56" s="5" t="s">
        <v>44</v>
      </c>
      <c r="E56" s="8" t="s">
        <v>150</v>
      </c>
      <c r="F56">
        <v>11020100301</v>
      </c>
      <c r="G56" s="8" t="s">
        <v>151</v>
      </c>
      <c r="H56" t="s">
        <v>47</v>
      </c>
      <c r="I56" s="11">
        <v>612099454</v>
      </c>
      <c r="J56" s="11">
        <v>612099454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612099454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655907726.08000004</v>
      </c>
      <c r="X56" s="11">
        <v>19966215</v>
      </c>
      <c r="Y56" s="17">
        <v>635941511.08000004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655907726.08000004</v>
      </c>
      <c r="AG56" s="11">
        <v>19966215</v>
      </c>
      <c r="AH56" s="12">
        <v>635941511.08000004</v>
      </c>
      <c r="AI56" s="11">
        <v>635941511.08000004</v>
      </c>
      <c r="AJ56" s="11">
        <v>0</v>
      </c>
      <c r="AK56" s="11">
        <v>0</v>
      </c>
      <c r="AL56" s="11">
        <v>635941511.08000004</v>
      </c>
      <c r="AM56" s="11">
        <v>655907726.08000004</v>
      </c>
      <c r="AN56" s="11">
        <v>19966215</v>
      </c>
      <c r="AO56" s="11">
        <v>655907726.08000004</v>
      </c>
      <c r="AP56" s="11">
        <v>0</v>
      </c>
      <c r="AQ56" s="11">
        <v>19966215</v>
      </c>
      <c r="AR56" t="s">
        <v>48</v>
      </c>
      <c r="AS56"/>
    </row>
    <row r="57" spans="1:48" hidden="1" x14ac:dyDescent="0.3">
      <c r="A57">
        <v>2023</v>
      </c>
      <c r="B57">
        <v>307</v>
      </c>
      <c r="C57">
        <v>1102010030100</v>
      </c>
      <c r="D57" s="5" t="s">
        <v>44</v>
      </c>
      <c r="E57" s="8" t="s">
        <v>152</v>
      </c>
      <c r="F57">
        <v>1102010030100</v>
      </c>
      <c r="G57" s="8" t="s">
        <v>151</v>
      </c>
      <c r="H57" t="s">
        <v>47</v>
      </c>
      <c r="I57" s="11">
        <v>612099454</v>
      </c>
      <c r="J57" s="11">
        <v>612099454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612099454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655907726.08000004</v>
      </c>
      <c r="X57" s="11">
        <v>19966215</v>
      </c>
      <c r="Y57" s="17">
        <v>635941511.08000004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655907726.08000004</v>
      </c>
      <c r="AG57" s="11">
        <v>19966215</v>
      </c>
      <c r="AH57" s="12">
        <v>635941511.08000004</v>
      </c>
      <c r="AI57" s="11">
        <v>635941511.08000004</v>
      </c>
      <c r="AJ57" s="11">
        <v>0</v>
      </c>
      <c r="AK57" s="11">
        <v>0</v>
      </c>
      <c r="AL57" s="11">
        <v>635941511.08000004</v>
      </c>
      <c r="AM57" s="11">
        <v>655907726.08000004</v>
      </c>
      <c r="AN57" s="11">
        <v>19966215</v>
      </c>
      <c r="AO57" s="11">
        <v>655907726.08000004</v>
      </c>
      <c r="AP57" s="11">
        <v>0</v>
      </c>
      <c r="AQ57" s="11">
        <v>19966215</v>
      </c>
      <c r="AR57" t="s">
        <v>48</v>
      </c>
      <c r="AS57"/>
    </row>
    <row r="58" spans="1:48" hidden="1" x14ac:dyDescent="0.3">
      <c r="A58">
        <v>2023</v>
      </c>
      <c r="B58">
        <v>307</v>
      </c>
      <c r="C58">
        <v>110201003010000</v>
      </c>
      <c r="D58" s="5" t="s">
        <v>44</v>
      </c>
      <c r="E58" s="8" t="s">
        <v>153</v>
      </c>
      <c r="F58">
        <v>110201003010000</v>
      </c>
      <c r="G58" s="8" t="s">
        <v>151</v>
      </c>
      <c r="H58" t="s">
        <v>47</v>
      </c>
      <c r="I58" s="11">
        <v>612099454</v>
      </c>
      <c r="J58" s="11">
        <v>612099454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612099454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655907726.08000004</v>
      </c>
      <c r="X58" s="11">
        <v>19966215</v>
      </c>
      <c r="Y58" s="17">
        <v>635941511.08000004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655907726.08000004</v>
      </c>
      <c r="AG58" s="11">
        <v>19966215</v>
      </c>
      <c r="AH58" s="12">
        <v>635941511.08000004</v>
      </c>
      <c r="AI58" s="11">
        <v>635941511.08000004</v>
      </c>
      <c r="AJ58" s="11">
        <v>0</v>
      </c>
      <c r="AK58" s="11">
        <v>0</v>
      </c>
      <c r="AL58" s="11">
        <v>635941511.08000004</v>
      </c>
      <c r="AM58" s="11">
        <v>655907726.08000004</v>
      </c>
      <c r="AN58" s="11">
        <v>19966215</v>
      </c>
      <c r="AO58" s="11">
        <v>655907726.08000004</v>
      </c>
      <c r="AP58" s="11">
        <v>0</v>
      </c>
      <c r="AQ58" s="11">
        <v>19966215</v>
      </c>
      <c r="AR58" t="s">
        <v>48</v>
      </c>
      <c r="AS58"/>
    </row>
    <row r="59" spans="1:48" hidden="1" x14ac:dyDescent="0.3">
      <c r="A59">
        <v>2023</v>
      </c>
      <c r="B59">
        <v>307</v>
      </c>
      <c r="C59">
        <v>1.1020100301E+17</v>
      </c>
      <c r="D59" s="5" t="s">
        <v>44</v>
      </c>
      <c r="E59" s="8" t="s">
        <v>1071</v>
      </c>
      <c r="F59">
        <v>1.1020100301E+17</v>
      </c>
      <c r="G59" s="8" t="s">
        <v>151</v>
      </c>
      <c r="H59" t="s">
        <v>47</v>
      </c>
      <c r="I59" s="11">
        <v>612099454</v>
      </c>
      <c r="J59" s="11">
        <v>612099454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612099454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655907726.08000004</v>
      </c>
      <c r="X59" s="11">
        <v>19966215</v>
      </c>
      <c r="Y59" s="17">
        <v>635941511.08000004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655907726.08000004</v>
      </c>
      <c r="AG59" s="11">
        <v>19966215</v>
      </c>
      <c r="AH59" s="12">
        <v>635941511.08000004</v>
      </c>
      <c r="AI59" s="11">
        <v>635941511.08000004</v>
      </c>
      <c r="AJ59" s="11">
        <v>0</v>
      </c>
      <c r="AK59" s="11">
        <v>0</v>
      </c>
      <c r="AL59" s="11">
        <v>635941511.08000004</v>
      </c>
      <c r="AM59" s="11">
        <v>655907726.08000004</v>
      </c>
      <c r="AN59" s="11">
        <v>19966215</v>
      </c>
      <c r="AO59" s="11">
        <v>655907726.08000004</v>
      </c>
      <c r="AP59" s="11">
        <v>0</v>
      </c>
      <c r="AQ59" s="11">
        <v>19966215</v>
      </c>
      <c r="AR59" t="s">
        <v>48</v>
      </c>
      <c r="AS59"/>
    </row>
    <row r="60" spans="1:48" hidden="1" x14ac:dyDescent="0.3">
      <c r="A60">
        <v>2023</v>
      </c>
      <c r="B60">
        <v>307</v>
      </c>
      <c r="C60">
        <v>1.1020100300999999E+20</v>
      </c>
      <c r="D60" s="5" t="s">
        <v>44</v>
      </c>
      <c r="E60" s="8" t="s">
        <v>1072</v>
      </c>
      <c r="F60">
        <v>1.1020100300999999E+20</v>
      </c>
      <c r="G60" s="8" t="s">
        <v>151</v>
      </c>
      <c r="H60" t="s">
        <v>47</v>
      </c>
      <c r="I60" s="11">
        <v>612099454</v>
      </c>
      <c r="J60" s="11">
        <v>612099454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612099454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655907726.08000004</v>
      </c>
      <c r="X60" s="11">
        <v>19966215</v>
      </c>
      <c r="Y60" s="17">
        <v>635941511.08000004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655907726.08000004</v>
      </c>
      <c r="AG60" s="11">
        <v>19966215</v>
      </c>
      <c r="AH60" s="12">
        <v>635941511.08000004</v>
      </c>
      <c r="AI60" s="11">
        <v>635941511.08000004</v>
      </c>
      <c r="AJ60" s="11">
        <v>0</v>
      </c>
      <c r="AK60" s="11">
        <v>0</v>
      </c>
      <c r="AL60" s="11">
        <v>635941511.08000004</v>
      </c>
      <c r="AM60" s="11">
        <v>655907726.08000004</v>
      </c>
      <c r="AN60" s="11">
        <v>19966215</v>
      </c>
      <c r="AO60" s="11">
        <v>655907726.08000004</v>
      </c>
      <c r="AP60" s="11">
        <v>0</v>
      </c>
      <c r="AQ60" s="11">
        <v>19966215</v>
      </c>
      <c r="AR60" t="s">
        <v>48</v>
      </c>
      <c r="AS60"/>
    </row>
    <row r="61" spans="1:48" x14ac:dyDescent="0.3">
      <c r="A61">
        <v>2023</v>
      </c>
      <c r="B61">
        <v>307</v>
      </c>
      <c r="C61">
        <v>1.1020100301000001E+35</v>
      </c>
      <c r="D61" s="5">
        <v>18</v>
      </c>
      <c r="E61" s="8" t="s">
        <v>156</v>
      </c>
      <c r="F61">
        <v>1.1020100301000001E+35</v>
      </c>
      <c r="G61" s="8" t="s">
        <v>157</v>
      </c>
      <c r="H61" t="s">
        <v>47</v>
      </c>
      <c r="I61" s="11">
        <v>46725184</v>
      </c>
      <c r="J61" s="11">
        <v>46725184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46725184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46725184</v>
      </c>
      <c r="X61" s="11">
        <v>0</v>
      </c>
      <c r="Y61" s="17">
        <v>46725184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46725184</v>
      </c>
      <c r="AG61" s="11">
        <v>0</v>
      </c>
      <c r="AH61" s="12">
        <v>46725184</v>
      </c>
      <c r="AI61" s="11">
        <v>46725184</v>
      </c>
      <c r="AJ61" s="11">
        <v>0</v>
      </c>
      <c r="AK61" s="11">
        <v>0</v>
      </c>
      <c r="AL61" s="11">
        <v>46725184</v>
      </c>
      <c r="AM61" s="11">
        <v>46725184</v>
      </c>
      <c r="AN61" s="11">
        <v>0</v>
      </c>
      <c r="AO61" s="11">
        <v>46725184</v>
      </c>
      <c r="AP61" s="11">
        <v>0</v>
      </c>
      <c r="AQ61" s="11">
        <v>0</v>
      </c>
      <c r="AR61" t="s">
        <v>158</v>
      </c>
      <c r="AS61" s="4" t="str">
        <f t="shared" ref="AS61:AS69" si="16">+G61</f>
        <v>E.S.P. Empresa Sanitaria del Quindío S.A.</v>
      </c>
      <c r="AT61" t="str">
        <f t="shared" ref="AT61:AT69" si="17">+D61&amp;AS61&amp;Y61</f>
        <v>18E.S.P. Empresa Sanitaria del Quindío S.A.46725184</v>
      </c>
      <c r="AU61" t="str">
        <f>+_xlfn.XLOOKUP(AT61,CRUCE!K:K,CRUCE!M:M)</f>
        <v>READY</v>
      </c>
      <c r="AV61" t="s">
        <v>1907</v>
      </c>
    </row>
    <row r="62" spans="1:48" x14ac:dyDescent="0.3">
      <c r="A62">
        <v>2023</v>
      </c>
      <c r="B62">
        <v>307</v>
      </c>
      <c r="C62">
        <v>1.1020100301000001E+35</v>
      </c>
      <c r="D62" s="5">
        <v>18</v>
      </c>
      <c r="E62" s="8" t="s">
        <v>159</v>
      </c>
      <c r="F62">
        <v>1.1020100301000001E+35</v>
      </c>
      <c r="G62" s="8" t="s">
        <v>160</v>
      </c>
      <c r="H62" t="s">
        <v>47</v>
      </c>
      <c r="I62" s="11">
        <v>30773625</v>
      </c>
      <c r="J62" s="11">
        <v>30773625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30773625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31339287</v>
      </c>
      <c r="X62" s="11">
        <v>565665</v>
      </c>
      <c r="Y62" s="17">
        <v>30773622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31339287</v>
      </c>
      <c r="AG62" s="11">
        <v>565665</v>
      </c>
      <c r="AH62" s="12">
        <v>30773622</v>
      </c>
      <c r="AI62" s="11">
        <v>30773622</v>
      </c>
      <c r="AJ62" s="11">
        <v>0</v>
      </c>
      <c r="AK62" s="11">
        <v>0</v>
      </c>
      <c r="AL62" s="11">
        <v>30773622</v>
      </c>
      <c r="AM62" s="11">
        <v>31339287</v>
      </c>
      <c r="AN62" s="11">
        <v>565665</v>
      </c>
      <c r="AO62" s="11">
        <v>31339287</v>
      </c>
      <c r="AP62" s="11">
        <v>0</v>
      </c>
      <c r="AQ62" s="11">
        <v>565665</v>
      </c>
      <c r="AR62" t="s">
        <v>158</v>
      </c>
      <c r="AS62" s="4" t="str">
        <f t="shared" si="16"/>
        <v>Lotería del Quindío E.I.C.E.</v>
      </c>
      <c r="AT62" t="str">
        <f t="shared" si="17"/>
        <v>18Lotería del Quindío E.I.C.E.30773622</v>
      </c>
      <c r="AU62" t="str">
        <f>+_xlfn.XLOOKUP(AT62,CRUCE!K:K,CRUCE!M:M)</f>
        <v>READY</v>
      </c>
      <c r="AV62" t="s">
        <v>1907</v>
      </c>
    </row>
    <row r="63" spans="1:48" x14ac:dyDescent="0.3">
      <c r="A63">
        <v>2023</v>
      </c>
      <c r="B63">
        <v>307</v>
      </c>
      <c r="C63">
        <v>1.1020100301000001E+35</v>
      </c>
      <c r="D63" s="5">
        <v>18</v>
      </c>
      <c r="E63" s="8" t="s">
        <v>161</v>
      </c>
      <c r="F63">
        <v>1.1020100301000001E+35</v>
      </c>
      <c r="G63" s="8" t="s">
        <v>162</v>
      </c>
      <c r="H63" t="s">
        <v>47</v>
      </c>
      <c r="I63" s="11">
        <v>194005500</v>
      </c>
      <c r="J63" s="11">
        <v>194005500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194005500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213406050</v>
      </c>
      <c r="X63" s="11">
        <v>19400550</v>
      </c>
      <c r="Y63" s="17">
        <v>194005500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213406050</v>
      </c>
      <c r="AG63" s="11">
        <v>19400550</v>
      </c>
      <c r="AH63" s="12">
        <v>194005500</v>
      </c>
      <c r="AI63" s="11">
        <v>194005500</v>
      </c>
      <c r="AJ63" s="11">
        <v>0</v>
      </c>
      <c r="AK63" s="11">
        <v>0</v>
      </c>
      <c r="AL63" s="11">
        <v>194005500</v>
      </c>
      <c r="AM63" s="11">
        <v>213406050</v>
      </c>
      <c r="AN63" s="11">
        <v>19400550</v>
      </c>
      <c r="AO63" s="11">
        <v>213406050</v>
      </c>
      <c r="AP63" s="11">
        <v>0</v>
      </c>
      <c r="AQ63" s="11">
        <v>19400550</v>
      </c>
      <c r="AR63" t="s">
        <v>158</v>
      </c>
      <c r="AS63" s="4" t="str">
        <f t="shared" si="16"/>
        <v>E.S.E. Hospital San Juan de Dios - Armenia</v>
      </c>
      <c r="AT63" t="str">
        <f t="shared" si="17"/>
        <v>18E.S.E. Hospital San Juan de Dios - Armenia194005500</v>
      </c>
      <c r="AU63" t="str">
        <f>+_xlfn.XLOOKUP(AT63,CRUCE!K:K,CRUCE!M:M)</f>
        <v>READY</v>
      </c>
      <c r="AV63" t="s">
        <v>1907</v>
      </c>
    </row>
    <row r="64" spans="1:48" x14ac:dyDescent="0.3">
      <c r="A64">
        <v>2023</v>
      </c>
      <c r="B64">
        <v>307</v>
      </c>
      <c r="C64">
        <v>1.1020100301000001E+35</v>
      </c>
      <c r="D64" s="5">
        <v>18</v>
      </c>
      <c r="E64" s="8" t="s">
        <v>163</v>
      </c>
      <c r="F64">
        <v>1.1020100301000001E+35</v>
      </c>
      <c r="G64" s="8" t="s">
        <v>164</v>
      </c>
      <c r="H64" t="s">
        <v>47</v>
      </c>
      <c r="I64" s="11">
        <v>9049806</v>
      </c>
      <c r="J64" s="11">
        <v>9049806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9049806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9049805.9000000004</v>
      </c>
      <c r="X64" s="11">
        <v>0</v>
      </c>
      <c r="Y64" s="17">
        <v>9049805.9000000004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9049805.9000000004</v>
      </c>
      <c r="AG64" s="11">
        <v>0</v>
      </c>
      <c r="AH64" s="12">
        <v>9049805.9000000004</v>
      </c>
      <c r="AI64" s="11">
        <v>9049805.9000000004</v>
      </c>
      <c r="AJ64" s="11">
        <v>0</v>
      </c>
      <c r="AK64" s="11">
        <v>0</v>
      </c>
      <c r="AL64" s="11">
        <v>9049805.9000000004</v>
      </c>
      <c r="AM64" s="11">
        <v>9049805.9000000004</v>
      </c>
      <c r="AN64" s="11">
        <v>0</v>
      </c>
      <c r="AO64" s="11">
        <v>9049805.9000000004</v>
      </c>
      <c r="AP64" s="11">
        <v>0</v>
      </c>
      <c r="AQ64" s="11">
        <v>0</v>
      </c>
      <c r="AR64" t="s">
        <v>158</v>
      </c>
      <c r="AS64" s="4" t="str">
        <f t="shared" si="16"/>
        <v>E.S.E. Hospital La Misericordia - Calarcá</v>
      </c>
      <c r="AT64" t="str">
        <f t="shared" si="17"/>
        <v>18E.S.E. Hospital La Misericordia - Calarcá9049805,9</v>
      </c>
      <c r="AU64" t="str">
        <f>+_xlfn.XLOOKUP(AT64,CRUCE!K:K,CRUCE!M:M)</f>
        <v>READY</v>
      </c>
      <c r="AV64" t="s">
        <v>1907</v>
      </c>
    </row>
    <row r="65" spans="1:48" x14ac:dyDescent="0.3">
      <c r="A65">
        <v>2023</v>
      </c>
      <c r="B65">
        <v>307</v>
      </c>
      <c r="C65">
        <v>1.1020100301000001E+35</v>
      </c>
      <c r="D65" s="5">
        <v>18</v>
      </c>
      <c r="E65" s="8" t="s">
        <v>165</v>
      </c>
      <c r="F65">
        <v>1.1020100301000001E+35</v>
      </c>
      <c r="G65" s="8" t="s">
        <v>166</v>
      </c>
      <c r="H65" t="s">
        <v>47</v>
      </c>
      <c r="I65" s="11">
        <v>21768459</v>
      </c>
      <c r="J65" s="11">
        <v>21768459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21768459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21768459</v>
      </c>
      <c r="X65" s="11">
        <v>0</v>
      </c>
      <c r="Y65" s="17">
        <v>21768459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21768459</v>
      </c>
      <c r="AG65" s="11">
        <v>0</v>
      </c>
      <c r="AH65" s="12">
        <v>21768459</v>
      </c>
      <c r="AI65" s="11">
        <v>21768459</v>
      </c>
      <c r="AJ65" s="11">
        <v>0</v>
      </c>
      <c r="AK65" s="11">
        <v>0</v>
      </c>
      <c r="AL65" s="11">
        <v>21768459</v>
      </c>
      <c r="AM65" s="11">
        <v>21768459</v>
      </c>
      <c r="AN65" s="11">
        <v>0</v>
      </c>
      <c r="AO65" s="11">
        <v>21768459</v>
      </c>
      <c r="AP65" s="11">
        <v>0</v>
      </c>
      <c r="AQ65" s="11">
        <v>0</v>
      </c>
      <c r="AR65" t="s">
        <v>158</v>
      </c>
      <c r="AS65" s="4" t="str">
        <f t="shared" si="16"/>
        <v>E.S.E. Hospital Mental - Filandia</v>
      </c>
      <c r="AT65" t="str">
        <f t="shared" si="17"/>
        <v>18E.S.E. Hospital Mental - Filandia21768459</v>
      </c>
      <c r="AU65" t="str">
        <f>+_xlfn.XLOOKUP(AT65,CRUCE!K:K,CRUCE!M:M)</f>
        <v>READY</v>
      </c>
      <c r="AV65" t="s">
        <v>1907</v>
      </c>
    </row>
    <row r="66" spans="1:48" x14ac:dyDescent="0.3">
      <c r="A66">
        <v>2023</v>
      </c>
      <c r="B66">
        <v>307</v>
      </c>
      <c r="C66">
        <v>1.1020100301000001E+35</v>
      </c>
      <c r="D66" s="5">
        <v>18</v>
      </c>
      <c r="E66" s="8" t="s">
        <v>167</v>
      </c>
      <c r="F66">
        <v>1.1020100301000001E+35</v>
      </c>
      <c r="G66" s="8" t="s">
        <v>168</v>
      </c>
      <c r="H66" t="s">
        <v>47</v>
      </c>
      <c r="I66" s="11">
        <v>3575245</v>
      </c>
      <c r="J66" s="11">
        <v>3575245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3575245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3601674.18</v>
      </c>
      <c r="X66" s="11">
        <v>0</v>
      </c>
      <c r="Y66" s="17">
        <v>3601674.18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3601674.18</v>
      </c>
      <c r="AG66" s="11">
        <v>0</v>
      </c>
      <c r="AH66" s="12">
        <v>3601674.18</v>
      </c>
      <c r="AI66" s="11">
        <v>3601674.18</v>
      </c>
      <c r="AJ66" s="11">
        <v>0</v>
      </c>
      <c r="AK66" s="11">
        <v>0</v>
      </c>
      <c r="AL66" s="11">
        <v>3601674.18</v>
      </c>
      <c r="AM66" s="11">
        <v>3601674.18</v>
      </c>
      <c r="AN66" s="11">
        <v>0</v>
      </c>
      <c r="AO66" s="11">
        <v>3601674.18</v>
      </c>
      <c r="AP66" s="11">
        <v>0</v>
      </c>
      <c r="AQ66" s="11">
        <v>0</v>
      </c>
      <c r="AR66" t="s">
        <v>158</v>
      </c>
      <c r="AS66" s="4" t="str">
        <f t="shared" si="16"/>
        <v>Instituto Departamental de Deporte y Recreación del Quindío</v>
      </c>
      <c r="AT66" t="str">
        <f t="shared" si="17"/>
        <v>18Instituto Departamental de Deporte y Recreación del Quindío3601674,18</v>
      </c>
      <c r="AU66" t="str">
        <f>+_xlfn.XLOOKUP(AT66,CRUCE!K:K,CRUCE!M:M)</f>
        <v>READY</v>
      </c>
      <c r="AV66" t="s">
        <v>1907</v>
      </c>
    </row>
    <row r="67" spans="1:48" x14ac:dyDescent="0.3">
      <c r="A67">
        <v>2023</v>
      </c>
      <c r="B67">
        <v>307</v>
      </c>
      <c r="C67">
        <v>1.1020100301000001E+35</v>
      </c>
      <c r="D67" s="5">
        <v>18</v>
      </c>
      <c r="E67" s="8" t="s">
        <v>169</v>
      </c>
      <c r="F67">
        <v>1.1020100301000001E+35</v>
      </c>
      <c r="G67" s="8" t="s">
        <v>170</v>
      </c>
      <c r="H67" t="s">
        <v>47</v>
      </c>
      <c r="I67" s="11">
        <v>8062591</v>
      </c>
      <c r="J67" s="11">
        <v>8062591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8062591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8062591</v>
      </c>
      <c r="X67" s="11">
        <v>0</v>
      </c>
      <c r="Y67" s="17">
        <v>8062591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8062591</v>
      </c>
      <c r="AG67" s="11">
        <v>0</v>
      </c>
      <c r="AH67" s="12">
        <v>8062591</v>
      </c>
      <c r="AI67" s="11">
        <v>8062591</v>
      </c>
      <c r="AJ67" s="11">
        <v>0</v>
      </c>
      <c r="AK67" s="11">
        <v>0</v>
      </c>
      <c r="AL67" s="11">
        <v>8062591</v>
      </c>
      <c r="AM67" s="11">
        <v>8062591</v>
      </c>
      <c r="AN67" s="11">
        <v>0</v>
      </c>
      <c r="AO67" s="11">
        <v>8062591</v>
      </c>
      <c r="AP67" s="11">
        <v>0</v>
      </c>
      <c r="AQ67" s="11">
        <v>0</v>
      </c>
      <c r="AR67" t="s">
        <v>158</v>
      </c>
      <c r="AS67" s="4" t="str">
        <f t="shared" si="16"/>
        <v>Instituto Departamental de Tránsito del Quindío</v>
      </c>
      <c r="AT67" t="str">
        <f t="shared" si="17"/>
        <v>18Instituto Departamental de Tránsito del Quindío8062591</v>
      </c>
      <c r="AU67" t="str">
        <f>+_xlfn.XLOOKUP(AT67,CRUCE!K:K,CRUCE!M:M)</f>
        <v>READY</v>
      </c>
      <c r="AV67" t="s">
        <v>1907</v>
      </c>
    </row>
    <row r="68" spans="1:48" x14ac:dyDescent="0.3">
      <c r="A68">
        <v>2023</v>
      </c>
      <c r="B68">
        <v>307</v>
      </c>
      <c r="C68">
        <v>1.1020100301000001E+35</v>
      </c>
      <c r="D68" s="5">
        <v>18</v>
      </c>
      <c r="E68" s="8" t="s">
        <v>171</v>
      </c>
      <c r="F68">
        <v>1.1020100301000001E+35</v>
      </c>
      <c r="G68" s="8" t="s">
        <v>172</v>
      </c>
      <c r="H68" t="s">
        <v>47</v>
      </c>
      <c r="I68" s="11">
        <v>15581699</v>
      </c>
      <c r="J68" s="11">
        <v>15581699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15581699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15600000</v>
      </c>
      <c r="X68" s="11">
        <v>0</v>
      </c>
      <c r="Y68" s="17">
        <v>15600000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15600000</v>
      </c>
      <c r="AG68" s="11">
        <v>0</v>
      </c>
      <c r="AH68" s="12">
        <v>15600000</v>
      </c>
      <c r="AI68" s="11">
        <v>15600000</v>
      </c>
      <c r="AJ68" s="11">
        <v>0</v>
      </c>
      <c r="AK68" s="11">
        <v>0</v>
      </c>
      <c r="AL68" s="11">
        <v>15600000</v>
      </c>
      <c r="AM68" s="11">
        <v>15600000</v>
      </c>
      <c r="AN68" s="11">
        <v>0</v>
      </c>
      <c r="AO68" s="11">
        <v>15600000</v>
      </c>
      <c r="AP68" s="11">
        <v>0</v>
      </c>
      <c r="AQ68" s="11">
        <v>0</v>
      </c>
      <c r="AR68" t="s">
        <v>158</v>
      </c>
      <c r="AS68" s="4" t="str">
        <f t="shared" si="16"/>
        <v>Promotora de Vivienda y Desarrollo del Quindío</v>
      </c>
      <c r="AT68" t="str">
        <f t="shared" si="17"/>
        <v>18Promotora de Vivienda y Desarrollo del Quindío15600000</v>
      </c>
      <c r="AU68" t="str">
        <f>+_xlfn.XLOOKUP(AT68,CRUCE!K:K,CRUCE!M:M)</f>
        <v>READY</v>
      </c>
      <c r="AV68" t="s">
        <v>1907</v>
      </c>
    </row>
    <row r="69" spans="1:48" x14ac:dyDescent="0.3">
      <c r="A69">
        <v>2023</v>
      </c>
      <c r="B69">
        <v>307</v>
      </c>
      <c r="C69">
        <v>1.1020100301000001E+35</v>
      </c>
      <c r="D69" s="5">
        <v>18</v>
      </c>
      <c r="E69" s="8" t="s">
        <v>173</v>
      </c>
      <c r="F69">
        <v>1.1020100301000001E+35</v>
      </c>
      <c r="G69" s="8" t="s">
        <v>174</v>
      </c>
      <c r="H69" t="s">
        <v>47</v>
      </c>
      <c r="I69" s="11">
        <v>282557345</v>
      </c>
      <c r="J69" s="11">
        <v>282557345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282557345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306354675</v>
      </c>
      <c r="X69" s="11">
        <v>0</v>
      </c>
      <c r="Y69" s="17">
        <v>306354675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306354675</v>
      </c>
      <c r="AG69" s="11">
        <v>0</v>
      </c>
      <c r="AH69" s="12">
        <v>306354675</v>
      </c>
      <c r="AI69" s="11">
        <v>306354675</v>
      </c>
      <c r="AJ69" s="11">
        <v>0</v>
      </c>
      <c r="AK69" s="11">
        <v>0</v>
      </c>
      <c r="AL69" s="11">
        <v>306354675</v>
      </c>
      <c r="AM69" s="11">
        <v>306354675</v>
      </c>
      <c r="AN69" s="11">
        <v>0</v>
      </c>
      <c r="AO69" s="11">
        <v>306354675</v>
      </c>
      <c r="AP69" s="11">
        <v>0</v>
      </c>
      <c r="AQ69" s="11">
        <v>0</v>
      </c>
      <c r="AR69" t="s">
        <v>158</v>
      </c>
      <c r="AS69" s="4" t="str">
        <f t="shared" si="16"/>
        <v>Universidad del Quindío</v>
      </c>
      <c r="AT69" t="str">
        <f t="shared" si="17"/>
        <v>18Universidad del Quindío306354675</v>
      </c>
      <c r="AU69" t="str">
        <f>+_xlfn.XLOOKUP(AT69,CRUCE!K:K,CRUCE!M:M)</f>
        <v>READY</v>
      </c>
      <c r="AV69" t="s">
        <v>1907</v>
      </c>
    </row>
    <row r="70" spans="1:48" hidden="1" x14ac:dyDescent="0.3">
      <c r="A70">
        <v>2023</v>
      </c>
      <c r="B70">
        <v>307</v>
      </c>
      <c r="C70">
        <v>110201005</v>
      </c>
      <c r="D70" s="5" t="s">
        <v>44</v>
      </c>
      <c r="E70" s="8" t="s">
        <v>1324</v>
      </c>
      <c r="F70">
        <v>110201005</v>
      </c>
      <c r="G70" s="8" t="s">
        <v>1325</v>
      </c>
      <c r="H70" t="s">
        <v>47</v>
      </c>
      <c r="I70" s="11">
        <v>3159539006</v>
      </c>
      <c r="J70" s="11">
        <v>3159539006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3159539006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5531640948.6000004</v>
      </c>
      <c r="X70" s="11">
        <v>159860478</v>
      </c>
      <c r="Y70" s="17">
        <v>5371780470.6000004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5531640948.6000004</v>
      </c>
      <c r="AG70" s="11">
        <v>159860478</v>
      </c>
      <c r="AH70" s="12">
        <v>5371780470.6000004</v>
      </c>
      <c r="AI70" s="11">
        <v>5371780470.6000004</v>
      </c>
      <c r="AJ70" s="11">
        <v>0</v>
      </c>
      <c r="AK70" s="11">
        <v>0</v>
      </c>
      <c r="AL70" s="11">
        <v>5371780470.6000004</v>
      </c>
      <c r="AM70" s="11">
        <v>5531640948.6000004</v>
      </c>
      <c r="AN70" s="11">
        <v>159860478</v>
      </c>
      <c r="AO70" s="11">
        <v>5531640948.6000004</v>
      </c>
      <c r="AP70" s="11">
        <v>0</v>
      </c>
      <c r="AQ70" s="11">
        <v>159860478</v>
      </c>
      <c r="AR70" t="s">
        <v>48</v>
      </c>
      <c r="AS70"/>
    </row>
    <row r="71" spans="1:48" x14ac:dyDescent="0.3">
      <c r="A71">
        <v>2023</v>
      </c>
      <c r="B71">
        <v>307</v>
      </c>
      <c r="C71">
        <v>11020100559</v>
      </c>
      <c r="D71" s="5">
        <v>42</v>
      </c>
      <c r="E71" s="8" t="s">
        <v>1326</v>
      </c>
      <c r="F71">
        <v>11020100559</v>
      </c>
      <c r="G71" s="8" t="s">
        <v>1327</v>
      </c>
      <c r="H71" t="s">
        <v>47</v>
      </c>
      <c r="I71" s="11">
        <v>3159539006</v>
      </c>
      <c r="J71" s="11">
        <v>3159539006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3159539006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5531640948.6000004</v>
      </c>
      <c r="X71" s="11">
        <v>159860478</v>
      </c>
      <c r="Y71" s="17">
        <v>5371780470.6000004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5531640948.6000004</v>
      </c>
      <c r="AG71" s="11">
        <v>159860478</v>
      </c>
      <c r="AH71" s="12">
        <v>5371780470.6000004</v>
      </c>
      <c r="AI71" s="11">
        <v>5371780470.6000004</v>
      </c>
      <c r="AJ71" s="11">
        <v>0</v>
      </c>
      <c r="AK71" s="11">
        <v>0</v>
      </c>
      <c r="AL71" s="11">
        <v>5371780470.6000004</v>
      </c>
      <c r="AM71" s="11">
        <v>5531640948.6000004</v>
      </c>
      <c r="AN71" s="11">
        <v>159860478</v>
      </c>
      <c r="AO71" s="11">
        <v>5531640948.6000004</v>
      </c>
      <c r="AP71" s="11">
        <v>0</v>
      </c>
      <c r="AQ71" s="11">
        <v>159860478</v>
      </c>
      <c r="AR71" t="s">
        <v>115</v>
      </c>
      <c r="AS71" s="4" t="str">
        <f>+G71</f>
        <v>Contribución especial sobre contratos de obras públicas</v>
      </c>
      <c r="AT71" t="str">
        <f>+D71&amp;AS71&amp;Y71</f>
        <v>42Contribución especial sobre contratos de obras públicas5371780470,6</v>
      </c>
      <c r="AU71" t="str">
        <f>+_xlfn.XLOOKUP(AT71,CRUCE!K:K,CRUCE!M:M)</f>
        <v>READY</v>
      </c>
      <c r="AV71" t="s">
        <v>1907</v>
      </c>
    </row>
    <row r="72" spans="1:48" hidden="1" x14ac:dyDescent="0.3">
      <c r="A72">
        <v>2023</v>
      </c>
      <c r="B72">
        <v>307</v>
      </c>
      <c r="C72">
        <v>110203</v>
      </c>
      <c r="D72" s="5" t="s">
        <v>44</v>
      </c>
      <c r="E72" s="8" t="s">
        <v>183</v>
      </c>
      <c r="F72">
        <v>110203</v>
      </c>
      <c r="G72" s="8" t="s">
        <v>184</v>
      </c>
      <c r="H72" t="s">
        <v>47</v>
      </c>
      <c r="I72" s="11">
        <v>3485737836</v>
      </c>
      <c r="J72" s="11">
        <v>3485737836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3485737836</v>
      </c>
      <c r="Q72" s="11">
        <v>17991013396.779999</v>
      </c>
      <c r="R72" s="11">
        <v>134054175.95999999</v>
      </c>
      <c r="S72" s="11">
        <v>17856959220.82</v>
      </c>
      <c r="T72" s="11">
        <v>0</v>
      </c>
      <c r="U72" s="11">
        <v>0</v>
      </c>
      <c r="V72" s="11">
        <v>0</v>
      </c>
      <c r="W72" s="11">
        <v>5169310097.5699997</v>
      </c>
      <c r="X72" s="11">
        <v>361906768.38999999</v>
      </c>
      <c r="Y72" s="17">
        <v>4807403329.1800003</v>
      </c>
      <c r="Z72" s="11">
        <v>17991013396.779999</v>
      </c>
      <c r="AA72" s="11">
        <v>134054175.95999999</v>
      </c>
      <c r="AB72" s="11">
        <v>17856959220.82</v>
      </c>
      <c r="AC72" s="11">
        <v>0</v>
      </c>
      <c r="AD72" s="11">
        <v>0</v>
      </c>
      <c r="AE72" s="11">
        <v>0</v>
      </c>
      <c r="AF72" s="11">
        <v>5169310097.5699997</v>
      </c>
      <c r="AG72" s="11">
        <v>361906768.38999999</v>
      </c>
      <c r="AH72" s="12">
        <v>4807403329.1800003</v>
      </c>
      <c r="AI72" s="11">
        <v>4807403329.1800003</v>
      </c>
      <c r="AJ72" s="11">
        <v>0</v>
      </c>
      <c r="AK72" s="11">
        <v>0</v>
      </c>
      <c r="AL72" s="11">
        <v>4813223329.1800003</v>
      </c>
      <c r="AM72" s="11">
        <v>5163670135.5699997</v>
      </c>
      <c r="AN72" s="11">
        <v>350446806.38999999</v>
      </c>
      <c r="AO72" s="11">
        <v>5163670135.5699997</v>
      </c>
      <c r="AP72" s="11">
        <v>0</v>
      </c>
      <c r="AQ72" s="11">
        <v>350446806.38999999</v>
      </c>
      <c r="AR72" t="s">
        <v>48</v>
      </c>
      <c r="AS72"/>
    </row>
    <row r="73" spans="1:48" hidden="1" x14ac:dyDescent="0.3">
      <c r="A73">
        <v>2023</v>
      </c>
      <c r="B73">
        <v>307</v>
      </c>
      <c r="C73">
        <v>110203001</v>
      </c>
      <c r="D73" s="5" t="s">
        <v>44</v>
      </c>
      <c r="E73" s="8" t="s">
        <v>185</v>
      </c>
      <c r="F73">
        <v>110203001</v>
      </c>
      <c r="G73" s="8" t="s">
        <v>186</v>
      </c>
      <c r="H73" t="s">
        <v>47</v>
      </c>
      <c r="I73" s="11">
        <v>2764778591</v>
      </c>
      <c r="J73" s="11">
        <v>2764778591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2764778591</v>
      </c>
      <c r="Q73" s="11">
        <v>11222108149.93</v>
      </c>
      <c r="R73" s="11">
        <v>60755233.960000001</v>
      </c>
      <c r="S73" s="11">
        <v>11161352915.969999</v>
      </c>
      <c r="T73" s="11">
        <v>0</v>
      </c>
      <c r="U73" s="11">
        <v>0</v>
      </c>
      <c r="V73" s="11">
        <v>0</v>
      </c>
      <c r="W73" s="11">
        <v>3929552921.75</v>
      </c>
      <c r="X73" s="11">
        <v>38201802</v>
      </c>
      <c r="Y73" s="17">
        <v>3891351119.75</v>
      </c>
      <c r="Z73" s="11">
        <v>11222108149.93</v>
      </c>
      <c r="AA73" s="11">
        <v>60755233.960000001</v>
      </c>
      <c r="AB73" s="11">
        <v>11161352915.969999</v>
      </c>
      <c r="AC73" s="11">
        <v>0</v>
      </c>
      <c r="AD73" s="11">
        <v>0</v>
      </c>
      <c r="AE73" s="11">
        <v>0</v>
      </c>
      <c r="AF73" s="11">
        <v>3929552921.75</v>
      </c>
      <c r="AG73" s="11">
        <v>38201802</v>
      </c>
      <c r="AH73" s="12">
        <v>3891351119.75</v>
      </c>
      <c r="AI73" s="11">
        <v>3891351119.75</v>
      </c>
      <c r="AJ73" s="11">
        <v>0</v>
      </c>
      <c r="AK73" s="11">
        <v>0</v>
      </c>
      <c r="AL73" s="11">
        <v>3895826959.75</v>
      </c>
      <c r="AM73" s="11">
        <v>3926460959.75</v>
      </c>
      <c r="AN73" s="11">
        <v>30634000</v>
      </c>
      <c r="AO73" s="11">
        <v>3926460959.75</v>
      </c>
      <c r="AP73" s="11">
        <v>0</v>
      </c>
      <c r="AQ73" s="11">
        <v>30634000</v>
      </c>
      <c r="AR73" t="s">
        <v>48</v>
      </c>
      <c r="AS73"/>
    </row>
    <row r="74" spans="1:48" x14ac:dyDescent="0.3">
      <c r="A74">
        <v>2023</v>
      </c>
      <c r="B74">
        <v>307</v>
      </c>
      <c r="C74">
        <v>11020300103</v>
      </c>
      <c r="D74" s="5">
        <v>20</v>
      </c>
      <c r="E74" s="8" t="s">
        <v>187</v>
      </c>
      <c r="F74">
        <v>11020300103</v>
      </c>
      <c r="G74" s="8" t="s">
        <v>188</v>
      </c>
      <c r="H74" t="s">
        <v>47</v>
      </c>
      <c r="I74" s="11">
        <v>56000000</v>
      </c>
      <c r="J74" s="11">
        <v>56000000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56000000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43193656.219999999</v>
      </c>
      <c r="X74" s="11">
        <v>543962</v>
      </c>
      <c r="Y74" s="17">
        <v>42649694.219999999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43193656.219999999</v>
      </c>
      <c r="AG74" s="11">
        <v>543962</v>
      </c>
      <c r="AH74" s="12">
        <v>42649694.219999999</v>
      </c>
      <c r="AI74" s="11">
        <v>42649694.219999999</v>
      </c>
      <c r="AJ74" s="11">
        <v>-543962</v>
      </c>
      <c r="AK74" s="11">
        <v>-543962</v>
      </c>
      <c r="AL74" s="11">
        <v>43193656.219999999</v>
      </c>
      <c r="AM74" s="11">
        <v>43193656.219999999</v>
      </c>
      <c r="AN74" s="11">
        <v>0</v>
      </c>
      <c r="AO74" s="11">
        <v>43193656.219999999</v>
      </c>
      <c r="AP74" s="11">
        <v>0</v>
      </c>
      <c r="AQ74" s="11">
        <v>0</v>
      </c>
      <c r="AR74" t="s">
        <v>57</v>
      </c>
      <c r="AS74" s="4" t="str">
        <f t="shared" ref="AS74:AS77" si="18">+G74</f>
        <v>Sanciones disciplinarias</v>
      </c>
      <c r="AT74" t="str">
        <f t="shared" ref="AT74:AT77" si="19">+D74&amp;AS74&amp;Y74</f>
        <v>20Sanciones disciplinarias42649694,22</v>
      </c>
      <c r="AU74" t="str">
        <f>+_xlfn.XLOOKUP(AT74,CRUCE!K:K,CRUCE!M:M)</f>
        <v>READY</v>
      </c>
      <c r="AV74" t="s">
        <v>1907</v>
      </c>
    </row>
    <row r="75" spans="1:48" x14ac:dyDescent="0.3">
      <c r="A75">
        <v>2023</v>
      </c>
      <c r="B75">
        <v>307</v>
      </c>
      <c r="C75">
        <v>11020300104</v>
      </c>
      <c r="D75" s="5">
        <v>20</v>
      </c>
      <c r="E75" s="8" t="s">
        <v>189</v>
      </c>
      <c r="F75">
        <v>11020300104</v>
      </c>
      <c r="G75" s="8" t="s">
        <v>190</v>
      </c>
      <c r="H75" t="s">
        <v>47</v>
      </c>
      <c r="I75" s="11">
        <v>2000000</v>
      </c>
      <c r="J75" s="11">
        <v>2000000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2000000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7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2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t="s">
        <v>57</v>
      </c>
      <c r="AS75" s="4" t="str">
        <f t="shared" si="18"/>
        <v>Sanciones contractuales</v>
      </c>
      <c r="AT75" t="str">
        <f t="shared" si="19"/>
        <v>20Sanciones contractuales0</v>
      </c>
      <c r="AU75" t="str">
        <f>+_xlfn.XLOOKUP(AT75,CRUCE!K:K,CRUCE!M:M)</f>
        <v>READY</v>
      </c>
      <c r="AV75" t="s">
        <v>1907</v>
      </c>
    </row>
    <row r="76" spans="1:48" x14ac:dyDescent="0.3">
      <c r="A76">
        <v>2023</v>
      </c>
      <c r="B76">
        <v>307</v>
      </c>
      <c r="C76">
        <v>11020300105</v>
      </c>
      <c r="D76" s="5">
        <v>20</v>
      </c>
      <c r="E76" s="8" t="s">
        <v>191</v>
      </c>
      <c r="F76">
        <v>11020300105</v>
      </c>
      <c r="G76" s="8" t="s">
        <v>192</v>
      </c>
      <c r="H76" t="s">
        <v>47</v>
      </c>
      <c r="I76" s="11">
        <v>80000000</v>
      </c>
      <c r="J76" s="11">
        <v>80000000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80000000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145104975</v>
      </c>
      <c r="X76" s="11">
        <v>2417200</v>
      </c>
      <c r="Y76" s="17">
        <v>142687775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145104975</v>
      </c>
      <c r="AG76" s="11">
        <v>2417200</v>
      </c>
      <c r="AH76" s="12">
        <v>142687775</v>
      </c>
      <c r="AI76" s="11">
        <v>142687775</v>
      </c>
      <c r="AJ76" s="11">
        <v>543962</v>
      </c>
      <c r="AK76" s="11">
        <v>543962</v>
      </c>
      <c r="AL76" s="11">
        <v>142143813</v>
      </c>
      <c r="AM76" s="11">
        <v>144561013</v>
      </c>
      <c r="AN76" s="11">
        <v>2417200</v>
      </c>
      <c r="AO76" s="11">
        <v>144561013</v>
      </c>
      <c r="AP76" s="11">
        <v>0</v>
      </c>
      <c r="AQ76" s="11">
        <v>2417200</v>
      </c>
      <c r="AR76" t="s">
        <v>57</v>
      </c>
      <c r="AS76" s="4" t="str">
        <f t="shared" si="18"/>
        <v>Sanciones administrativas</v>
      </c>
      <c r="AT76" t="str">
        <f t="shared" si="19"/>
        <v>20Sanciones administrativas142687775</v>
      </c>
      <c r="AU76" t="str">
        <f>+_xlfn.XLOOKUP(AT76,CRUCE!K:K,CRUCE!M:M)</f>
        <v>READY</v>
      </c>
      <c r="AV76" t="s">
        <v>1907</v>
      </c>
    </row>
    <row r="77" spans="1:48" x14ac:dyDescent="0.3">
      <c r="A77">
        <v>2023</v>
      </c>
      <c r="B77">
        <v>307</v>
      </c>
      <c r="C77">
        <v>11020300106</v>
      </c>
      <c r="D77" s="5">
        <v>20</v>
      </c>
      <c r="E77" s="8" t="s">
        <v>193</v>
      </c>
      <c r="F77">
        <v>11020300106</v>
      </c>
      <c r="G77" s="8" t="s">
        <v>194</v>
      </c>
      <c r="H77" t="s">
        <v>47</v>
      </c>
      <c r="I77" s="11">
        <v>1000000</v>
      </c>
      <c r="J77" s="11">
        <v>1000000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1000000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9959056</v>
      </c>
      <c r="X77" s="11">
        <v>0</v>
      </c>
      <c r="Y77" s="17">
        <v>9959056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9959056</v>
      </c>
      <c r="AG77" s="11">
        <v>0</v>
      </c>
      <c r="AH77" s="12">
        <v>9959056</v>
      </c>
      <c r="AI77" s="11">
        <v>9959056</v>
      </c>
      <c r="AJ77" s="11">
        <v>0</v>
      </c>
      <c r="AK77" s="11">
        <v>0</v>
      </c>
      <c r="AL77" s="11">
        <v>9959056</v>
      </c>
      <c r="AM77" s="11">
        <v>9959056</v>
      </c>
      <c r="AN77" s="11">
        <v>0</v>
      </c>
      <c r="AO77" s="11">
        <v>9959056</v>
      </c>
      <c r="AP77" s="11">
        <v>0</v>
      </c>
      <c r="AQ77" s="11">
        <v>0</v>
      </c>
      <c r="AR77" t="s">
        <v>57</v>
      </c>
      <c r="AS77" s="4" t="str">
        <f t="shared" si="18"/>
        <v>Sanciones fiscales</v>
      </c>
      <c r="AT77" t="str">
        <f t="shared" si="19"/>
        <v>20Sanciones fiscales9959056</v>
      </c>
      <c r="AU77" t="str">
        <f>+_xlfn.XLOOKUP(AT77,CRUCE!K:K,CRUCE!M:M)</f>
        <v>READY</v>
      </c>
      <c r="AV77" t="s">
        <v>1907</v>
      </c>
    </row>
    <row r="78" spans="1:48" hidden="1" x14ac:dyDescent="0.3">
      <c r="A78">
        <v>2023</v>
      </c>
      <c r="B78">
        <v>307</v>
      </c>
      <c r="C78">
        <v>11020300111</v>
      </c>
      <c r="D78" s="5" t="s">
        <v>44</v>
      </c>
      <c r="E78" s="8" t="s">
        <v>197</v>
      </c>
      <c r="F78">
        <v>11020300111</v>
      </c>
      <c r="G78" s="8" t="s">
        <v>198</v>
      </c>
      <c r="H78" t="s">
        <v>47</v>
      </c>
      <c r="I78" s="11">
        <v>2625778591</v>
      </c>
      <c r="J78" s="11">
        <v>2625778591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2625778591</v>
      </c>
      <c r="Q78" s="11">
        <v>11222108149.93</v>
      </c>
      <c r="R78" s="11">
        <v>60755233.960000001</v>
      </c>
      <c r="S78" s="11">
        <v>11161352915.969999</v>
      </c>
      <c r="T78" s="11">
        <v>0</v>
      </c>
      <c r="U78" s="11">
        <v>0</v>
      </c>
      <c r="V78" s="11">
        <v>0</v>
      </c>
      <c r="W78" s="11">
        <v>3678109547.5300002</v>
      </c>
      <c r="X78" s="11">
        <v>35240640</v>
      </c>
      <c r="Y78" s="17">
        <v>3642868907.5300002</v>
      </c>
      <c r="Z78" s="11">
        <v>11222108149.93</v>
      </c>
      <c r="AA78" s="11">
        <v>60755233.960000001</v>
      </c>
      <c r="AB78" s="11">
        <v>11161352915.969999</v>
      </c>
      <c r="AC78" s="11">
        <v>0</v>
      </c>
      <c r="AD78" s="11">
        <v>0</v>
      </c>
      <c r="AE78" s="11">
        <v>0</v>
      </c>
      <c r="AF78" s="11">
        <v>3678109547.5300002</v>
      </c>
      <c r="AG78" s="11">
        <v>35240640</v>
      </c>
      <c r="AH78" s="12">
        <v>3642868907.5300002</v>
      </c>
      <c r="AI78" s="11">
        <v>3642868907.5300002</v>
      </c>
      <c r="AJ78" s="11">
        <v>0</v>
      </c>
      <c r="AK78" s="11">
        <v>0</v>
      </c>
      <c r="AL78" s="11">
        <v>3647344747.5300002</v>
      </c>
      <c r="AM78" s="11">
        <v>3675561547.5300002</v>
      </c>
      <c r="AN78" s="11">
        <v>28216800</v>
      </c>
      <c r="AO78" s="11">
        <v>3675561547.5300002</v>
      </c>
      <c r="AP78" s="11">
        <v>0</v>
      </c>
      <c r="AQ78" s="11">
        <v>28216800</v>
      </c>
      <c r="AR78" t="s">
        <v>48</v>
      </c>
      <c r="AS78"/>
    </row>
    <row r="79" spans="1:48" x14ac:dyDescent="0.3">
      <c r="A79">
        <v>2023</v>
      </c>
      <c r="B79">
        <v>307</v>
      </c>
      <c r="C79">
        <v>1102030011101</v>
      </c>
      <c r="D79" s="5">
        <v>20</v>
      </c>
      <c r="E79" s="8" t="s">
        <v>1073</v>
      </c>
      <c r="F79">
        <v>1102030011101</v>
      </c>
      <c r="G79" s="8" t="s">
        <v>205</v>
      </c>
      <c r="H79" t="s">
        <v>47</v>
      </c>
      <c r="I79" s="11">
        <v>2625778591</v>
      </c>
      <c r="J79" s="11">
        <v>2625778591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2625778591</v>
      </c>
      <c r="Q79" s="11">
        <v>11222108149.93</v>
      </c>
      <c r="R79" s="11">
        <v>60755233.960000001</v>
      </c>
      <c r="S79" s="11">
        <v>11161352915.969999</v>
      </c>
      <c r="T79" s="11">
        <v>0</v>
      </c>
      <c r="U79" s="11">
        <v>0</v>
      </c>
      <c r="V79" s="11">
        <v>0</v>
      </c>
      <c r="W79" s="11">
        <v>3678109547.5300002</v>
      </c>
      <c r="X79" s="11">
        <v>35240640</v>
      </c>
      <c r="Y79" s="17">
        <v>3642868907.5300002</v>
      </c>
      <c r="Z79" s="11">
        <v>11222108149.93</v>
      </c>
      <c r="AA79" s="11">
        <v>60755233.960000001</v>
      </c>
      <c r="AB79" s="11">
        <v>11161352915.969999</v>
      </c>
      <c r="AC79" s="11">
        <v>0</v>
      </c>
      <c r="AD79" s="11">
        <v>0</v>
      </c>
      <c r="AE79" s="11">
        <v>0</v>
      </c>
      <c r="AF79" s="11">
        <v>3678109547.5300002</v>
      </c>
      <c r="AG79" s="11">
        <v>35240640</v>
      </c>
      <c r="AH79" s="12">
        <v>3642868907.5300002</v>
      </c>
      <c r="AI79" s="11">
        <v>3642868907.5300002</v>
      </c>
      <c r="AJ79" s="11">
        <v>0</v>
      </c>
      <c r="AK79" s="11">
        <v>0</v>
      </c>
      <c r="AL79" s="11">
        <v>3647344747.5300002</v>
      </c>
      <c r="AM79" s="11">
        <v>3675561547.5300002</v>
      </c>
      <c r="AN79" s="11">
        <v>28216800</v>
      </c>
      <c r="AO79" s="11">
        <v>3675561547.5300002</v>
      </c>
      <c r="AP79" s="11">
        <v>0</v>
      </c>
      <c r="AQ79" s="11">
        <v>28216800</v>
      </c>
      <c r="AR79" t="s">
        <v>57</v>
      </c>
      <c r="AS79" s="4" t="str">
        <f t="shared" ref="AS79:AS81" si="20">+G79</f>
        <v>Impuesto sobre vehículos automotores (Sanciones )</v>
      </c>
      <c r="AT79" t="str">
        <f t="shared" ref="AT79:AT81" si="21">+D79&amp;AS79&amp;Y79</f>
        <v>20Impuesto sobre vehículos automotores (Sanciones )3642868907,53</v>
      </c>
      <c r="AU79" t="str">
        <f>+_xlfn.XLOOKUP(AT79,CRUCE!K:K,CRUCE!M:M)</f>
        <v>READY</v>
      </c>
      <c r="AV79" t="s">
        <v>1907</v>
      </c>
    </row>
    <row r="80" spans="1:48" x14ac:dyDescent="0.3">
      <c r="A80">
        <v>2023</v>
      </c>
      <c r="B80">
        <v>307</v>
      </c>
      <c r="C80">
        <v>11020300113</v>
      </c>
      <c r="D80" s="5">
        <v>20</v>
      </c>
      <c r="E80" s="8" t="s">
        <v>206</v>
      </c>
      <c r="F80">
        <v>11020300113</v>
      </c>
      <c r="G80" s="8" t="s">
        <v>207</v>
      </c>
      <c r="H80" t="s">
        <v>47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52140452</v>
      </c>
      <c r="X80" s="11">
        <v>0</v>
      </c>
      <c r="Y80" s="17">
        <v>52140452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52140452</v>
      </c>
      <c r="AG80" s="11">
        <v>0</v>
      </c>
      <c r="AH80" s="12">
        <v>52140452</v>
      </c>
      <c r="AI80" s="11">
        <v>52140452</v>
      </c>
      <c r="AJ80" s="11">
        <v>0</v>
      </c>
      <c r="AK80" s="11">
        <v>0</v>
      </c>
      <c r="AL80" s="11">
        <v>52140452</v>
      </c>
      <c r="AM80" s="11">
        <v>52140452</v>
      </c>
      <c r="AN80" s="11">
        <v>0</v>
      </c>
      <c r="AO80" s="11">
        <v>52140452</v>
      </c>
      <c r="AP80" s="11">
        <v>0</v>
      </c>
      <c r="AQ80" s="11">
        <v>0</v>
      </c>
      <c r="AR80" t="s">
        <v>57</v>
      </c>
      <c r="AS80" s="4" t="str">
        <f t="shared" si="20"/>
        <v>Sanciones sanitarias</v>
      </c>
      <c r="AT80" t="str">
        <f t="shared" si="21"/>
        <v>20Sanciones sanitarias52140452</v>
      </c>
      <c r="AU80" t="str">
        <f>+_xlfn.XLOOKUP(AT80,CRUCE!K:K,CRUCE!M:M)</f>
        <v>READY</v>
      </c>
      <c r="AV80" t="s">
        <v>1907</v>
      </c>
    </row>
    <row r="81" spans="1:48" x14ac:dyDescent="0.3">
      <c r="A81">
        <v>2023</v>
      </c>
      <c r="B81">
        <v>307</v>
      </c>
      <c r="C81">
        <v>11020300118</v>
      </c>
      <c r="D81" s="5">
        <v>20</v>
      </c>
      <c r="E81" s="8" t="s">
        <v>210</v>
      </c>
      <c r="F81">
        <v>11020300118</v>
      </c>
      <c r="G81" s="8" t="s">
        <v>211</v>
      </c>
      <c r="H81" t="s">
        <v>47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1045235</v>
      </c>
      <c r="X81" s="11">
        <v>0</v>
      </c>
      <c r="Y81" s="17">
        <v>1045235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1045235</v>
      </c>
      <c r="AG81" s="11">
        <v>0</v>
      </c>
      <c r="AH81" s="12">
        <v>1045235</v>
      </c>
      <c r="AI81" s="11">
        <v>1045235</v>
      </c>
      <c r="AJ81" s="11">
        <v>0</v>
      </c>
      <c r="AK81" s="11">
        <v>0</v>
      </c>
      <c r="AL81" s="11">
        <v>1045235</v>
      </c>
      <c r="AM81" s="11">
        <v>1045235</v>
      </c>
      <c r="AN81" s="11">
        <v>0</v>
      </c>
      <c r="AO81" s="11">
        <v>1045235</v>
      </c>
      <c r="AP81" s="11">
        <v>0</v>
      </c>
      <c r="AQ81" s="11">
        <v>0</v>
      </c>
      <c r="AR81" t="s">
        <v>57</v>
      </c>
      <c r="AS81" s="4" t="str">
        <f t="shared" si="20"/>
        <v>Multas y sanciones por violación al régimen de venta de medicamentos controlados</v>
      </c>
      <c r="AT81" t="str">
        <f t="shared" si="21"/>
        <v>20Multas y sanciones por violación al régimen de venta de medicamentos controlados1045235</v>
      </c>
      <c r="AU81" t="str">
        <f>+_xlfn.XLOOKUP(AT81,CRUCE!K:K,CRUCE!M:M)</f>
        <v>READY</v>
      </c>
      <c r="AV81" t="s">
        <v>1907</v>
      </c>
    </row>
    <row r="82" spans="1:48" hidden="1" x14ac:dyDescent="0.3">
      <c r="A82">
        <v>2023</v>
      </c>
      <c r="B82">
        <v>307</v>
      </c>
      <c r="C82">
        <v>110203002</v>
      </c>
      <c r="D82" s="5" t="s">
        <v>44</v>
      </c>
      <c r="E82" s="8" t="s">
        <v>212</v>
      </c>
      <c r="F82">
        <v>110203002</v>
      </c>
      <c r="G82" s="8" t="s">
        <v>213</v>
      </c>
      <c r="H82" t="s">
        <v>47</v>
      </c>
      <c r="I82" s="11">
        <v>720959245</v>
      </c>
      <c r="J82" s="11">
        <v>720959245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720959245</v>
      </c>
      <c r="Q82" s="11">
        <v>6768905246.8500004</v>
      </c>
      <c r="R82" s="11">
        <v>73298942</v>
      </c>
      <c r="S82" s="11">
        <v>6695606304.8500004</v>
      </c>
      <c r="T82" s="11">
        <v>0</v>
      </c>
      <c r="U82" s="11">
        <v>0</v>
      </c>
      <c r="V82" s="11">
        <v>0</v>
      </c>
      <c r="W82" s="11">
        <v>1239757175.8199999</v>
      </c>
      <c r="X82" s="11">
        <v>323704966.38999999</v>
      </c>
      <c r="Y82" s="17">
        <v>916052209.42999995</v>
      </c>
      <c r="Z82" s="11">
        <v>6768905246.8500004</v>
      </c>
      <c r="AA82" s="11">
        <v>73298942</v>
      </c>
      <c r="AB82" s="11">
        <v>6695606304.8500004</v>
      </c>
      <c r="AC82" s="11">
        <v>0</v>
      </c>
      <c r="AD82" s="11">
        <v>0</v>
      </c>
      <c r="AE82" s="11">
        <v>0</v>
      </c>
      <c r="AF82" s="11">
        <v>1239757175.8199999</v>
      </c>
      <c r="AG82" s="11">
        <v>323704966.38999999</v>
      </c>
      <c r="AH82" s="12">
        <v>916052209.42999995</v>
      </c>
      <c r="AI82" s="11">
        <v>916052209.42999995</v>
      </c>
      <c r="AJ82" s="11">
        <v>0</v>
      </c>
      <c r="AK82" s="11">
        <v>0</v>
      </c>
      <c r="AL82" s="11">
        <v>917396369.42999995</v>
      </c>
      <c r="AM82" s="11">
        <v>1237209175.8199999</v>
      </c>
      <c r="AN82" s="11">
        <v>319812806.38999999</v>
      </c>
      <c r="AO82" s="11">
        <v>1237209175.8199999</v>
      </c>
      <c r="AP82" s="11">
        <v>0</v>
      </c>
      <c r="AQ82" s="11">
        <v>319812806.38999999</v>
      </c>
      <c r="AR82" t="s">
        <v>48</v>
      </c>
      <c r="AS82"/>
    </row>
    <row r="83" spans="1:48" hidden="1" x14ac:dyDescent="0.3">
      <c r="A83">
        <v>2023</v>
      </c>
      <c r="B83">
        <v>307</v>
      </c>
      <c r="C83">
        <v>11020300201</v>
      </c>
      <c r="D83" s="5" t="s">
        <v>44</v>
      </c>
      <c r="E83" s="8" t="s">
        <v>214</v>
      </c>
      <c r="F83">
        <v>11020300201</v>
      </c>
      <c r="G83" s="8" t="s">
        <v>46</v>
      </c>
      <c r="H83" t="s">
        <v>47</v>
      </c>
      <c r="I83" s="11">
        <v>720959245</v>
      </c>
      <c r="J83" s="11">
        <v>720959245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720959245</v>
      </c>
      <c r="Q83" s="11">
        <v>6768905246.8500004</v>
      </c>
      <c r="R83" s="11">
        <v>73298942</v>
      </c>
      <c r="S83" s="11">
        <v>6695606304.8500004</v>
      </c>
      <c r="T83" s="11">
        <v>0</v>
      </c>
      <c r="U83" s="11">
        <v>0</v>
      </c>
      <c r="V83" s="11">
        <v>0</v>
      </c>
      <c r="W83" s="11">
        <v>1239757175.8199999</v>
      </c>
      <c r="X83" s="11">
        <v>323704966.38999999</v>
      </c>
      <c r="Y83" s="17">
        <v>916052209.42999995</v>
      </c>
      <c r="Z83" s="11">
        <v>6768905246.8500004</v>
      </c>
      <c r="AA83" s="11">
        <v>73298942</v>
      </c>
      <c r="AB83" s="11">
        <v>6695606304.8500004</v>
      </c>
      <c r="AC83" s="11">
        <v>0</v>
      </c>
      <c r="AD83" s="11">
        <v>0</v>
      </c>
      <c r="AE83" s="11">
        <v>0</v>
      </c>
      <c r="AF83" s="11">
        <v>1239757175.8199999</v>
      </c>
      <c r="AG83" s="11">
        <v>323704966.38999999</v>
      </c>
      <c r="AH83" s="12">
        <v>916052209.42999995</v>
      </c>
      <c r="AI83" s="11">
        <v>916052209.42999995</v>
      </c>
      <c r="AJ83" s="11">
        <v>0</v>
      </c>
      <c r="AK83" s="11">
        <v>0</v>
      </c>
      <c r="AL83" s="11">
        <v>917396369.42999995</v>
      </c>
      <c r="AM83" s="11">
        <v>1237209175.8199999</v>
      </c>
      <c r="AN83" s="11">
        <v>319812806.38999999</v>
      </c>
      <c r="AO83" s="11">
        <v>1237209175.8199999</v>
      </c>
      <c r="AP83" s="11">
        <v>0</v>
      </c>
      <c r="AQ83" s="11">
        <v>319812806.38999999</v>
      </c>
      <c r="AR83" t="s">
        <v>48</v>
      </c>
      <c r="AS83"/>
    </row>
    <row r="84" spans="1:48" hidden="1" x14ac:dyDescent="0.3">
      <c r="A84">
        <v>2023</v>
      </c>
      <c r="B84">
        <v>307</v>
      </c>
      <c r="C84">
        <v>1102030020101</v>
      </c>
      <c r="D84" s="5" t="s">
        <v>44</v>
      </c>
      <c r="E84" s="8" t="s">
        <v>215</v>
      </c>
      <c r="F84">
        <v>1102030020101</v>
      </c>
      <c r="G84" s="8" t="s">
        <v>50</v>
      </c>
      <c r="H84" t="s">
        <v>47</v>
      </c>
      <c r="I84" s="11">
        <v>720959245</v>
      </c>
      <c r="J84" s="11">
        <v>720959245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720959245</v>
      </c>
      <c r="Q84" s="11">
        <v>6768905246.8500004</v>
      </c>
      <c r="R84" s="11">
        <v>73298942</v>
      </c>
      <c r="S84" s="11">
        <v>6695606304.8500004</v>
      </c>
      <c r="T84" s="11">
        <v>0</v>
      </c>
      <c r="U84" s="11">
        <v>0</v>
      </c>
      <c r="V84" s="11">
        <v>0</v>
      </c>
      <c r="W84" s="11">
        <v>1236261836.8199999</v>
      </c>
      <c r="X84" s="11">
        <v>323704966.38999999</v>
      </c>
      <c r="Y84" s="17">
        <v>912556870.42999995</v>
      </c>
      <c r="Z84" s="11">
        <v>6768905246.8500004</v>
      </c>
      <c r="AA84" s="11">
        <v>73298942</v>
      </c>
      <c r="AB84" s="11">
        <v>6695606304.8500004</v>
      </c>
      <c r="AC84" s="11">
        <v>0</v>
      </c>
      <c r="AD84" s="11">
        <v>0</v>
      </c>
      <c r="AE84" s="11">
        <v>0</v>
      </c>
      <c r="AF84" s="11">
        <v>1236261836.8199999</v>
      </c>
      <c r="AG84" s="11">
        <v>323704966.38999999</v>
      </c>
      <c r="AH84" s="12">
        <v>912556870.42999995</v>
      </c>
      <c r="AI84" s="11">
        <v>912556870.42999995</v>
      </c>
      <c r="AJ84" s="11">
        <v>0</v>
      </c>
      <c r="AK84" s="11">
        <v>0</v>
      </c>
      <c r="AL84" s="11">
        <v>913901030.42999995</v>
      </c>
      <c r="AM84" s="11">
        <v>1233713836.8199999</v>
      </c>
      <c r="AN84" s="11">
        <v>319812806.38999999</v>
      </c>
      <c r="AO84" s="11">
        <v>1233713836.8199999</v>
      </c>
      <c r="AP84" s="11">
        <v>0</v>
      </c>
      <c r="AQ84" s="11">
        <v>319812806.38999999</v>
      </c>
      <c r="AR84" t="s">
        <v>48</v>
      </c>
      <c r="AS84"/>
    </row>
    <row r="85" spans="1:48" hidden="1" x14ac:dyDescent="0.3">
      <c r="A85">
        <v>2023</v>
      </c>
      <c r="B85">
        <v>307</v>
      </c>
      <c r="C85">
        <v>110203002010101</v>
      </c>
      <c r="D85" s="5" t="s">
        <v>44</v>
      </c>
      <c r="E85" s="8" t="s">
        <v>216</v>
      </c>
      <c r="F85">
        <v>110203002010101</v>
      </c>
      <c r="G85" s="8" t="s">
        <v>202</v>
      </c>
      <c r="H85" t="s">
        <v>47</v>
      </c>
      <c r="I85" s="11">
        <v>720959245</v>
      </c>
      <c r="J85" s="11">
        <v>720959245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720959245</v>
      </c>
      <c r="Q85" s="11">
        <v>6768905246.8500004</v>
      </c>
      <c r="R85" s="11">
        <v>73298942</v>
      </c>
      <c r="S85" s="11">
        <v>6695606304.8500004</v>
      </c>
      <c r="T85" s="11">
        <v>0</v>
      </c>
      <c r="U85" s="11">
        <v>0</v>
      </c>
      <c r="V85" s="11">
        <v>0</v>
      </c>
      <c r="W85" s="11">
        <v>1236261836.8199999</v>
      </c>
      <c r="X85" s="11">
        <v>323704966.38999999</v>
      </c>
      <c r="Y85" s="17">
        <v>912556870.42999995</v>
      </c>
      <c r="Z85" s="11">
        <v>6768905246.8500004</v>
      </c>
      <c r="AA85" s="11">
        <v>73298942</v>
      </c>
      <c r="AB85" s="11">
        <v>6695606304.8500004</v>
      </c>
      <c r="AC85" s="11">
        <v>0</v>
      </c>
      <c r="AD85" s="11">
        <v>0</v>
      </c>
      <c r="AE85" s="11">
        <v>0</v>
      </c>
      <c r="AF85" s="11">
        <v>1236261836.8199999</v>
      </c>
      <c r="AG85" s="11">
        <v>323704966.38999999</v>
      </c>
      <c r="AH85" s="12">
        <v>912556870.42999995</v>
      </c>
      <c r="AI85" s="11">
        <v>912556870.42999995</v>
      </c>
      <c r="AJ85" s="11">
        <v>0</v>
      </c>
      <c r="AK85" s="11">
        <v>0</v>
      </c>
      <c r="AL85" s="11">
        <v>913901030.42999995</v>
      </c>
      <c r="AM85" s="11">
        <v>1233713836.8199999</v>
      </c>
      <c r="AN85" s="11">
        <v>319812806.38999999</v>
      </c>
      <c r="AO85" s="11">
        <v>1233713836.8199999</v>
      </c>
      <c r="AP85" s="11">
        <v>0</v>
      </c>
      <c r="AQ85" s="11">
        <v>319812806.38999999</v>
      </c>
      <c r="AR85" t="s">
        <v>48</v>
      </c>
      <c r="AS85"/>
    </row>
    <row r="86" spans="1:48" hidden="1" x14ac:dyDescent="0.3">
      <c r="A86">
        <v>2023</v>
      </c>
      <c r="B86">
        <v>307</v>
      </c>
      <c r="C86">
        <v>1.1020300201010099E+17</v>
      </c>
      <c r="D86" s="5" t="s">
        <v>44</v>
      </c>
      <c r="E86" s="8" t="s">
        <v>1074</v>
      </c>
      <c r="F86">
        <v>1.1020300201010099E+17</v>
      </c>
      <c r="G86" s="8" t="s">
        <v>218</v>
      </c>
      <c r="H86" t="s">
        <v>47</v>
      </c>
      <c r="I86" s="11">
        <v>720959245</v>
      </c>
      <c r="J86" s="11">
        <v>720959245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720959245</v>
      </c>
      <c r="Q86" s="11">
        <v>6768905246.8500004</v>
      </c>
      <c r="R86" s="11">
        <v>73298942</v>
      </c>
      <c r="S86" s="11">
        <v>6695606304.8500004</v>
      </c>
      <c r="T86" s="11">
        <v>0</v>
      </c>
      <c r="U86" s="11">
        <v>0</v>
      </c>
      <c r="V86" s="11">
        <v>0</v>
      </c>
      <c r="W86" s="11">
        <v>1236261836.8199999</v>
      </c>
      <c r="X86" s="11">
        <v>323704966.38999999</v>
      </c>
      <c r="Y86" s="17">
        <v>912556870.42999995</v>
      </c>
      <c r="Z86" s="11">
        <v>6768905246.8500004</v>
      </c>
      <c r="AA86" s="11">
        <v>73298942</v>
      </c>
      <c r="AB86" s="11">
        <v>6695606304.8500004</v>
      </c>
      <c r="AC86" s="11">
        <v>0</v>
      </c>
      <c r="AD86" s="11">
        <v>0</v>
      </c>
      <c r="AE86" s="11">
        <v>0</v>
      </c>
      <c r="AF86" s="11">
        <v>1236261836.8199999</v>
      </c>
      <c r="AG86" s="11">
        <v>323704966.38999999</v>
      </c>
      <c r="AH86" s="12">
        <v>912556870.42999995</v>
      </c>
      <c r="AI86" s="11">
        <v>912556870.42999995</v>
      </c>
      <c r="AJ86" s="11">
        <v>0</v>
      </c>
      <c r="AK86" s="11">
        <v>0</v>
      </c>
      <c r="AL86" s="11">
        <v>913901030.42999995</v>
      </c>
      <c r="AM86" s="11">
        <v>1233713836.8199999</v>
      </c>
      <c r="AN86" s="11">
        <v>319812806.38999999</v>
      </c>
      <c r="AO86" s="11">
        <v>1233713836.8199999</v>
      </c>
      <c r="AP86" s="11">
        <v>0</v>
      </c>
      <c r="AQ86" s="11">
        <v>319812806.38999999</v>
      </c>
      <c r="AR86" t="s">
        <v>48</v>
      </c>
      <c r="AS86"/>
    </row>
    <row r="87" spans="1:48" x14ac:dyDescent="0.3">
      <c r="A87">
        <v>2023</v>
      </c>
      <c r="B87">
        <v>307</v>
      </c>
      <c r="C87">
        <v>1.1020300201010101E+20</v>
      </c>
      <c r="D87" s="5">
        <v>20</v>
      </c>
      <c r="E87" s="8" t="s">
        <v>219</v>
      </c>
      <c r="F87">
        <v>1.1020300201010101E+20</v>
      </c>
      <c r="G87" s="8" t="s">
        <v>220</v>
      </c>
      <c r="H87" t="s">
        <v>47</v>
      </c>
      <c r="I87" s="11">
        <v>720959245</v>
      </c>
      <c r="J87" s="11">
        <v>720959245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720959245</v>
      </c>
      <c r="Q87" s="11">
        <v>6768905246.8500004</v>
      </c>
      <c r="R87" s="11">
        <v>73298942</v>
      </c>
      <c r="S87" s="11">
        <v>6695606304.8500004</v>
      </c>
      <c r="T87" s="11">
        <v>0</v>
      </c>
      <c r="U87" s="11">
        <v>0</v>
      </c>
      <c r="V87" s="11">
        <v>0</v>
      </c>
      <c r="W87" s="11">
        <v>1236261836.8199999</v>
      </c>
      <c r="X87" s="11">
        <v>323704966.38999999</v>
      </c>
      <c r="Y87" s="17">
        <v>912556870.42999995</v>
      </c>
      <c r="Z87" s="11">
        <v>6768905246.8500004</v>
      </c>
      <c r="AA87" s="11">
        <v>73298942</v>
      </c>
      <c r="AB87" s="11">
        <v>6695606304.8500004</v>
      </c>
      <c r="AC87" s="11">
        <v>0</v>
      </c>
      <c r="AD87" s="11">
        <v>0</v>
      </c>
      <c r="AE87" s="11">
        <v>0</v>
      </c>
      <c r="AF87" s="11">
        <v>1236261836.8199999</v>
      </c>
      <c r="AG87" s="11">
        <v>323704966.38999999</v>
      </c>
      <c r="AH87" s="12">
        <v>912556870.42999995</v>
      </c>
      <c r="AI87" s="11">
        <v>912556870.42999995</v>
      </c>
      <c r="AJ87" s="11">
        <v>0</v>
      </c>
      <c r="AK87" s="11">
        <v>0</v>
      </c>
      <c r="AL87" s="11">
        <v>913901030.42999995</v>
      </c>
      <c r="AM87" s="11">
        <v>1233713836.8199999</v>
      </c>
      <c r="AN87" s="11">
        <v>319812806.38999999</v>
      </c>
      <c r="AO87" s="11">
        <v>1233713836.8199999</v>
      </c>
      <c r="AP87" s="11">
        <v>0</v>
      </c>
      <c r="AQ87" s="11">
        <v>319812806.38999999</v>
      </c>
      <c r="AR87" t="s">
        <v>57</v>
      </c>
      <c r="AS87" s="4" t="str">
        <f>+G87</f>
        <v>Impuesto sobre vehículos automotores (Intereses de Mora)</v>
      </c>
      <c r="AT87" t="str">
        <f>+D87&amp;AS87&amp;Y87</f>
        <v>20Impuesto sobre vehículos automotores (Intereses de Mora)912556870,43</v>
      </c>
      <c r="AU87" t="str">
        <f>+_xlfn.XLOOKUP(AT87,CRUCE!K:K,CRUCE!M:M)</f>
        <v>READY</v>
      </c>
      <c r="AV87" t="s">
        <v>1907</v>
      </c>
    </row>
    <row r="88" spans="1:48" hidden="1" x14ac:dyDescent="0.3">
      <c r="A88">
        <v>2023</v>
      </c>
      <c r="B88">
        <v>307</v>
      </c>
      <c r="C88">
        <v>1102030020102</v>
      </c>
      <c r="D88" s="5" t="s">
        <v>44</v>
      </c>
      <c r="E88" s="8" t="s">
        <v>1328</v>
      </c>
      <c r="F88">
        <v>1102030020102</v>
      </c>
      <c r="G88" s="8" t="s">
        <v>1329</v>
      </c>
      <c r="H88" t="s">
        <v>47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3495339</v>
      </c>
      <c r="X88" s="11">
        <v>0</v>
      </c>
      <c r="Y88" s="17">
        <v>3495339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3495339</v>
      </c>
      <c r="AG88" s="11">
        <v>0</v>
      </c>
      <c r="AH88" s="12">
        <v>3495339</v>
      </c>
      <c r="AI88" s="11">
        <v>3495339</v>
      </c>
      <c r="AJ88" s="11">
        <v>0</v>
      </c>
      <c r="AK88" s="11">
        <v>0</v>
      </c>
      <c r="AL88" s="11">
        <v>3495339</v>
      </c>
      <c r="AM88" s="11">
        <v>3495339</v>
      </c>
      <c r="AN88" s="11">
        <v>0</v>
      </c>
      <c r="AO88" s="11">
        <v>3495339</v>
      </c>
      <c r="AP88" s="11">
        <v>0</v>
      </c>
      <c r="AQ88" s="11">
        <v>0</v>
      </c>
      <c r="AR88" t="s">
        <v>48</v>
      </c>
      <c r="AS88"/>
    </row>
    <row r="89" spans="1:48" hidden="1" x14ac:dyDescent="0.3">
      <c r="A89">
        <v>2023</v>
      </c>
      <c r="B89">
        <v>307</v>
      </c>
      <c r="C89">
        <v>110203002010201</v>
      </c>
      <c r="D89" s="5" t="s">
        <v>44</v>
      </c>
      <c r="E89" s="8" t="s">
        <v>1330</v>
      </c>
      <c r="F89">
        <v>110203002010201</v>
      </c>
      <c r="G89" s="8" t="s">
        <v>1331</v>
      </c>
      <c r="H89" t="s">
        <v>47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3495339</v>
      </c>
      <c r="X89" s="11">
        <v>0</v>
      </c>
      <c r="Y89" s="17">
        <v>3495339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3495339</v>
      </c>
      <c r="AG89" s="11">
        <v>0</v>
      </c>
      <c r="AH89" s="12">
        <v>3495339</v>
      </c>
      <c r="AI89" s="11">
        <v>3495339</v>
      </c>
      <c r="AJ89" s="11">
        <v>0</v>
      </c>
      <c r="AK89" s="11">
        <v>0</v>
      </c>
      <c r="AL89" s="11">
        <v>3495339</v>
      </c>
      <c r="AM89" s="11">
        <v>3495339</v>
      </c>
      <c r="AN89" s="11">
        <v>0</v>
      </c>
      <c r="AO89" s="11">
        <v>3495339</v>
      </c>
      <c r="AP89" s="11">
        <v>0</v>
      </c>
      <c r="AQ89" s="11">
        <v>0</v>
      </c>
      <c r="AR89" t="s">
        <v>48</v>
      </c>
      <c r="AS89"/>
    </row>
    <row r="90" spans="1:48" x14ac:dyDescent="0.3">
      <c r="A90">
        <v>2023</v>
      </c>
      <c r="B90">
        <v>307</v>
      </c>
      <c r="C90">
        <v>1.1020300201020099E+17</v>
      </c>
      <c r="D90" s="5">
        <v>50</v>
      </c>
      <c r="E90" s="8" t="s">
        <v>1332</v>
      </c>
      <c r="F90">
        <v>1.1020300201020099E+17</v>
      </c>
      <c r="G90" s="8" t="s">
        <v>1333</v>
      </c>
      <c r="H90" t="s">
        <v>47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3495339</v>
      </c>
      <c r="X90" s="11">
        <v>0</v>
      </c>
      <c r="Y90" s="17">
        <v>3495339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3495339</v>
      </c>
      <c r="AG90" s="11">
        <v>0</v>
      </c>
      <c r="AH90" s="12">
        <v>3495339</v>
      </c>
      <c r="AI90" s="11">
        <v>3495339</v>
      </c>
      <c r="AJ90" s="11">
        <v>0</v>
      </c>
      <c r="AK90" s="11">
        <v>0</v>
      </c>
      <c r="AL90" s="11">
        <v>3495339</v>
      </c>
      <c r="AM90" s="11">
        <v>3495339</v>
      </c>
      <c r="AN90" s="11">
        <v>0</v>
      </c>
      <c r="AO90" s="11">
        <v>3495339</v>
      </c>
      <c r="AP90" s="11">
        <v>0</v>
      </c>
      <c r="AQ90" s="11">
        <v>0</v>
      </c>
      <c r="AR90" t="s">
        <v>1334</v>
      </c>
      <c r="AS90" s="4" t="str">
        <f>+G90</f>
        <v>Recuperación cuotas partes pensionales</v>
      </c>
      <c r="AT90" t="str">
        <f>+D90&amp;AS90&amp;Y90</f>
        <v>50Recuperación cuotas partes pensionales3495339</v>
      </c>
      <c r="AU90" t="e">
        <f>+_xlfn.XLOOKUP(AT90,CRUCE!K:K,CRUCE!M:M)</f>
        <v>#N/A</v>
      </c>
      <c r="AV90" t="s">
        <v>1907</v>
      </c>
    </row>
    <row r="91" spans="1:48" hidden="1" x14ac:dyDescent="0.3">
      <c r="A91">
        <v>2023</v>
      </c>
      <c r="B91">
        <v>307</v>
      </c>
      <c r="C91">
        <v>110205</v>
      </c>
      <c r="D91" s="5" t="s">
        <v>44</v>
      </c>
      <c r="E91" s="8" t="s">
        <v>221</v>
      </c>
      <c r="F91">
        <v>110205</v>
      </c>
      <c r="G91" s="8" t="s">
        <v>222</v>
      </c>
      <c r="H91" t="s">
        <v>47</v>
      </c>
      <c r="I91" s="11">
        <v>250973692</v>
      </c>
      <c r="J91" s="11">
        <v>250973692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250973692</v>
      </c>
      <c r="Q91" s="11">
        <v>304912082.68000001</v>
      </c>
      <c r="R91" s="11">
        <v>9430948.7300000004</v>
      </c>
      <c r="S91" s="11">
        <v>295481133.94999999</v>
      </c>
      <c r="T91" s="11">
        <v>0</v>
      </c>
      <c r="U91" s="11">
        <v>0</v>
      </c>
      <c r="V91" s="11">
        <v>0</v>
      </c>
      <c r="W91" s="11">
        <v>303107787.95999998</v>
      </c>
      <c r="X91" s="11">
        <v>0</v>
      </c>
      <c r="Y91" s="17">
        <v>303107787.95999998</v>
      </c>
      <c r="Z91" s="11">
        <v>304912082.68000001</v>
      </c>
      <c r="AA91" s="11">
        <v>9430948.7300000004</v>
      </c>
      <c r="AB91" s="11">
        <v>295481133.94999999</v>
      </c>
      <c r="AC91" s="11">
        <v>0</v>
      </c>
      <c r="AD91" s="11">
        <v>0</v>
      </c>
      <c r="AE91" s="11">
        <v>0</v>
      </c>
      <c r="AF91" s="11">
        <v>303107787.95999998</v>
      </c>
      <c r="AG91" s="11">
        <v>0</v>
      </c>
      <c r="AH91" s="12">
        <v>303107787.95999998</v>
      </c>
      <c r="AI91" s="11">
        <v>303107787.95999998</v>
      </c>
      <c r="AJ91" s="11">
        <v>0</v>
      </c>
      <c r="AK91" s="11">
        <v>0</v>
      </c>
      <c r="AL91" s="11">
        <v>303107787.95999998</v>
      </c>
      <c r="AM91" s="11">
        <v>303107787.95999998</v>
      </c>
      <c r="AN91" s="11">
        <v>0</v>
      </c>
      <c r="AO91" s="11">
        <v>303107787.95999998</v>
      </c>
      <c r="AP91" s="11">
        <v>0</v>
      </c>
      <c r="AQ91" s="11">
        <v>0</v>
      </c>
      <c r="AR91" t="s">
        <v>48</v>
      </c>
      <c r="AS91"/>
    </row>
    <row r="92" spans="1:48" hidden="1" x14ac:dyDescent="0.3">
      <c r="A92">
        <v>2023</v>
      </c>
      <c r="B92">
        <v>307</v>
      </c>
      <c r="C92">
        <v>110205001</v>
      </c>
      <c r="D92" s="5" t="s">
        <v>44</v>
      </c>
      <c r="E92" s="8" t="s">
        <v>223</v>
      </c>
      <c r="F92">
        <v>110205001</v>
      </c>
      <c r="G92" s="8" t="s">
        <v>224</v>
      </c>
      <c r="H92" t="s">
        <v>47</v>
      </c>
      <c r="I92" s="11">
        <v>30000000</v>
      </c>
      <c r="J92" s="11">
        <v>30000000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30000000</v>
      </c>
      <c r="Q92" s="11">
        <v>161137075.59999999</v>
      </c>
      <c r="R92" s="11">
        <v>4944000</v>
      </c>
      <c r="S92" s="11">
        <v>156193075.59999999</v>
      </c>
      <c r="T92" s="11">
        <v>0</v>
      </c>
      <c r="U92" s="11">
        <v>0</v>
      </c>
      <c r="V92" s="11">
        <v>0</v>
      </c>
      <c r="W92" s="11">
        <v>164599377.40000001</v>
      </c>
      <c r="X92" s="11">
        <v>0</v>
      </c>
      <c r="Y92" s="17">
        <v>164599377.40000001</v>
      </c>
      <c r="Z92" s="11">
        <v>161137075.59999999</v>
      </c>
      <c r="AA92" s="11">
        <v>4944000</v>
      </c>
      <c r="AB92" s="11">
        <v>156193075.59999999</v>
      </c>
      <c r="AC92" s="11">
        <v>0</v>
      </c>
      <c r="AD92" s="11">
        <v>0</v>
      </c>
      <c r="AE92" s="11">
        <v>0</v>
      </c>
      <c r="AF92" s="11">
        <v>164599377.40000001</v>
      </c>
      <c r="AG92" s="11">
        <v>0</v>
      </c>
      <c r="AH92" s="12">
        <v>164599377.40000001</v>
      </c>
      <c r="AI92" s="11">
        <v>164599377.40000001</v>
      </c>
      <c r="AJ92" s="11">
        <v>0</v>
      </c>
      <c r="AK92" s="11">
        <v>0</v>
      </c>
      <c r="AL92" s="11">
        <v>164599377.40000001</v>
      </c>
      <c r="AM92" s="11">
        <v>164599377.40000001</v>
      </c>
      <c r="AN92" s="11">
        <v>0</v>
      </c>
      <c r="AO92" s="11">
        <v>164599377.40000001</v>
      </c>
      <c r="AP92" s="11">
        <v>0</v>
      </c>
      <c r="AQ92" s="11">
        <v>0</v>
      </c>
      <c r="AR92" t="s">
        <v>48</v>
      </c>
      <c r="AS92"/>
    </row>
    <row r="93" spans="1:48" x14ac:dyDescent="0.3">
      <c r="A93">
        <v>2023</v>
      </c>
      <c r="B93">
        <v>307</v>
      </c>
      <c r="C93">
        <v>11020500109</v>
      </c>
      <c r="D93" s="5">
        <v>20</v>
      </c>
      <c r="E93" s="8" t="s">
        <v>225</v>
      </c>
      <c r="F93">
        <v>11020500109</v>
      </c>
      <c r="G93" s="8" t="s">
        <v>226</v>
      </c>
      <c r="H93" t="s">
        <v>47</v>
      </c>
      <c r="I93" s="11">
        <v>30000000</v>
      </c>
      <c r="J93" s="11">
        <v>30000000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30000000</v>
      </c>
      <c r="Q93" s="11">
        <v>161137075.59999999</v>
      </c>
      <c r="R93" s="11">
        <v>4944000</v>
      </c>
      <c r="S93" s="11">
        <v>156193075.59999999</v>
      </c>
      <c r="T93" s="11">
        <v>0</v>
      </c>
      <c r="U93" s="11">
        <v>0</v>
      </c>
      <c r="V93" s="11">
        <v>0</v>
      </c>
      <c r="W93" s="11">
        <v>164599377.40000001</v>
      </c>
      <c r="X93" s="11">
        <v>0</v>
      </c>
      <c r="Y93" s="17">
        <v>164599377.40000001</v>
      </c>
      <c r="Z93" s="11">
        <v>161137075.59999999</v>
      </c>
      <c r="AA93" s="11">
        <v>4944000</v>
      </c>
      <c r="AB93" s="11">
        <v>156193075.59999999</v>
      </c>
      <c r="AC93" s="11">
        <v>0</v>
      </c>
      <c r="AD93" s="11">
        <v>0</v>
      </c>
      <c r="AE93" s="11">
        <v>0</v>
      </c>
      <c r="AF93" s="11">
        <v>164599377.40000001</v>
      </c>
      <c r="AG93" s="11">
        <v>0</v>
      </c>
      <c r="AH93" s="12">
        <v>164599377.40000001</v>
      </c>
      <c r="AI93" s="11">
        <v>164599377.40000001</v>
      </c>
      <c r="AJ93" s="11">
        <v>0</v>
      </c>
      <c r="AK93" s="11">
        <v>0</v>
      </c>
      <c r="AL93" s="11">
        <v>164599377.40000001</v>
      </c>
      <c r="AM93" s="11">
        <v>164599377.40000001</v>
      </c>
      <c r="AN93" s="11">
        <v>0</v>
      </c>
      <c r="AO93" s="11">
        <v>164599377.40000001</v>
      </c>
      <c r="AP93" s="11">
        <v>0</v>
      </c>
      <c r="AQ93" s="11">
        <v>0</v>
      </c>
      <c r="AR93" t="s">
        <v>57</v>
      </c>
      <c r="AS93" s="4" t="str">
        <f>+G93</f>
        <v>Servicios para la comunidad, sociales y personales</v>
      </c>
      <c r="AT93" t="str">
        <f>+D93&amp;AS93&amp;Y93</f>
        <v>20Servicios para la comunidad, sociales y personales164599377,4</v>
      </c>
      <c r="AU93" t="str">
        <f>+_xlfn.XLOOKUP(AT93,CRUCE!K:K,CRUCE!M:M)</f>
        <v>READY</v>
      </c>
      <c r="AV93" t="s">
        <v>1907</v>
      </c>
    </row>
    <row r="94" spans="1:48" hidden="1" x14ac:dyDescent="0.3">
      <c r="A94">
        <v>2023</v>
      </c>
      <c r="B94">
        <v>307</v>
      </c>
      <c r="C94">
        <v>110205002</v>
      </c>
      <c r="D94" s="5" t="s">
        <v>44</v>
      </c>
      <c r="E94" s="8" t="s">
        <v>227</v>
      </c>
      <c r="F94">
        <v>110205002</v>
      </c>
      <c r="G94" s="8" t="s">
        <v>228</v>
      </c>
      <c r="H94" t="s">
        <v>47</v>
      </c>
      <c r="I94" s="11">
        <v>220973692</v>
      </c>
      <c r="J94" s="11">
        <v>220973692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220973692</v>
      </c>
      <c r="Q94" s="11">
        <v>143775007.08000001</v>
      </c>
      <c r="R94" s="11">
        <v>4486948.7300000004</v>
      </c>
      <c r="S94" s="11">
        <v>139288058.34999999</v>
      </c>
      <c r="T94" s="11">
        <v>0</v>
      </c>
      <c r="U94" s="11">
        <v>0</v>
      </c>
      <c r="V94" s="11">
        <v>0</v>
      </c>
      <c r="W94" s="11">
        <v>138508410.56</v>
      </c>
      <c r="X94" s="11">
        <v>0</v>
      </c>
      <c r="Y94" s="17">
        <v>138508410.56</v>
      </c>
      <c r="Z94" s="11">
        <v>143775007.08000001</v>
      </c>
      <c r="AA94" s="11">
        <v>4486948.7300000004</v>
      </c>
      <c r="AB94" s="11">
        <v>139288058.34999999</v>
      </c>
      <c r="AC94" s="11">
        <v>0</v>
      </c>
      <c r="AD94" s="11">
        <v>0</v>
      </c>
      <c r="AE94" s="11">
        <v>0</v>
      </c>
      <c r="AF94" s="11">
        <v>138508410.56</v>
      </c>
      <c r="AG94" s="11">
        <v>0</v>
      </c>
      <c r="AH94" s="12">
        <v>138508410.56</v>
      </c>
      <c r="AI94" s="11">
        <v>138508410.56</v>
      </c>
      <c r="AJ94" s="11">
        <v>0</v>
      </c>
      <c r="AK94" s="11">
        <v>0</v>
      </c>
      <c r="AL94" s="11">
        <v>138508410.56</v>
      </c>
      <c r="AM94" s="11">
        <v>138508410.56</v>
      </c>
      <c r="AN94" s="11">
        <v>0</v>
      </c>
      <c r="AO94" s="11">
        <v>138508410.56</v>
      </c>
      <c r="AP94" s="11">
        <v>0</v>
      </c>
      <c r="AQ94" s="11">
        <v>0</v>
      </c>
      <c r="AR94" t="s">
        <v>48</v>
      </c>
      <c r="AS94"/>
    </row>
    <row r="95" spans="1:48" hidden="1" x14ac:dyDescent="0.3">
      <c r="A95">
        <v>2023</v>
      </c>
      <c r="B95">
        <v>307</v>
      </c>
      <c r="C95">
        <v>11020500207</v>
      </c>
      <c r="D95" s="5" t="s">
        <v>44</v>
      </c>
      <c r="E95" s="8" t="s">
        <v>229</v>
      </c>
      <c r="F95">
        <v>11020500207</v>
      </c>
      <c r="G95" s="8" t="s">
        <v>230</v>
      </c>
      <c r="H95" t="s">
        <v>47</v>
      </c>
      <c r="I95" s="11">
        <v>220973692</v>
      </c>
      <c r="J95" s="11">
        <v>220973692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220973692</v>
      </c>
      <c r="Q95" s="11">
        <v>143775007.08000001</v>
      </c>
      <c r="R95" s="11">
        <v>4486948.7300000004</v>
      </c>
      <c r="S95" s="11">
        <v>139288058.34999999</v>
      </c>
      <c r="T95" s="11">
        <v>0</v>
      </c>
      <c r="U95" s="11">
        <v>0</v>
      </c>
      <c r="V95" s="11">
        <v>0</v>
      </c>
      <c r="W95" s="11">
        <v>138508410.56</v>
      </c>
      <c r="X95" s="11">
        <v>0</v>
      </c>
      <c r="Y95" s="17">
        <v>138508410.56</v>
      </c>
      <c r="Z95" s="11">
        <v>143775007.08000001</v>
      </c>
      <c r="AA95" s="11">
        <v>4486948.7300000004</v>
      </c>
      <c r="AB95" s="11">
        <v>139288058.34999999</v>
      </c>
      <c r="AC95" s="11">
        <v>0</v>
      </c>
      <c r="AD95" s="11">
        <v>0</v>
      </c>
      <c r="AE95" s="11">
        <v>0</v>
      </c>
      <c r="AF95" s="11">
        <v>138508410.56</v>
      </c>
      <c r="AG95" s="11">
        <v>0</v>
      </c>
      <c r="AH95" s="12">
        <v>138508410.56</v>
      </c>
      <c r="AI95" s="11">
        <v>138508410.56</v>
      </c>
      <c r="AJ95" s="11">
        <v>0</v>
      </c>
      <c r="AK95" s="11">
        <v>0</v>
      </c>
      <c r="AL95" s="11">
        <v>138508410.56</v>
      </c>
      <c r="AM95" s="11">
        <v>138508410.56</v>
      </c>
      <c r="AN95" s="11">
        <v>0</v>
      </c>
      <c r="AO95" s="11">
        <v>138508410.56</v>
      </c>
      <c r="AP95" s="11">
        <v>0</v>
      </c>
      <c r="AQ95" s="11">
        <v>0</v>
      </c>
      <c r="AR95" t="s">
        <v>48</v>
      </c>
      <c r="AS95"/>
    </row>
    <row r="96" spans="1:48" hidden="1" x14ac:dyDescent="0.3">
      <c r="A96">
        <v>2023</v>
      </c>
      <c r="B96">
        <v>307</v>
      </c>
      <c r="C96">
        <v>1102050020702</v>
      </c>
      <c r="D96" s="5" t="s">
        <v>44</v>
      </c>
      <c r="E96" s="8" t="s">
        <v>231</v>
      </c>
      <c r="F96">
        <v>1102050020702</v>
      </c>
      <c r="G96" s="8" t="s">
        <v>232</v>
      </c>
      <c r="H96" t="s">
        <v>47</v>
      </c>
      <c r="I96" s="11">
        <v>220973692</v>
      </c>
      <c r="J96" s="11">
        <v>220973692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220973692</v>
      </c>
      <c r="Q96" s="11">
        <v>143775007.08000001</v>
      </c>
      <c r="R96" s="11">
        <v>4486948.7300000004</v>
      </c>
      <c r="S96" s="11">
        <v>139288058.34999999</v>
      </c>
      <c r="T96" s="11">
        <v>0</v>
      </c>
      <c r="U96" s="11">
        <v>0</v>
      </c>
      <c r="V96" s="11">
        <v>0</v>
      </c>
      <c r="W96" s="11">
        <v>138508410.56</v>
      </c>
      <c r="X96" s="11">
        <v>0</v>
      </c>
      <c r="Y96" s="17">
        <v>138508410.56</v>
      </c>
      <c r="Z96" s="11">
        <v>143775007.08000001</v>
      </c>
      <c r="AA96" s="11">
        <v>4486948.7300000004</v>
      </c>
      <c r="AB96" s="11">
        <v>139288058.34999999</v>
      </c>
      <c r="AC96" s="11">
        <v>0</v>
      </c>
      <c r="AD96" s="11">
        <v>0</v>
      </c>
      <c r="AE96" s="11">
        <v>0</v>
      </c>
      <c r="AF96" s="11">
        <v>138508410.56</v>
      </c>
      <c r="AG96" s="11">
        <v>0</v>
      </c>
      <c r="AH96" s="12">
        <v>138508410.56</v>
      </c>
      <c r="AI96" s="11">
        <v>138508410.56</v>
      </c>
      <c r="AJ96" s="11">
        <v>0</v>
      </c>
      <c r="AK96" s="11">
        <v>0</v>
      </c>
      <c r="AL96" s="11">
        <v>138508410.56</v>
      </c>
      <c r="AM96" s="11">
        <v>138508410.56</v>
      </c>
      <c r="AN96" s="11">
        <v>0</v>
      </c>
      <c r="AO96" s="11">
        <v>138508410.56</v>
      </c>
      <c r="AP96" s="11">
        <v>0</v>
      </c>
      <c r="AQ96" s="11">
        <v>0</v>
      </c>
      <c r="AR96" t="s">
        <v>48</v>
      </c>
      <c r="AS96"/>
    </row>
    <row r="97" spans="1:48" x14ac:dyDescent="0.3">
      <c r="A97">
        <v>2023</v>
      </c>
      <c r="B97">
        <v>307</v>
      </c>
      <c r="C97">
        <v>110205002070201</v>
      </c>
      <c r="D97" s="5">
        <v>20</v>
      </c>
      <c r="E97" s="8" t="s">
        <v>233</v>
      </c>
      <c r="F97">
        <v>110205002070201</v>
      </c>
      <c r="G97" s="8" t="s">
        <v>234</v>
      </c>
      <c r="H97" t="s">
        <v>47</v>
      </c>
      <c r="I97" s="11">
        <v>220973692</v>
      </c>
      <c r="J97" s="11">
        <v>220973692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220973692</v>
      </c>
      <c r="Q97" s="11">
        <v>143775007.08000001</v>
      </c>
      <c r="R97" s="11">
        <v>4486948.7300000004</v>
      </c>
      <c r="S97" s="11">
        <v>139288058.34999999</v>
      </c>
      <c r="T97" s="11">
        <v>0</v>
      </c>
      <c r="U97" s="11">
        <v>0</v>
      </c>
      <c r="V97" s="11">
        <v>0</v>
      </c>
      <c r="W97" s="11">
        <v>138508410.56</v>
      </c>
      <c r="X97" s="11">
        <v>0</v>
      </c>
      <c r="Y97" s="17">
        <v>138508410.56</v>
      </c>
      <c r="Z97" s="11">
        <v>143775007.08000001</v>
      </c>
      <c r="AA97" s="11">
        <v>4486948.7300000004</v>
      </c>
      <c r="AB97" s="11">
        <v>139288058.34999999</v>
      </c>
      <c r="AC97" s="11">
        <v>0</v>
      </c>
      <c r="AD97" s="11">
        <v>0</v>
      </c>
      <c r="AE97" s="11">
        <v>0</v>
      </c>
      <c r="AF97" s="11">
        <v>138508410.56</v>
      </c>
      <c r="AG97" s="11">
        <v>0</v>
      </c>
      <c r="AH97" s="12">
        <v>138508410.56</v>
      </c>
      <c r="AI97" s="11">
        <v>138508410.56</v>
      </c>
      <c r="AJ97" s="11">
        <v>0</v>
      </c>
      <c r="AK97" s="11">
        <v>0</v>
      </c>
      <c r="AL97" s="11">
        <v>138508410.56</v>
      </c>
      <c r="AM97" s="11">
        <v>138508410.56</v>
      </c>
      <c r="AN97" s="11">
        <v>0</v>
      </c>
      <c r="AO97" s="11">
        <v>138508410.56</v>
      </c>
      <c r="AP97" s="11">
        <v>0</v>
      </c>
      <c r="AQ97" s="11">
        <v>0</v>
      </c>
      <c r="AR97" t="s">
        <v>57</v>
      </c>
      <c r="AS97" s="4" t="str">
        <f>+G97</f>
        <v>Servicion inmobiliarios relativos a bienes raíces propios o arrendados</v>
      </c>
      <c r="AT97" t="str">
        <f>+D97&amp;AS97&amp;Y97</f>
        <v>20Servicion inmobiliarios relativos a bienes raíces propios o arrendados138508410,56</v>
      </c>
      <c r="AU97" t="str">
        <f>+_xlfn.XLOOKUP(AT97,CRUCE!K:K,CRUCE!M:M)</f>
        <v>READY</v>
      </c>
      <c r="AV97" t="s">
        <v>1907</v>
      </c>
    </row>
    <row r="98" spans="1:48" hidden="1" x14ac:dyDescent="0.3">
      <c r="A98">
        <v>2023</v>
      </c>
      <c r="B98">
        <v>307</v>
      </c>
      <c r="C98">
        <v>110206</v>
      </c>
      <c r="D98" s="5" t="s">
        <v>44</v>
      </c>
      <c r="E98" s="8" t="s">
        <v>241</v>
      </c>
      <c r="F98">
        <v>110206</v>
      </c>
      <c r="G98" s="8" t="s">
        <v>242</v>
      </c>
      <c r="H98" t="s">
        <v>47</v>
      </c>
      <c r="I98" s="11">
        <v>13536352305</v>
      </c>
      <c r="J98" s="11">
        <v>13536352305</v>
      </c>
      <c r="K98" s="11">
        <v>1684181280</v>
      </c>
      <c r="L98" s="11">
        <v>634416390</v>
      </c>
      <c r="M98" s="11">
        <v>1049764890</v>
      </c>
      <c r="N98" s="11">
        <v>1684181280</v>
      </c>
      <c r="O98" s="11">
        <v>634416390</v>
      </c>
      <c r="P98" s="11">
        <v>14586117195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13426957822.99</v>
      </c>
      <c r="X98" s="11">
        <v>310843361</v>
      </c>
      <c r="Y98" s="17">
        <v>13116114461.99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13426957822.99</v>
      </c>
      <c r="AG98" s="11">
        <v>310843361</v>
      </c>
      <c r="AH98" s="12">
        <v>13116114461.99</v>
      </c>
      <c r="AI98" s="11">
        <v>13116114461.99</v>
      </c>
      <c r="AJ98" s="11">
        <v>5685504000</v>
      </c>
      <c r="AK98" s="11">
        <v>5685504000</v>
      </c>
      <c r="AL98" s="11">
        <v>7430610461.9899998</v>
      </c>
      <c r="AM98" s="11">
        <v>7741453822.9899998</v>
      </c>
      <c r="AN98" s="11">
        <v>310843361</v>
      </c>
      <c r="AO98" s="11">
        <v>7741453822.9899998</v>
      </c>
      <c r="AP98" s="11">
        <v>0</v>
      </c>
      <c r="AQ98" s="11">
        <v>310843361</v>
      </c>
      <c r="AR98" t="s">
        <v>48</v>
      </c>
      <c r="AS98"/>
    </row>
    <row r="99" spans="1:48" hidden="1" x14ac:dyDescent="0.3">
      <c r="A99">
        <v>2023</v>
      </c>
      <c r="B99">
        <v>307</v>
      </c>
      <c r="C99">
        <v>110206001</v>
      </c>
      <c r="D99" s="5" t="s">
        <v>44</v>
      </c>
      <c r="E99" s="8" t="s">
        <v>243</v>
      </c>
      <c r="F99">
        <v>110206001</v>
      </c>
      <c r="G99" s="8" t="s">
        <v>244</v>
      </c>
      <c r="H99" t="s">
        <v>47</v>
      </c>
      <c r="I99" s="11">
        <v>2952931316</v>
      </c>
      <c r="J99" s="11">
        <v>2952931316</v>
      </c>
      <c r="K99" s="11">
        <v>748427090</v>
      </c>
      <c r="L99" s="11">
        <v>0</v>
      </c>
      <c r="M99" s="11">
        <v>748427090</v>
      </c>
      <c r="N99" s="11">
        <v>748427090</v>
      </c>
      <c r="O99" s="11">
        <v>0</v>
      </c>
      <c r="P99" s="11">
        <v>3701358406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4012201767</v>
      </c>
      <c r="X99" s="11">
        <v>310843361</v>
      </c>
      <c r="Y99" s="17">
        <v>3701358406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4012201767</v>
      </c>
      <c r="AG99" s="11">
        <v>310843361</v>
      </c>
      <c r="AH99" s="12">
        <v>3701358406</v>
      </c>
      <c r="AI99" s="11">
        <v>3701358406</v>
      </c>
      <c r="AJ99" s="11">
        <v>0</v>
      </c>
      <c r="AK99" s="11">
        <v>0</v>
      </c>
      <c r="AL99" s="11">
        <v>3701358406</v>
      </c>
      <c r="AM99" s="11">
        <v>4012201767</v>
      </c>
      <c r="AN99" s="11">
        <v>310843361</v>
      </c>
      <c r="AO99" s="11">
        <v>4012201767</v>
      </c>
      <c r="AP99" s="11">
        <v>0</v>
      </c>
      <c r="AQ99" s="11">
        <v>310843361</v>
      </c>
      <c r="AR99" t="s">
        <v>48</v>
      </c>
      <c r="AS99"/>
    </row>
    <row r="100" spans="1:48" x14ac:dyDescent="0.3">
      <c r="A100">
        <v>2023</v>
      </c>
      <c r="B100">
        <v>307</v>
      </c>
      <c r="C100">
        <v>11020600105</v>
      </c>
      <c r="D100" s="5">
        <v>27</v>
      </c>
      <c r="E100" s="8" t="s">
        <v>245</v>
      </c>
      <c r="F100">
        <v>11020600105</v>
      </c>
      <c r="G100" s="8" t="s">
        <v>246</v>
      </c>
      <c r="H100" t="s">
        <v>47</v>
      </c>
      <c r="I100" s="11">
        <v>2952931316</v>
      </c>
      <c r="J100" s="11">
        <v>2952931316</v>
      </c>
      <c r="K100" s="11">
        <v>748427090</v>
      </c>
      <c r="L100" s="11">
        <v>0</v>
      </c>
      <c r="M100" s="11">
        <v>748427090</v>
      </c>
      <c r="N100" s="11">
        <v>748427090</v>
      </c>
      <c r="O100" s="11">
        <v>0</v>
      </c>
      <c r="P100" s="11">
        <v>3701358406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4012201767</v>
      </c>
      <c r="X100" s="11">
        <v>310843361</v>
      </c>
      <c r="Y100" s="17">
        <v>3701358406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4012201767</v>
      </c>
      <c r="AG100" s="11">
        <v>310843361</v>
      </c>
      <c r="AH100" s="12">
        <v>3701358406</v>
      </c>
      <c r="AI100" s="11">
        <v>3701358406</v>
      </c>
      <c r="AJ100" s="11">
        <v>0</v>
      </c>
      <c r="AK100" s="11">
        <v>0</v>
      </c>
      <c r="AL100" s="11">
        <v>3701358406</v>
      </c>
      <c r="AM100" s="11">
        <v>4012201767</v>
      </c>
      <c r="AN100" s="11">
        <v>310843361</v>
      </c>
      <c r="AO100" s="11">
        <v>4012201767</v>
      </c>
      <c r="AP100" s="11">
        <v>0</v>
      </c>
      <c r="AQ100" s="11">
        <v>310843361</v>
      </c>
      <c r="AR100" t="s">
        <v>247</v>
      </c>
      <c r="AS100" s="4" t="str">
        <f>+G100</f>
        <v>Agua potable y saneamiento básico</v>
      </c>
      <c r="AT100" t="str">
        <f>+D100&amp;AS100&amp;Y100</f>
        <v>27Agua potable y saneamiento básico3701358406</v>
      </c>
      <c r="AU100" t="str">
        <f>+_xlfn.XLOOKUP(AT100,CRUCE!K:K,CRUCE!M:M)</f>
        <v>READY</v>
      </c>
      <c r="AV100" t="s">
        <v>1907</v>
      </c>
    </row>
    <row r="101" spans="1:48" hidden="1" x14ac:dyDescent="0.3">
      <c r="A101">
        <v>2023</v>
      </c>
      <c r="B101">
        <v>307</v>
      </c>
      <c r="C101">
        <v>110206003</v>
      </c>
      <c r="D101" s="5" t="s">
        <v>44</v>
      </c>
      <c r="E101" s="8" t="s">
        <v>248</v>
      </c>
      <c r="F101">
        <v>110206003</v>
      </c>
      <c r="G101" s="8" t="s">
        <v>249</v>
      </c>
      <c r="H101" t="s">
        <v>47</v>
      </c>
      <c r="I101" s="11">
        <v>3230691898</v>
      </c>
      <c r="J101" s="11">
        <v>3230691898</v>
      </c>
      <c r="K101" s="11">
        <v>0</v>
      </c>
      <c r="L101" s="11">
        <v>41539295</v>
      </c>
      <c r="M101" s="11">
        <v>-41539295</v>
      </c>
      <c r="N101" s="11">
        <v>0</v>
      </c>
      <c r="O101" s="11">
        <v>41539295</v>
      </c>
      <c r="P101" s="11">
        <v>3189152603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2709874237</v>
      </c>
      <c r="X101" s="11">
        <v>0</v>
      </c>
      <c r="Y101" s="17">
        <v>2709874237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2709874237</v>
      </c>
      <c r="AG101" s="11">
        <v>0</v>
      </c>
      <c r="AH101" s="12">
        <v>2709874237</v>
      </c>
      <c r="AI101" s="11">
        <v>2709874237</v>
      </c>
      <c r="AJ101" s="11">
        <v>0</v>
      </c>
      <c r="AK101" s="11">
        <v>0</v>
      </c>
      <c r="AL101" s="11">
        <v>2709874237</v>
      </c>
      <c r="AM101" s="11">
        <v>2709874237</v>
      </c>
      <c r="AN101" s="11">
        <v>0</v>
      </c>
      <c r="AO101" s="11">
        <v>2709874237</v>
      </c>
      <c r="AP101" s="11">
        <v>0</v>
      </c>
      <c r="AQ101" s="11">
        <v>0</v>
      </c>
      <c r="AR101" t="s">
        <v>48</v>
      </c>
      <c r="AS101"/>
    </row>
    <row r="102" spans="1:48" hidden="1" x14ac:dyDescent="0.3">
      <c r="A102">
        <v>2023</v>
      </c>
      <c r="B102">
        <v>307</v>
      </c>
      <c r="C102">
        <v>11020600301</v>
      </c>
      <c r="D102" s="5" t="s">
        <v>44</v>
      </c>
      <c r="E102" s="8" t="s">
        <v>250</v>
      </c>
      <c r="F102">
        <v>11020600301</v>
      </c>
      <c r="G102" s="8" t="s">
        <v>251</v>
      </c>
      <c r="H102" t="s">
        <v>47</v>
      </c>
      <c r="I102" s="11">
        <v>3230691898</v>
      </c>
      <c r="J102" s="11">
        <v>3230691898</v>
      </c>
      <c r="K102" s="11">
        <v>0</v>
      </c>
      <c r="L102" s="11">
        <v>41539295</v>
      </c>
      <c r="M102" s="11">
        <v>-41539295</v>
      </c>
      <c r="N102" s="11">
        <v>0</v>
      </c>
      <c r="O102" s="11">
        <v>41539295</v>
      </c>
      <c r="P102" s="11">
        <v>3189152603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2709874237</v>
      </c>
      <c r="X102" s="11">
        <v>0</v>
      </c>
      <c r="Y102" s="17">
        <v>2709874237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2709874237</v>
      </c>
      <c r="AG102" s="11">
        <v>0</v>
      </c>
      <c r="AH102" s="12">
        <v>2709874237</v>
      </c>
      <c r="AI102" s="11">
        <v>2709874237</v>
      </c>
      <c r="AJ102" s="11">
        <v>0</v>
      </c>
      <c r="AK102" s="11">
        <v>0</v>
      </c>
      <c r="AL102" s="11">
        <v>2709874237</v>
      </c>
      <c r="AM102" s="11">
        <v>2709874237</v>
      </c>
      <c r="AN102" s="11">
        <v>0</v>
      </c>
      <c r="AO102" s="11">
        <v>2709874237</v>
      </c>
      <c r="AP102" s="11">
        <v>0</v>
      </c>
      <c r="AQ102" s="11">
        <v>0</v>
      </c>
      <c r="AR102" t="s">
        <v>48</v>
      </c>
      <c r="AS102"/>
    </row>
    <row r="103" spans="1:48" x14ac:dyDescent="0.3">
      <c r="A103">
        <v>2023</v>
      </c>
      <c r="B103">
        <v>307</v>
      </c>
      <c r="C103">
        <v>1102060030110</v>
      </c>
      <c r="D103" s="5">
        <v>23</v>
      </c>
      <c r="E103" s="8" t="s">
        <v>1075</v>
      </c>
      <c r="F103">
        <v>1102060030110</v>
      </c>
      <c r="G103" s="8" t="s">
        <v>253</v>
      </c>
      <c r="H103" t="s">
        <v>47</v>
      </c>
      <c r="I103" s="11">
        <v>3085293181</v>
      </c>
      <c r="J103" s="11">
        <v>3085293181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3085293181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2606014815</v>
      </c>
      <c r="X103" s="11">
        <v>0</v>
      </c>
      <c r="Y103" s="17">
        <v>2606014815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2606014815</v>
      </c>
      <c r="AG103" s="11">
        <v>0</v>
      </c>
      <c r="AH103" s="12">
        <v>2606014815</v>
      </c>
      <c r="AI103" s="11">
        <v>2606014815</v>
      </c>
      <c r="AJ103" s="11">
        <v>0</v>
      </c>
      <c r="AK103" s="11">
        <v>0</v>
      </c>
      <c r="AL103" s="11">
        <v>2606014815</v>
      </c>
      <c r="AM103" s="11">
        <v>2606014815</v>
      </c>
      <c r="AN103" s="11">
        <v>0</v>
      </c>
      <c r="AO103" s="11">
        <v>2606014815</v>
      </c>
      <c r="AP103" s="11">
        <v>0</v>
      </c>
      <c r="AQ103" s="11">
        <v>0</v>
      </c>
      <c r="AR103" t="s">
        <v>1076</v>
      </c>
      <c r="AS103" s="4" t="str">
        <f t="shared" ref="AS103:AS104" si="22">+G103</f>
        <v>Participación de la sobretasa al ACPM</v>
      </c>
      <c r="AT103" t="str">
        <f t="shared" ref="AT103:AT104" si="23">+D103&amp;AS103&amp;Y103</f>
        <v>23Participación de la sobretasa al ACPM2606014815</v>
      </c>
      <c r="AU103" t="str">
        <f>+_xlfn.XLOOKUP(AT103,CRUCE!K:K,CRUCE!M:M)</f>
        <v>READY</v>
      </c>
      <c r="AV103" t="s">
        <v>1907</v>
      </c>
    </row>
    <row r="104" spans="1:48" x14ac:dyDescent="0.3">
      <c r="A104">
        <v>2023</v>
      </c>
      <c r="B104">
        <v>307</v>
      </c>
      <c r="C104">
        <v>1102060030111</v>
      </c>
      <c r="D104" s="5">
        <v>47</v>
      </c>
      <c r="E104" s="8" t="s">
        <v>254</v>
      </c>
      <c r="F104">
        <v>1102060030111</v>
      </c>
      <c r="G104" s="8" t="s">
        <v>255</v>
      </c>
      <c r="H104" t="s">
        <v>47</v>
      </c>
      <c r="I104" s="11">
        <v>145398717</v>
      </c>
      <c r="J104" s="11">
        <v>145398717</v>
      </c>
      <c r="K104" s="11">
        <v>0</v>
      </c>
      <c r="L104" s="11">
        <v>41539295</v>
      </c>
      <c r="M104" s="11">
        <v>-41539295</v>
      </c>
      <c r="N104" s="11">
        <v>0</v>
      </c>
      <c r="O104" s="11">
        <v>41539295</v>
      </c>
      <c r="P104" s="11">
        <v>103859422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103859422</v>
      </c>
      <c r="X104" s="11">
        <v>0</v>
      </c>
      <c r="Y104" s="17">
        <v>103859422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103859422</v>
      </c>
      <c r="AG104" s="11">
        <v>0</v>
      </c>
      <c r="AH104" s="12">
        <v>103859422</v>
      </c>
      <c r="AI104" s="11">
        <v>103859422</v>
      </c>
      <c r="AJ104" s="11">
        <v>0</v>
      </c>
      <c r="AK104" s="11">
        <v>0</v>
      </c>
      <c r="AL104" s="11">
        <v>103859422</v>
      </c>
      <c r="AM104" s="11">
        <v>103859422</v>
      </c>
      <c r="AN104" s="11">
        <v>0</v>
      </c>
      <c r="AO104" s="11">
        <v>103859422</v>
      </c>
      <c r="AP104" s="11">
        <v>0</v>
      </c>
      <c r="AQ104" s="11">
        <v>0</v>
      </c>
      <c r="AR104" t="s">
        <v>256</v>
      </c>
      <c r="AS104" s="4" t="str">
        <f t="shared" si="22"/>
        <v>Participación del impuesto nacional al consumo del servicio de telefonía móvil</v>
      </c>
      <c r="AT104" t="str">
        <f t="shared" si="23"/>
        <v>47Participación del impuesto nacional al consumo del servicio de telefonía móvil103859422</v>
      </c>
      <c r="AU104" t="str">
        <f>+_xlfn.XLOOKUP(AT104,CRUCE!K:K,CRUCE!M:M)</f>
        <v>READY</v>
      </c>
      <c r="AV104" t="s">
        <v>1907</v>
      </c>
    </row>
    <row r="105" spans="1:48" hidden="1" x14ac:dyDescent="0.3">
      <c r="A105">
        <v>2023</v>
      </c>
      <c r="B105">
        <v>307</v>
      </c>
      <c r="C105">
        <v>110206006</v>
      </c>
      <c r="D105" s="5" t="s">
        <v>44</v>
      </c>
      <c r="E105" s="8" t="s">
        <v>266</v>
      </c>
      <c r="F105">
        <v>110206006</v>
      </c>
      <c r="G105" s="8" t="s">
        <v>267</v>
      </c>
      <c r="H105" t="s">
        <v>47</v>
      </c>
      <c r="I105" s="11">
        <v>250000000</v>
      </c>
      <c r="J105" s="11">
        <v>250000000</v>
      </c>
      <c r="K105" s="11">
        <v>935754190</v>
      </c>
      <c r="L105" s="11">
        <v>592877095</v>
      </c>
      <c r="M105" s="11">
        <v>342877095</v>
      </c>
      <c r="N105" s="11">
        <v>935754190</v>
      </c>
      <c r="O105" s="11">
        <v>592877095</v>
      </c>
      <c r="P105" s="11">
        <v>592877095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592877095</v>
      </c>
      <c r="X105" s="11">
        <v>0</v>
      </c>
      <c r="Y105" s="17">
        <v>592877095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592877095</v>
      </c>
      <c r="AG105" s="11">
        <v>0</v>
      </c>
      <c r="AH105" s="12">
        <v>592877095</v>
      </c>
      <c r="AI105" s="11">
        <v>592877095</v>
      </c>
      <c r="AJ105" s="11">
        <v>0</v>
      </c>
      <c r="AK105" s="11">
        <v>0</v>
      </c>
      <c r="AL105" s="11">
        <v>592877095</v>
      </c>
      <c r="AM105" s="11">
        <v>592877095</v>
      </c>
      <c r="AN105" s="11">
        <v>0</v>
      </c>
      <c r="AO105" s="11">
        <v>592877095</v>
      </c>
      <c r="AP105" s="11">
        <v>0</v>
      </c>
      <c r="AQ105" s="11">
        <v>0</v>
      </c>
      <c r="AR105" t="s">
        <v>48</v>
      </c>
      <c r="AS105"/>
    </row>
    <row r="106" spans="1:48" hidden="1" x14ac:dyDescent="0.3">
      <c r="A106">
        <v>2023</v>
      </c>
      <c r="B106">
        <v>307</v>
      </c>
      <c r="C106">
        <v>11020600606</v>
      </c>
      <c r="D106" s="5" t="s">
        <v>44</v>
      </c>
      <c r="E106" s="8" t="s">
        <v>268</v>
      </c>
      <c r="F106">
        <v>11020600606</v>
      </c>
      <c r="G106" s="8" t="s">
        <v>269</v>
      </c>
      <c r="H106" t="s">
        <v>47</v>
      </c>
      <c r="I106" s="11">
        <v>250000000</v>
      </c>
      <c r="J106" s="11">
        <v>250000000</v>
      </c>
      <c r="K106" s="11">
        <v>935754190</v>
      </c>
      <c r="L106" s="11">
        <v>592877095</v>
      </c>
      <c r="M106" s="11">
        <v>342877095</v>
      </c>
      <c r="N106" s="11">
        <v>935754190</v>
      </c>
      <c r="O106" s="11">
        <v>592877095</v>
      </c>
      <c r="P106" s="11">
        <v>592877095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592877095</v>
      </c>
      <c r="X106" s="11">
        <v>0</v>
      </c>
      <c r="Y106" s="17">
        <v>592877095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592877095</v>
      </c>
      <c r="AG106" s="11">
        <v>0</v>
      </c>
      <c r="AH106" s="12">
        <v>592877095</v>
      </c>
      <c r="AI106" s="11">
        <v>592877095</v>
      </c>
      <c r="AJ106" s="11">
        <v>0</v>
      </c>
      <c r="AK106" s="11">
        <v>0</v>
      </c>
      <c r="AL106" s="11">
        <v>592877095</v>
      </c>
      <c r="AM106" s="11">
        <v>592877095</v>
      </c>
      <c r="AN106" s="11">
        <v>0</v>
      </c>
      <c r="AO106" s="11">
        <v>592877095</v>
      </c>
      <c r="AP106" s="11">
        <v>0</v>
      </c>
      <c r="AQ106" s="11">
        <v>0</v>
      </c>
      <c r="AR106" t="s">
        <v>48</v>
      </c>
      <c r="AS106"/>
    </row>
    <row r="107" spans="1:48" hidden="1" x14ac:dyDescent="0.3">
      <c r="A107">
        <v>2023</v>
      </c>
      <c r="B107">
        <v>307</v>
      </c>
      <c r="C107">
        <v>1102060060600</v>
      </c>
      <c r="D107" s="5" t="s">
        <v>44</v>
      </c>
      <c r="E107" s="8" t="s">
        <v>270</v>
      </c>
      <c r="F107">
        <v>1102060060600</v>
      </c>
      <c r="G107" s="8" t="s">
        <v>269</v>
      </c>
      <c r="H107" t="s">
        <v>47</v>
      </c>
      <c r="I107" s="11">
        <v>250000000</v>
      </c>
      <c r="J107" s="11">
        <v>250000000</v>
      </c>
      <c r="K107" s="11">
        <v>935754190</v>
      </c>
      <c r="L107" s="11">
        <v>592877095</v>
      </c>
      <c r="M107" s="11">
        <v>342877095</v>
      </c>
      <c r="N107" s="11">
        <v>935754190</v>
      </c>
      <c r="O107" s="11">
        <v>592877095</v>
      </c>
      <c r="P107" s="11">
        <v>592877095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592877095</v>
      </c>
      <c r="X107" s="11">
        <v>0</v>
      </c>
      <c r="Y107" s="17">
        <v>592877095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592877095</v>
      </c>
      <c r="AG107" s="11">
        <v>0</v>
      </c>
      <c r="AH107" s="12">
        <v>592877095</v>
      </c>
      <c r="AI107" s="11">
        <v>592877095</v>
      </c>
      <c r="AJ107" s="11">
        <v>0</v>
      </c>
      <c r="AK107" s="11">
        <v>0</v>
      </c>
      <c r="AL107" s="11">
        <v>592877095</v>
      </c>
      <c r="AM107" s="11">
        <v>592877095</v>
      </c>
      <c r="AN107" s="11">
        <v>0</v>
      </c>
      <c r="AO107" s="11">
        <v>592877095</v>
      </c>
      <c r="AP107" s="11">
        <v>0</v>
      </c>
      <c r="AQ107" s="11">
        <v>0</v>
      </c>
      <c r="AR107" t="s">
        <v>48</v>
      </c>
      <c r="AS107"/>
    </row>
    <row r="108" spans="1:48" hidden="1" x14ac:dyDescent="0.3">
      <c r="A108">
        <v>2023</v>
      </c>
      <c r="B108">
        <v>307</v>
      </c>
      <c r="C108">
        <v>110206006060000</v>
      </c>
      <c r="D108" s="5" t="s">
        <v>44</v>
      </c>
      <c r="E108" s="8" t="s">
        <v>271</v>
      </c>
      <c r="F108">
        <v>110206006060000</v>
      </c>
      <c r="G108" s="8" t="s">
        <v>269</v>
      </c>
      <c r="H108" t="s">
        <v>47</v>
      </c>
      <c r="I108" s="11">
        <v>250000000</v>
      </c>
      <c r="J108" s="11">
        <v>250000000</v>
      </c>
      <c r="K108" s="11">
        <v>935754190</v>
      </c>
      <c r="L108" s="11">
        <v>592877095</v>
      </c>
      <c r="M108" s="11">
        <v>342877095</v>
      </c>
      <c r="N108" s="11">
        <v>935754190</v>
      </c>
      <c r="O108" s="11">
        <v>592877095</v>
      </c>
      <c r="P108" s="11">
        <v>592877095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592877095</v>
      </c>
      <c r="X108" s="11">
        <v>0</v>
      </c>
      <c r="Y108" s="17">
        <v>592877095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592877095</v>
      </c>
      <c r="AG108" s="11">
        <v>0</v>
      </c>
      <c r="AH108" s="12">
        <v>592877095</v>
      </c>
      <c r="AI108" s="11">
        <v>592877095</v>
      </c>
      <c r="AJ108" s="11">
        <v>0</v>
      </c>
      <c r="AK108" s="11">
        <v>0</v>
      </c>
      <c r="AL108" s="11">
        <v>592877095</v>
      </c>
      <c r="AM108" s="11">
        <v>592877095</v>
      </c>
      <c r="AN108" s="11">
        <v>0</v>
      </c>
      <c r="AO108" s="11">
        <v>592877095</v>
      </c>
      <c r="AP108" s="11">
        <v>0</v>
      </c>
      <c r="AQ108" s="11">
        <v>0</v>
      </c>
      <c r="AR108" t="s">
        <v>48</v>
      </c>
      <c r="AS108"/>
    </row>
    <row r="109" spans="1:48" hidden="1" x14ac:dyDescent="0.3">
      <c r="A109">
        <v>2023</v>
      </c>
      <c r="B109">
        <v>307</v>
      </c>
      <c r="C109">
        <v>1.1020600606E+17</v>
      </c>
      <c r="D109" s="5" t="s">
        <v>44</v>
      </c>
      <c r="E109" s="8" t="s">
        <v>1077</v>
      </c>
      <c r="F109">
        <v>1.1020600606E+17</v>
      </c>
      <c r="G109" s="8" t="s">
        <v>269</v>
      </c>
      <c r="H109" t="s">
        <v>47</v>
      </c>
      <c r="I109" s="11">
        <v>250000000</v>
      </c>
      <c r="J109" s="11">
        <v>250000000</v>
      </c>
      <c r="K109" s="11">
        <v>935754190</v>
      </c>
      <c r="L109" s="11">
        <v>592877095</v>
      </c>
      <c r="M109" s="11">
        <v>342877095</v>
      </c>
      <c r="N109" s="11">
        <v>935754190</v>
      </c>
      <c r="O109" s="11">
        <v>592877095</v>
      </c>
      <c r="P109" s="11">
        <v>592877095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592877095</v>
      </c>
      <c r="X109" s="11">
        <v>0</v>
      </c>
      <c r="Y109" s="17">
        <v>592877095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592877095</v>
      </c>
      <c r="AG109" s="11">
        <v>0</v>
      </c>
      <c r="AH109" s="12">
        <v>592877095</v>
      </c>
      <c r="AI109" s="11">
        <v>592877095</v>
      </c>
      <c r="AJ109" s="11">
        <v>0</v>
      </c>
      <c r="AK109" s="11">
        <v>0</v>
      </c>
      <c r="AL109" s="11">
        <v>592877095</v>
      </c>
      <c r="AM109" s="11">
        <v>592877095</v>
      </c>
      <c r="AN109" s="11">
        <v>0</v>
      </c>
      <c r="AO109" s="11">
        <v>592877095</v>
      </c>
      <c r="AP109" s="11">
        <v>0</v>
      </c>
      <c r="AQ109" s="11">
        <v>0</v>
      </c>
      <c r="AR109" t="s">
        <v>48</v>
      </c>
      <c r="AS109"/>
    </row>
    <row r="110" spans="1:48" hidden="1" x14ac:dyDescent="0.3">
      <c r="A110">
        <v>2023</v>
      </c>
      <c r="B110">
        <v>307</v>
      </c>
      <c r="C110">
        <v>1.1020600606E+20</v>
      </c>
      <c r="D110" s="5" t="s">
        <v>44</v>
      </c>
      <c r="E110" s="8" t="s">
        <v>1078</v>
      </c>
      <c r="F110">
        <v>1.1020600606E+20</v>
      </c>
      <c r="G110" s="8" t="s">
        <v>269</v>
      </c>
      <c r="H110" t="s">
        <v>47</v>
      </c>
      <c r="I110" s="11">
        <v>250000000</v>
      </c>
      <c r="J110" s="11">
        <v>250000000</v>
      </c>
      <c r="K110" s="11">
        <v>935754190</v>
      </c>
      <c r="L110" s="11">
        <v>592877095</v>
      </c>
      <c r="M110" s="11">
        <v>342877095</v>
      </c>
      <c r="N110" s="11">
        <v>935754190</v>
      </c>
      <c r="O110" s="11">
        <v>592877095</v>
      </c>
      <c r="P110" s="11">
        <v>592877095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592877095</v>
      </c>
      <c r="X110" s="11">
        <v>0</v>
      </c>
      <c r="Y110" s="17">
        <v>592877095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592877095</v>
      </c>
      <c r="AG110" s="11">
        <v>0</v>
      </c>
      <c r="AH110" s="12">
        <v>592877095</v>
      </c>
      <c r="AI110" s="11">
        <v>592877095</v>
      </c>
      <c r="AJ110" s="11">
        <v>0</v>
      </c>
      <c r="AK110" s="11">
        <v>0</v>
      </c>
      <c r="AL110" s="11">
        <v>592877095</v>
      </c>
      <c r="AM110" s="11">
        <v>592877095</v>
      </c>
      <c r="AN110" s="11">
        <v>0</v>
      </c>
      <c r="AO110" s="11">
        <v>592877095</v>
      </c>
      <c r="AP110" s="11">
        <v>0</v>
      </c>
      <c r="AQ110" s="11">
        <v>0</v>
      </c>
      <c r="AR110" t="s">
        <v>48</v>
      </c>
      <c r="AS110"/>
    </row>
    <row r="111" spans="1:48" x14ac:dyDescent="0.3">
      <c r="A111">
        <v>2023</v>
      </c>
      <c r="B111">
        <v>307</v>
      </c>
      <c r="C111">
        <v>1.1020600605999999E+35</v>
      </c>
      <c r="D111" s="5">
        <v>56</v>
      </c>
      <c r="E111" s="8" t="s">
        <v>285</v>
      </c>
      <c r="F111">
        <v>1.1020600605999999E+35</v>
      </c>
      <c r="G111" s="8" t="s">
        <v>286</v>
      </c>
      <c r="H111" t="s">
        <v>47</v>
      </c>
      <c r="I111" s="11">
        <v>250000000</v>
      </c>
      <c r="J111" s="11">
        <v>250000000</v>
      </c>
      <c r="K111" s="11">
        <v>935754190</v>
      </c>
      <c r="L111" s="11">
        <v>592877095</v>
      </c>
      <c r="M111" s="11">
        <v>342877095</v>
      </c>
      <c r="N111" s="11">
        <v>935754190</v>
      </c>
      <c r="O111" s="11">
        <v>592877095</v>
      </c>
      <c r="P111" s="11">
        <v>592877095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592877095</v>
      </c>
      <c r="X111" s="11">
        <v>0</v>
      </c>
      <c r="Y111" s="17">
        <v>592877095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592877095</v>
      </c>
      <c r="AG111" s="11">
        <v>0</v>
      </c>
      <c r="AH111" s="12">
        <v>592877095</v>
      </c>
      <c r="AI111" s="11">
        <v>592877095</v>
      </c>
      <c r="AJ111" s="11">
        <v>0</v>
      </c>
      <c r="AK111" s="11">
        <v>0</v>
      </c>
      <c r="AL111" s="11">
        <v>592877095</v>
      </c>
      <c r="AM111" s="11">
        <v>592877095</v>
      </c>
      <c r="AN111" s="11">
        <v>0</v>
      </c>
      <c r="AO111" s="11">
        <v>592877095</v>
      </c>
      <c r="AP111" s="11">
        <v>0</v>
      </c>
      <c r="AQ111" s="11">
        <v>0</v>
      </c>
      <c r="AR111" t="s">
        <v>279</v>
      </c>
      <c r="AS111" s="4" t="str">
        <f>+G111</f>
        <v>Federación Nacional de Departamentos</v>
      </c>
      <c r="AT111" t="str">
        <f>+D111&amp;AS111&amp;Y111</f>
        <v>56Federación Nacional de Departamentos592877095</v>
      </c>
      <c r="AU111" t="str">
        <f>+_xlfn.XLOOKUP(AT111,CRUCE!K:K,CRUCE!M:M)</f>
        <v>READY</v>
      </c>
      <c r="AV111" t="s">
        <v>1907</v>
      </c>
    </row>
    <row r="112" spans="1:48" hidden="1" x14ac:dyDescent="0.3">
      <c r="A112">
        <v>2023</v>
      </c>
      <c r="B112">
        <v>307</v>
      </c>
      <c r="C112">
        <v>110206009</v>
      </c>
      <c r="D112" s="5" t="s">
        <v>44</v>
      </c>
      <c r="E112" s="8" t="s">
        <v>1335</v>
      </c>
      <c r="F112">
        <v>110206009</v>
      </c>
      <c r="G112" s="8" t="s">
        <v>1336</v>
      </c>
      <c r="H112" t="s">
        <v>47</v>
      </c>
      <c r="I112" s="11">
        <v>7102729091</v>
      </c>
      <c r="J112" s="11">
        <v>7102729091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7102729091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6030024723.9899998</v>
      </c>
      <c r="X112" s="11">
        <v>0</v>
      </c>
      <c r="Y112" s="17">
        <v>6030024723.9899998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6030024723.9899998</v>
      </c>
      <c r="AG112" s="11">
        <v>0</v>
      </c>
      <c r="AH112" s="12">
        <v>6030024723.9899998</v>
      </c>
      <c r="AI112" s="11">
        <v>6030024723.9899998</v>
      </c>
      <c r="AJ112" s="11">
        <v>5685504000</v>
      </c>
      <c r="AK112" s="11">
        <v>5685504000</v>
      </c>
      <c r="AL112" s="11">
        <v>344520723.99000001</v>
      </c>
      <c r="AM112" s="11">
        <v>344520723.99000001</v>
      </c>
      <c r="AN112" s="11">
        <v>0</v>
      </c>
      <c r="AO112" s="11">
        <v>344520723.99000001</v>
      </c>
      <c r="AP112" s="11">
        <v>0</v>
      </c>
      <c r="AQ112" s="11">
        <v>0</v>
      </c>
      <c r="AR112" t="s">
        <v>48</v>
      </c>
      <c r="AS112"/>
    </row>
    <row r="113" spans="1:48" hidden="1" x14ac:dyDescent="0.3">
      <c r="A113">
        <v>2023</v>
      </c>
      <c r="B113">
        <v>307</v>
      </c>
      <c r="C113">
        <v>11020600902</v>
      </c>
      <c r="D113" s="5" t="s">
        <v>44</v>
      </c>
      <c r="E113" s="8" t="s">
        <v>290</v>
      </c>
      <c r="F113">
        <v>11020600902</v>
      </c>
      <c r="G113" s="8" t="s">
        <v>291</v>
      </c>
      <c r="H113" t="s">
        <v>47</v>
      </c>
      <c r="I113" s="11">
        <v>7102729091</v>
      </c>
      <c r="J113" s="11">
        <v>7102729091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7102729091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6030024723.9899998</v>
      </c>
      <c r="X113" s="11">
        <v>0</v>
      </c>
      <c r="Y113" s="17">
        <v>6030024723.9899998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6030024723.9899998</v>
      </c>
      <c r="AG113" s="11">
        <v>0</v>
      </c>
      <c r="AH113" s="12">
        <v>6030024723.9899998</v>
      </c>
      <c r="AI113" s="11">
        <v>6030024723.9899998</v>
      </c>
      <c r="AJ113" s="11">
        <v>5685504000</v>
      </c>
      <c r="AK113" s="11">
        <v>5685504000</v>
      </c>
      <c r="AL113" s="11">
        <v>344520723.99000001</v>
      </c>
      <c r="AM113" s="11">
        <v>344520723.99000001</v>
      </c>
      <c r="AN113" s="11">
        <v>0</v>
      </c>
      <c r="AO113" s="11">
        <v>344520723.99000001</v>
      </c>
      <c r="AP113" s="11">
        <v>0</v>
      </c>
      <c r="AQ113" s="11">
        <v>0</v>
      </c>
      <c r="AR113" t="s">
        <v>48</v>
      </c>
      <c r="AS113"/>
    </row>
    <row r="114" spans="1:48" hidden="1" x14ac:dyDescent="0.3">
      <c r="A114">
        <v>2023</v>
      </c>
      <c r="B114">
        <v>307</v>
      </c>
      <c r="C114">
        <v>1102060090202</v>
      </c>
      <c r="D114" s="5" t="s">
        <v>44</v>
      </c>
      <c r="E114" s="8" t="s">
        <v>292</v>
      </c>
      <c r="F114">
        <v>1102060090202</v>
      </c>
      <c r="G114" s="8" t="s">
        <v>293</v>
      </c>
      <c r="H114" t="s">
        <v>47</v>
      </c>
      <c r="I114" s="11">
        <v>7102729091</v>
      </c>
      <c r="J114" s="11">
        <v>7102729091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7102729091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6030024723.9899998</v>
      </c>
      <c r="X114" s="11">
        <v>0</v>
      </c>
      <c r="Y114" s="17">
        <v>6030024723.9899998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6030024723.9899998</v>
      </c>
      <c r="AG114" s="11">
        <v>0</v>
      </c>
      <c r="AH114" s="12">
        <v>6030024723.9899998</v>
      </c>
      <c r="AI114" s="11">
        <v>6030024723.9899998</v>
      </c>
      <c r="AJ114" s="11">
        <v>5685504000</v>
      </c>
      <c r="AK114" s="11">
        <v>5685504000</v>
      </c>
      <c r="AL114" s="11">
        <v>344520723.99000001</v>
      </c>
      <c r="AM114" s="11">
        <v>344520723.99000001</v>
      </c>
      <c r="AN114" s="11">
        <v>0</v>
      </c>
      <c r="AO114" s="11">
        <v>344520723.99000001</v>
      </c>
      <c r="AP114" s="11">
        <v>0</v>
      </c>
      <c r="AQ114" s="11">
        <v>0</v>
      </c>
      <c r="AR114" t="s">
        <v>48</v>
      </c>
      <c r="AS114"/>
    </row>
    <row r="115" spans="1:48" hidden="1" x14ac:dyDescent="0.3">
      <c r="A115">
        <v>2023</v>
      </c>
      <c r="B115">
        <v>307</v>
      </c>
      <c r="C115">
        <v>110206009020200</v>
      </c>
      <c r="D115" s="5" t="s">
        <v>44</v>
      </c>
      <c r="E115" s="8" t="s">
        <v>294</v>
      </c>
      <c r="F115">
        <v>110206009020200</v>
      </c>
      <c r="G115" s="8" t="s">
        <v>293</v>
      </c>
      <c r="H115" t="s">
        <v>47</v>
      </c>
      <c r="I115" s="11">
        <v>7102729091</v>
      </c>
      <c r="J115" s="11">
        <v>7102729091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7102729091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6030024723.9899998</v>
      </c>
      <c r="X115" s="11">
        <v>0</v>
      </c>
      <c r="Y115" s="17">
        <v>6030024723.9899998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6030024723.9899998</v>
      </c>
      <c r="AG115" s="11">
        <v>0</v>
      </c>
      <c r="AH115" s="12">
        <v>6030024723.9899998</v>
      </c>
      <c r="AI115" s="11">
        <v>6030024723.9899998</v>
      </c>
      <c r="AJ115" s="11">
        <v>5685504000</v>
      </c>
      <c r="AK115" s="11">
        <v>5685504000</v>
      </c>
      <c r="AL115" s="11">
        <v>344520723.99000001</v>
      </c>
      <c r="AM115" s="11">
        <v>344520723.99000001</v>
      </c>
      <c r="AN115" s="11">
        <v>0</v>
      </c>
      <c r="AO115" s="11">
        <v>344520723.99000001</v>
      </c>
      <c r="AP115" s="11">
        <v>0</v>
      </c>
      <c r="AQ115" s="11">
        <v>0</v>
      </c>
      <c r="AR115" t="s">
        <v>48</v>
      </c>
      <c r="AS115"/>
    </row>
    <row r="116" spans="1:48" hidden="1" x14ac:dyDescent="0.3">
      <c r="A116">
        <v>2023</v>
      </c>
      <c r="B116">
        <v>307</v>
      </c>
      <c r="C116">
        <v>1.102060090202E+17</v>
      </c>
      <c r="D116" s="5" t="s">
        <v>44</v>
      </c>
      <c r="E116" s="8" t="s">
        <v>1088</v>
      </c>
      <c r="F116">
        <v>1.102060090202E+17</v>
      </c>
      <c r="G116" s="8" t="s">
        <v>293</v>
      </c>
      <c r="H116" t="s">
        <v>47</v>
      </c>
      <c r="I116" s="11">
        <v>7102729091</v>
      </c>
      <c r="J116" s="11">
        <v>7102729091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7102729091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6030024723.9899998</v>
      </c>
      <c r="X116" s="11">
        <v>0</v>
      </c>
      <c r="Y116" s="17">
        <v>6030024723.9899998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6030024723.9899998</v>
      </c>
      <c r="AG116" s="11">
        <v>0</v>
      </c>
      <c r="AH116" s="12">
        <v>6030024723.9899998</v>
      </c>
      <c r="AI116" s="11">
        <v>6030024723.9899998</v>
      </c>
      <c r="AJ116" s="11">
        <v>5685504000</v>
      </c>
      <c r="AK116" s="11">
        <v>5685504000</v>
      </c>
      <c r="AL116" s="11">
        <v>344520723.99000001</v>
      </c>
      <c r="AM116" s="11">
        <v>344520723.99000001</v>
      </c>
      <c r="AN116" s="11">
        <v>0</v>
      </c>
      <c r="AO116" s="11">
        <v>344520723.99000001</v>
      </c>
      <c r="AP116" s="11">
        <v>0</v>
      </c>
      <c r="AQ116" s="11">
        <v>0</v>
      </c>
      <c r="AR116" t="s">
        <v>48</v>
      </c>
      <c r="AS116"/>
    </row>
    <row r="117" spans="1:48" hidden="1" x14ac:dyDescent="0.3">
      <c r="A117">
        <v>2023</v>
      </c>
      <c r="B117">
        <v>307</v>
      </c>
      <c r="C117">
        <v>1.1020600902019999E+20</v>
      </c>
      <c r="D117" s="5" t="s">
        <v>44</v>
      </c>
      <c r="E117" s="8" t="s">
        <v>1089</v>
      </c>
      <c r="F117">
        <v>1.1020600902019999E+20</v>
      </c>
      <c r="G117" s="8" t="s">
        <v>293</v>
      </c>
      <c r="H117" t="s">
        <v>47</v>
      </c>
      <c r="I117" s="11">
        <v>7102729091</v>
      </c>
      <c r="J117" s="11">
        <v>7102729091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7102729091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6030024723.9899998</v>
      </c>
      <c r="X117" s="11">
        <v>0</v>
      </c>
      <c r="Y117" s="17">
        <v>6030024723.9899998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6030024723.9899998</v>
      </c>
      <c r="AG117" s="11">
        <v>0</v>
      </c>
      <c r="AH117" s="12">
        <v>6030024723.9899998</v>
      </c>
      <c r="AI117" s="11">
        <v>6030024723.9899998</v>
      </c>
      <c r="AJ117" s="11">
        <v>5685504000</v>
      </c>
      <c r="AK117" s="11">
        <v>5685504000</v>
      </c>
      <c r="AL117" s="11">
        <v>344520723.99000001</v>
      </c>
      <c r="AM117" s="11">
        <v>344520723.99000001</v>
      </c>
      <c r="AN117" s="11">
        <v>0</v>
      </c>
      <c r="AO117" s="11">
        <v>344520723.99000001</v>
      </c>
      <c r="AP117" s="11">
        <v>0</v>
      </c>
      <c r="AQ117" s="11">
        <v>0</v>
      </c>
      <c r="AR117" t="s">
        <v>48</v>
      </c>
      <c r="AS117"/>
    </row>
    <row r="118" spans="1:48" x14ac:dyDescent="0.3">
      <c r="A118">
        <v>2023</v>
      </c>
      <c r="B118">
        <v>307</v>
      </c>
      <c r="C118">
        <v>1.102060090202E+35</v>
      </c>
      <c r="D118" s="5">
        <v>49</v>
      </c>
      <c r="E118" s="8" t="s">
        <v>1337</v>
      </c>
      <c r="F118">
        <v>1.102060090202E+35</v>
      </c>
      <c r="G118" s="8" t="s">
        <v>1338</v>
      </c>
      <c r="H118" t="s">
        <v>47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7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2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t="s">
        <v>1339</v>
      </c>
      <c r="AS118" s="4" t="str">
        <f>+G118</f>
        <v xml:space="preserve">La Tebaida </v>
      </c>
      <c r="AT118" t="str">
        <f t="shared" ref="AT118:AT138" si="24">+D118&amp;AS118&amp;Y118</f>
        <v>49La Tebaida 0</v>
      </c>
      <c r="AU118" t="str">
        <f>+_xlfn.XLOOKUP(AT118,CRUCE!K:K,CRUCE!M:M)</f>
        <v>READY</v>
      </c>
      <c r="AV118" t="s">
        <v>1907</v>
      </c>
    </row>
    <row r="119" spans="1:48" x14ac:dyDescent="0.3">
      <c r="A119">
        <v>2023</v>
      </c>
      <c r="B119">
        <v>307</v>
      </c>
      <c r="C119">
        <v>1.102060090202E+35</v>
      </c>
      <c r="D119" s="5">
        <v>49</v>
      </c>
      <c r="E119" s="8" t="s">
        <v>1340</v>
      </c>
      <c r="F119">
        <v>1.102060090202E+35</v>
      </c>
      <c r="G119" s="8" t="s">
        <v>160</v>
      </c>
      <c r="H119" t="s">
        <v>47</v>
      </c>
      <c r="I119" s="11">
        <v>7128550.7000000002</v>
      </c>
      <c r="J119" s="11">
        <v>7128550.7000000002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7128550.7000000002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6222315</v>
      </c>
      <c r="X119" s="11">
        <v>0</v>
      </c>
      <c r="Y119" s="17">
        <v>6222315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6222315</v>
      </c>
      <c r="AG119" s="11">
        <v>0</v>
      </c>
      <c r="AH119" s="12">
        <v>6222315</v>
      </c>
      <c r="AI119" s="11">
        <v>6222315</v>
      </c>
      <c r="AJ119" s="11">
        <v>0</v>
      </c>
      <c r="AK119" s="11">
        <v>0</v>
      </c>
      <c r="AL119" s="11">
        <v>6222315</v>
      </c>
      <c r="AM119" s="11">
        <v>6222315</v>
      </c>
      <c r="AN119" s="11">
        <v>0</v>
      </c>
      <c r="AO119" s="11">
        <v>6222315</v>
      </c>
      <c r="AP119" s="11">
        <v>0</v>
      </c>
      <c r="AQ119" s="11">
        <v>0</v>
      </c>
      <c r="AR119" t="s">
        <v>1339</v>
      </c>
      <c r="AS119" s="4" t="str">
        <f t="shared" ref="AS119:AS123" si="25">+G119</f>
        <v>Lotería del Quindío E.I.C.E.</v>
      </c>
      <c r="AT119" t="str">
        <f t="shared" si="24"/>
        <v>49Lotería del Quindío E.I.C.E.6222315</v>
      </c>
      <c r="AU119" t="str">
        <f>+_xlfn.XLOOKUP(AT119,CRUCE!K:K,CRUCE!M:M)</f>
        <v>READY</v>
      </c>
      <c r="AV119" t="s">
        <v>1907</v>
      </c>
    </row>
    <row r="120" spans="1:48" x14ac:dyDescent="0.3">
      <c r="A120">
        <v>2023</v>
      </c>
      <c r="B120">
        <v>307</v>
      </c>
      <c r="C120">
        <v>1.102060090202E+35</v>
      </c>
      <c r="D120" s="5">
        <v>49</v>
      </c>
      <c r="E120" s="8" t="s">
        <v>1341</v>
      </c>
      <c r="F120">
        <v>1.102060090202E+35</v>
      </c>
      <c r="G120" s="8" t="s">
        <v>301</v>
      </c>
      <c r="H120" t="s">
        <v>47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7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2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t="s">
        <v>1339</v>
      </c>
      <c r="AS120" s="4" t="str">
        <f t="shared" si="25"/>
        <v>E.S.E. Hospital Universitario San Jorge - Pereira</v>
      </c>
      <c r="AT120" t="str">
        <f t="shared" si="24"/>
        <v>49E.S.E. Hospital Universitario San Jorge - Pereira0</v>
      </c>
      <c r="AU120" t="str">
        <f>+_xlfn.XLOOKUP(AT120,CRUCE!K:K,CRUCE!M:M)</f>
        <v>READY</v>
      </c>
      <c r="AV120" t="s">
        <v>1907</v>
      </c>
    </row>
    <row r="121" spans="1:48" x14ac:dyDescent="0.3">
      <c r="A121">
        <v>2023</v>
      </c>
      <c r="B121">
        <v>307</v>
      </c>
      <c r="C121">
        <v>1.102060090202E+35</v>
      </c>
      <c r="D121" s="5">
        <v>49</v>
      </c>
      <c r="E121" s="8" t="s">
        <v>1342</v>
      </c>
      <c r="F121">
        <v>1.102060090202E+35</v>
      </c>
      <c r="G121" s="8" t="s">
        <v>303</v>
      </c>
      <c r="H121" t="s">
        <v>47</v>
      </c>
      <c r="I121" s="11">
        <v>878837.9</v>
      </c>
      <c r="J121" s="11">
        <v>878837.9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878837.9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7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2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t="s">
        <v>1339</v>
      </c>
      <c r="AS121" s="4" t="str">
        <f t="shared" si="25"/>
        <v>E.S.E. Hospital San Antonio - Roldanillo (Valle)</v>
      </c>
      <c r="AT121" t="str">
        <f t="shared" si="24"/>
        <v>49E.S.E. Hospital San Antonio - Roldanillo (Valle)0</v>
      </c>
      <c r="AU121" t="str">
        <f>+_xlfn.XLOOKUP(AT121,CRUCE!K:K,CRUCE!M:M)</f>
        <v>READY</v>
      </c>
      <c r="AV121" t="s">
        <v>1907</v>
      </c>
    </row>
    <row r="122" spans="1:48" x14ac:dyDescent="0.3">
      <c r="A122">
        <v>2023</v>
      </c>
      <c r="B122">
        <v>307</v>
      </c>
      <c r="C122">
        <v>1.102060090202E+35</v>
      </c>
      <c r="D122" s="5">
        <v>49</v>
      </c>
      <c r="E122" s="8" t="s">
        <v>1343</v>
      </c>
      <c r="F122">
        <v>1.102060090202E+35</v>
      </c>
      <c r="G122" s="8" t="s">
        <v>305</v>
      </c>
      <c r="H122" t="s">
        <v>47</v>
      </c>
      <c r="I122" s="11">
        <v>9809760.0899999999</v>
      </c>
      <c r="J122" s="11">
        <v>9809760.0899999999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9809760.0899999999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8570291</v>
      </c>
      <c r="X122" s="11">
        <v>0</v>
      </c>
      <c r="Y122" s="17">
        <v>8570291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8570291</v>
      </c>
      <c r="AG122" s="11">
        <v>0</v>
      </c>
      <c r="AH122" s="12">
        <v>8570291</v>
      </c>
      <c r="AI122" s="11">
        <v>8570291</v>
      </c>
      <c r="AJ122" s="11">
        <v>0</v>
      </c>
      <c r="AK122" s="11">
        <v>0</v>
      </c>
      <c r="AL122" s="11">
        <v>8570291</v>
      </c>
      <c r="AM122" s="11">
        <v>8570291</v>
      </c>
      <c r="AN122" s="11">
        <v>0</v>
      </c>
      <c r="AO122" s="11">
        <v>8570291</v>
      </c>
      <c r="AP122" s="11">
        <v>0</v>
      </c>
      <c r="AQ122" s="11">
        <v>0</v>
      </c>
      <c r="AR122" t="s">
        <v>1339</v>
      </c>
      <c r="AS122" s="4" t="str">
        <f t="shared" si="25"/>
        <v>Empresas Públicas Municipales de Armenia</v>
      </c>
      <c r="AT122" t="str">
        <f t="shared" si="24"/>
        <v>49Empresas Públicas Municipales de Armenia8570291</v>
      </c>
      <c r="AU122" t="str">
        <f>+_xlfn.XLOOKUP(AT122,CRUCE!K:K,CRUCE!M:M)</f>
        <v>READY</v>
      </c>
      <c r="AV122" t="s">
        <v>1907</v>
      </c>
    </row>
    <row r="123" spans="1:48" x14ac:dyDescent="0.3">
      <c r="A123">
        <v>2023</v>
      </c>
      <c r="B123">
        <v>307</v>
      </c>
      <c r="C123">
        <v>1.102060090202E+35</v>
      </c>
      <c r="D123" s="5">
        <v>49</v>
      </c>
      <c r="E123" s="8" t="s">
        <v>1344</v>
      </c>
      <c r="F123">
        <v>1.102060090202E+35</v>
      </c>
      <c r="G123" s="8" t="s">
        <v>1345</v>
      </c>
      <c r="H123" t="s">
        <v>47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9320337</v>
      </c>
      <c r="X123" s="11">
        <v>0</v>
      </c>
      <c r="Y123" s="17">
        <v>9320337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9320337</v>
      </c>
      <c r="AG123" s="11">
        <v>0</v>
      </c>
      <c r="AH123" s="12">
        <v>9320337</v>
      </c>
      <c r="AI123" s="11">
        <v>9320337</v>
      </c>
      <c r="AJ123" s="11">
        <v>0</v>
      </c>
      <c r="AK123" s="11">
        <v>0</v>
      </c>
      <c r="AL123" s="11">
        <v>9320337</v>
      </c>
      <c r="AM123" s="11">
        <v>9320337</v>
      </c>
      <c r="AN123" s="11">
        <v>0</v>
      </c>
      <c r="AO123" s="11">
        <v>9320337</v>
      </c>
      <c r="AP123" s="11">
        <v>0</v>
      </c>
      <c r="AQ123" s="11">
        <v>0</v>
      </c>
      <c r="AR123" t="s">
        <v>1339</v>
      </c>
      <c r="AS123" s="4" t="str">
        <f t="shared" si="25"/>
        <v>E.S.P. Empresas Públicas Municipales de Calarcá - EMCA ESP</v>
      </c>
      <c r="AT123" t="str">
        <f t="shared" si="24"/>
        <v>49E.S.P. Empresas Públicas Municipales de Calarcá - EMCA ESP9320337</v>
      </c>
      <c r="AU123" t="str">
        <f>+_xlfn.XLOOKUP(AT123,CRUCE!K:K,CRUCE!M:M)</f>
        <v>READY</v>
      </c>
      <c r="AV123" t="s">
        <v>1907</v>
      </c>
    </row>
    <row r="124" spans="1:48" x14ac:dyDescent="0.3">
      <c r="A124">
        <v>2023</v>
      </c>
      <c r="B124">
        <v>307</v>
      </c>
      <c r="C124">
        <v>1.102060090202E+35</v>
      </c>
      <c r="D124" s="5">
        <v>133</v>
      </c>
      <c r="E124" s="8" t="s">
        <v>1346</v>
      </c>
      <c r="F124">
        <v>1.102060090202E+35</v>
      </c>
      <c r="G124" s="8" t="s">
        <v>1347</v>
      </c>
      <c r="H124" t="s">
        <v>47</v>
      </c>
      <c r="I124" s="11">
        <v>6500000000</v>
      </c>
      <c r="J124" s="11">
        <v>6500000000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6500000000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5685504000</v>
      </c>
      <c r="X124" s="11">
        <v>0</v>
      </c>
      <c r="Y124" s="17">
        <v>5685504000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5685504000</v>
      </c>
      <c r="AG124" s="11">
        <v>0</v>
      </c>
      <c r="AH124" s="12">
        <v>5685504000</v>
      </c>
      <c r="AI124" s="11">
        <v>5685504000</v>
      </c>
      <c r="AJ124" s="11">
        <v>5685504000</v>
      </c>
      <c r="AK124" s="11">
        <v>5685504000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t="s">
        <v>1348</v>
      </c>
      <c r="AS124" s="4" t="str">
        <f>+G124</f>
        <v>Fondo Nacional de Pensiones de las Entidades Territoriales - FONPET</v>
      </c>
      <c r="AT124" t="str">
        <f t="shared" si="24"/>
        <v>133Fondo Nacional de Pensiones de las Entidades Territoriales - FONPET5685504000</v>
      </c>
      <c r="AU124" t="str">
        <f>+_xlfn.XLOOKUP(AT124,CRUCE!K:K,CRUCE!M:M)</f>
        <v>READY</v>
      </c>
      <c r="AV124" t="s">
        <v>1907</v>
      </c>
    </row>
    <row r="125" spans="1:48" x14ac:dyDescent="0.3">
      <c r="A125">
        <v>2023</v>
      </c>
      <c r="B125">
        <v>307</v>
      </c>
      <c r="C125">
        <v>1.102060090202E+35</v>
      </c>
      <c r="D125" s="5">
        <v>49</v>
      </c>
      <c r="E125" s="8" t="s">
        <v>1349</v>
      </c>
      <c r="F125">
        <v>1.102060090202E+35</v>
      </c>
      <c r="G125" s="8" t="s">
        <v>307</v>
      </c>
      <c r="H125" t="s">
        <v>47</v>
      </c>
      <c r="I125" s="11">
        <v>97455968.260000005</v>
      </c>
      <c r="J125" s="11">
        <v>97455968.260000005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97455968.260000005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27363616.75</v>
      </c>
      <c r="X125" s="11">
        <v>0</v>
      </c>
      <c r="Y125" s="17">
        <v>27363616.75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27363616.75</v>
      </c>
      <c r="AG125" s="11">
        <v>0</v>
      </c>
      <c r="AH125" s="12">
        <v>27363616.75</v>
      </c>
      <c r="AI125" s="11">
        <v>27363616.75</v>
      </c>
      <c r="AJ125" s="11">
        <v>0</v>
      </c>
      <c r="AK125" s="11">
        <v>0</v>
      </c>
      <c r="AL125" s="11">
        <v>27363616.75</v>
      </c>
      <c r="AM125" s="11">
        <v>27363616.75</v>
      </c>
      <c r="AN125" s="11">
        <v>0</v>
      </c>
      <c r="AO125" s="11">
        <v>27363616.75</v>
      </c>
      <c r="AP125" s="11">
        <v>0</v>
      </c>
      <c r="AQ125" s="11">
        <v>0</v>
      </c>
      <c r="AR125" t="s">
        <v>1339</v>
      </c>
      <c r="AS125" s="4" t="str">
        <f t="shared" ref="AS125:AS137" si="26">+G125</f>
        <v>Ministerio de Defensa Nacional</v>
      </c>
      <c r="AT125" t="str">
        <f t="shared" si="24"/>
        <v>49Ministerio de Defensa Nacional27363616,75</v>
      </c>
      <c r="AU125" t="str">
        <f>+_xlfn.XLOOKUP(AT125,CRUCE!K:K,CRUCE!M:M)</f>
        <v>READY</v>
      </c>
      <c r="AV125" t="s">
        <v>1907</v>
      </c>
    </row>
    <row r="126" spans="1:48" x14ac:dyDescent="0.3">
      <c r="A126">
        <v>2023</v>
      </c>
      <c r="B126">
        <v>307</v>
      </c>
      <c r="C126">
        <v>1.102060090202E+35</v>
      </c>
      <c r="D126" s="5">
        <v>49</v>
      </c>
      <c r="E126" s="8" t="s">
        <v>1350</v>
      </c>
      <c r="F126">
        <v>1.102060090202E+35</v>
      </c>
      <c r="G126" s="8" t="s">
        <v>311</v>
      </c>
      <c r="H126" t="s">
        <v>47</v>
      </c>
      <c r="I126" s="11">
        <v>2451353.08</v>
      </c>
      <c r="J126" s="11">
        <v>2451353.08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2451353.08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12599523.24</v>
      </c>
      <c r="X126" s="11">
        <v>0</v>
      </c>
      <c r="Y126" s="17">
        <v>12599523.24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12599523.24</v>
      </c>
      <c r="AG126" s="11">
        <v>0</v>
      </c>
      <c r="AH126" s="12">
        <v>12599523.24</v>
      </c>
      <c r="AI126" s="11">
        <v>12599523.24</v>
      </c>
      <c r="AJ126" s="11">
        <v>0</v>
      </c>
      <c r="AK126" s="11">
        <v>0</v>
      </c>
      <c r="AL126" s="11">
        <v>12599523.24</v>
      </c>
      <c r="AM126" s="11">
        <v>12599523.24</v>
      </c>
      <c r="AN126" s="11">
        <v>0</v>
      </c>
      <c r="AO126" s="11">
        <v>12599523.24</v>
      </c>
      <c r="AP126" s="11">
        <v>0</v>
      </c>
      <c r="AQ126" s="11">
        <v>0</v>
      </c>
      <c r="AR126" t="s">
        <v>1339</v>
      </c>
      <c r="AS126" s="4" t="str">
        <f t="shared" si="26"/>
        <v>Superintendencia Financiera de Colombia</v>
      </c>
      <c r="AT126" t="str">
        <f t="shared" si="24"/>
        <v>49Superintendencia Financiera de Colombia12599523,24</v>
      </c>
      <c r="AU126" t="str">
        <f>+_xlfn.XLOOKUP(AT126,CRUCE!K:K,CRUCE!M:M)</f>
        <v>READY</v>
      </c>
      <c r="AV126" t="s">
        <v>1907</v>
      </c>
    </row>
    <row r="127" spans="1:48" x14ac:dyDescent="0.3">
      <c r="A127">
        <v>2023</v>
      </c>
      <c r="B127">
        <v>307</v>
      </c>
      <c r="C127">
        <v>1.102060090202E+35</v>
      </c>
      <c r="D127" s="5">
        <v>49</v>
      </c>
      <c r="E127" s="8" t="s">
        <v>1351</v>
      </c>
      <c r="F127">
        <v>1.102060090202E+35</v>
      </c>
      <c r="G127" s="8" t="s">
        <v>1352</v>
      </c>
      <c r="H127" t="s">
        <v>47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7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2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t="s">
        <v>1339</v>
      </c>
      <c r="AS127" s="4" t="str">
        <f t="shared" si="26"/>
        <v>Departamento de Antioquia</v>
      </c>
      <c r="AT127" t="str">
        <f t="shared" si="24"/>
        <v>49Departamento de Antioquia0</v>
      </c>
      <c r="AU127" t="str">
        <f>+_xlfn.XLOOKUP(AT127,CRUCE!K:K,CRUCE!M:M)</f>
        <v>READY</v>
      </c>
      <c r="AV127" t="s">
        <v>1907</v>
      </c>
    </row>
    <row r="128" spans="1:48" x14ac:dyDescent="0.3">
      <c r="A128">
        <v>2023</v>
      </c>
      <c r="B128">
        <v>307</v>
      </c>
      <c r="C128">
        <v>1.102060090202E+35</v>
      </c>
      <c r="D128" s="5">
        <v>49</v>
      </c>
      <c r="E128" s="8" t="s">
        <v>1353</v>
      </c>
      <c r="F128">
        <v>1.102060090202E+35</v>
      </c>
      <c r="G128" s="8" t="s">
        <v>313</v>
      </c>
      <c r="H128" t="s">
        <v>47</v>
      </c>
      <c r="I128" s="11">
        <v>404917312.38</v>
      </c>
      <c r="J128" s="11">
        <v>404917312.38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404917312.38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204841944</v>
      </c>
      <c r="X128" s="11">
        <v>0</v>
      </c>
      <c r="Y128" s="17">
        <v>204841944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204841944</v>
      </c>
      <c r="AG128" s="11">
        <v>0</v>
      </c>
      <c r="AH128" s="12">
        <v>204841944</v>
      </c>
      <c r="AI128" s="11">
        <v>204841944</v>
      </c>
      <c r="AJ128" s="11">
        <v>0</v>
      </c>
      <c r="AK128" s="11">
        <v>0</v>
      </c>
      <c r="AL128" s="11">
        <v>204841944</v>
      </c>
      <c r="AM128" s="11">
        <v>204841944</v>
      </c>
      <c r="AN128" s="11">
        <v>0</v>
      </c>
      <c r="AO128" s="11">
        <v>204841944</v>
      </c>
      <c r="AP128" s="11">
        <v>0</v>
      </c>
      <c r="AQ128" s="11">
        <v>0</v>
      </c>
      <c r="AR128" t="s">
        <v>1339</v>
      </c>
      <c r="AS128" s="4" t="str">
        <f t="shared" si="26"/>
        <v>Departamento de Caldas</v>
      </c>
      <c r="AT128" t="str">
        <f t="shared" si="24"/>
        <v>49Departamento de Caldas204841944</v>
      </c>
      <c r="AU128" t="str">
        <f>+_xlfn.XLOOKUP(AT128,CRUCE!K:K,CRUCE!M:M)</f>
        <v>READY</v>
      </c>
      <c r="AV128" t="s">
        <v>1907</v>
      </c>
    </row>
    <row r="129" spans="1:48" x14ac:dyDescent="0.3">
      <c r="A129">
        <v>2023</v>
      </c>
      <c r="B129">
        <v>307</v>
      </c>
      <c r="C129">
        <v>1.102060090202E+35</v>
      </c>
      <c r="D129" s="5">
        <v>49</v>
      </c>
      <c r="E129" s="8" t="s">
        <v>1354</v>
      </c>
      <c r="F129">
        <v>1.102060090202E+35</v>
      </c>
      <c r="G129" s="8" t="s">
        <v>315</v>
      </c>
      <c r="H129" t="s">
        <v>47</v>
      </c>
      <c r="I129" s="11">
        <v>2515111.41</v>
      </c>
      <c r="J129" s="11">
        <v>2515111.41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2515111.41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2426022</v>
      </c>
      <c r="X129" s="11">
        <v>0</v>
      </c>
      <c r="Y129" s="17">
        <v>2426022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2426022</v>
      </c>
      <c r="AG129" s="11">
        <v>0</v>
      </c>
      <c r="AH129" s="12">
        <v>2426022</v>
      </c>
      <c r="AI129" s="11">
        <v>2426022</v>
      </c>
      <c r="AJ129" s="11">
        <v>0</v>
      </c>
      <c r="AK129" s="11">
        <v>0</v>
      </c>
      <c r="AL129" s="11">
        <v>2426022</v>
      </c>
      <c r="AM129" s="11">
        <v>2426022</v>
      </c>
      <c r="AN129" s="11">
        <v>0</v>
      </c>
      <c r="AO129" s="11">
        <v>2426022</v>
      </c>
      <c r="AP129" s="11">
        <v>0</v>
      </c>
      <c r="AQ129" s="11">
        <v>0</v>
      </c>
      <c r="AR129" t="s">
        <v>1339</v>
      </c>
      <c r="AS129" s="4" t="str">
        <f t="shared" si="26"/>
        <v>Departamento de Risaralda</v>
      </c>
      <c r="AT129" t="str">
        <f t="shared" si="24"/>
        <v>49Departamento de Risaralda2426022</v>
      </c>
      <c r="AU129" t="str">
        <f>+_xlfn.XLOOKUP(AT129,CRUCE!K:K,CRUCE!M:M)</f>
        <v>READY</v>
      </c>
      <c r="AV129" t="s">
        <v>1907</v>
      </c>
    </row>
    <row r="130" spans="1:48" x14ac:dyDescent="0.3">
      <c r="A130">
        <v>2023</v>
      </c>
      <c r="B130">
        <v>307</v>
      </c>
      <c r="C130">
        <v>1.102060090202E+35</v>
      </c>
      <c r="D130" s="5">
        <v>49</v>
      </c>
      <c r="E130" s="8" t="s">
        <v>1355</v>
      </c>
      <c r="F130">
        <v>1.102060090202E+35</v>
      </c>
      <c r="G130" s="8" t="s">
        <v>174</v>
      </c>
      <c r="H130" t="s">
        <v>47</v>
      </c>
      <c r="I130" s="11">
        <v>5197201.82</v>
      </c>
      <c r="J130" s="11">
        <v>5197201.82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5197201.82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7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2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t="s">
        <v>1339</v>
      </c>
      <c r="AS130" s="4" t="str">
        <f t="shared" si="26"/>
        <v>Universidad del Quindío</v>
      </c>
      <c r="AT130" t="str">
        <f t="shared" si="24"/>
        <v>49Universidad del Quindío0</v>
      </c>
      <c r="AU130" t="str">
        <f>+_xlfn.XLOOKUP(AT130,CRUCE!K:K,CRUCE!M:M)</f>
        <v>READY</v>
      </c>
      <c r="AV130" t="s">
        <v>1907</v>
      </c>
    </row>
    <row r="131" spans="1:48" x14ac:dyDescent="0.3">
      <c r="A131">
        <v>2023</v>
      </c>
      <c r="B131">
        <v>307</v>
      </c>
      <c r="C131">
        <v>1.102060090202E+35</v>
      </c>
      <c r="D131" s="5">
        <v>49</v>
      </c>
      <c r="E131" s="8" t="s">
        <v>1356</v>
      </c>
      <c r="F131">
        <v>1.102060090202E+35</v>
      </c>
      <c r="G131" s="8" t="s">
        <v>319</v>
      </c>
      <c r="H131" t="s">
        <v>47</v>
      </c>
      <c r="I131" s="11">
        <v>46357556.210000001</v>
      </c>
      <c r="J131" s="11">
        <v>46357556.210000001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46357556.210000001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36130080</v>
      </c>
      <c r="X131" s="11">
        <v>0</v>
      </c>
      <c r="Y131" s="17">
        <v>36130080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36130080</v>
      </c>
      <c r="AG131" s="11">
        <v>0</v>
      </c>
      <c r="AH131" s="12">
        <v>36130080</v>
      </c>
      <c r="AI131" s="11">
        <v>36130080</v>
      </c>
      <c r="AJ131" s="11">
        <v>0</v>
      </c>
      <c r="AK131" s="11">
        <v>0</v>
      </c>
      <c r="AL131" s="11">
        <v>36130080</v>
      </c>
      <c r="AM131" s="11">
        <v>36130080</v>
      </c>
      <c r="AN131" s="11">
        <v>0</v>
      </c>
      <c r="AO131" s="11">
        <v>36130080</v>
      </c>
      <c r="AP131" s="11">
        <v>0</v>
      </c>
      <c r="AQ131" s="11">
        <v>0</v>
      </c>
      <c r="AR131" t="s">
        <v>1339</v>
      </c>
      <c r="AS131" s="4" t="str">
        <f t="shared" si="26"/>
        <v>Universidad del Valle</v>
      </c>
      <c r="AT131" t="str">
        <f t="shared" si="24"/>
        <v>49Universidad del Valle36130080</v>
      </c>
      <c r="AU131" t="str">
        <f>+_xlfn.XLOOKUP(AT131,CRUCE!K:K,CRUCE!M:M)</f>
        <v>READY</v>
      </c>
      <c r="AV131" t="s">
        <v>1907</v>
      </c>
    </row>
    <row r="132" spans="1:48" x14ac:dyDescent="0.3">
      <c r="A132">
        <v>2023</v>
      </c>
      <c r="B132">
        <v>307</v>
      </c>
      <c r="C132">
        <v>1.102060090202E+35</v>
      </c>
      <c r="D132" s="5">
        <v>49</v>
      </c>
      <c r="E132" s="8" t="s">
        <v>1357</v>
      </c>
      <c r="F132">
        <v>1.102060090202E+35</v>
      </c>
      <c r="G132" s="8" t="s">
        <v>321</v>
      </c>
      <c r="H132" t="s">
        <v>47</v>
      </c>
      <c r="I132" s="11">
        <v>1248816.6000000001</v>
      </c>
      <c r="J132" s="11">
        <v>1248816.6000000001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1248816.6000000001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1125641</v>
      </c>
      <c r="X132" s="11">
        <v>0</v>
      </c>
      <c r="Y132" s="17">
        <v>1125641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1125641</v>
      </c>
      <c r="AG132" s="11">
        <v>0</v>
      </c>
      <c r="AH132" s="12">
        <v>1125641</v>
      </c>
      <c r="AI132" s="11">
        <v>1125641</v>
      </c>
      <c r="AJ132" s="11">
        <v>0</v>
      </c>
      <c r="AK132" s="11">
        <v>0</v>
      </c>
      <c r="AL132" s="11">
        <v>1125641</v>
      </c>
      <c r="AM132" s="11">
        <v>1125641</v>
      </c>
      <c r="AN132" s="11">
        <v>0</v>
      </c>
      <c r="AO132" s="11">
        <v>1125641</v>
      </c>
      <c r="AP132" s="11">
        <v>0</v>
      </c>
      <c r="AQ132" s="11">
        <v>0</v>
      </c>
      <c r="AR132" t="s">
        <v>1339</v>
      </c>
      <c r="AS132" s="4" t="str">
        <f t="shared" si="26"/>
        <v>Supía</v>
      </c>
      <c r="AT132" t="str">
        <f t="shared" si="24"/>
        <v>49Supía1125641</v>
      </c>
      <c r="AU132" t="str">
        <f>+_xlfn.XLOOKUP(AT132,CRUCE!K:K,CRUCE!M:M)</f>
        <v>READY</v>
      </c>
      <c r="AV132" t="s">
        <v>1907</v>
      </c>
    </row>
    <row r="133" spans="1:48" x14ac:dyDescent="0.3">
      <c r="A133">
        <v>2023</v>
      </c>
      <c r="B133">
        <v>307</v>
      </c>
      <c r="C133">
        <v>1.102060090202E+35</v>
      </c>
      <c r="D133" s="5">
        <v>49</v>
      </c>
      <c r="E133" s="8" t="s">
        <v>1358</v>
      </c>
      <c r="F133">
        <v>1.102060090202E+35</v>
      </c>
      <c r="G133" s="8" t="s">
        <v>327</v>
      </c>
      <c r="H133" t="s">
        <v>47</v>
      </c>
      <c r="I133" s="11">
        <v>4329842.3</v>
      </c>
      <c r="J133" s="11">
        <v>4329842.3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4329842.3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5041698</v>
      </c>
      <c r="X133" s="11">
        <v>0</v>
      </c>
      <c r="Y133" s="17">
        <v>5041698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5041698</v>
      </c>
      <c r="AG133" s="11">
        <v>0</v>
      </c>
      <c r="AH133" s="12">
        <v>5041698</v>
      </c>
      <c r="AI133" s="11">
        <v>5041698</v>
      </c>
      <c r="AJ133" s="11">
        <v>0</v>
      </c>
      <c r="AK133" s="11">
        <v>0</v>
      </c>
      <c r="AL133" s="11">
        <v>5041698</v>
      </c>
      <c r="AM133" s="11">
        <v>5041698</v>
      </c>
      <c r="AN133" s="11">
        <v>0</v>
      </c>
      <c r="AO133" s="11">
        <v>5041698</v>
      </c>
      <c r="AP133" s="11">
        <v>0</v>
      </c>
      <c r="AQ133" s="11">
        <v>0</v>
      </c>
      <c r="AR133" t="s">
        <v>1339</v>
      </c>
      <c r="AS133" s="4" t="str">
        <f t="shared" si="26"/>
        <v>Buenavista - Quindío</v>
      </c>
      <c r="AT133" t="str">
        <f t="shared" si="24"/>
        <v>49Buenavista - Quindío5041698</v>
      </c>
      <c r="AU133" t="str">
        <f>+_xlfn.XLOOKUP(AT133,CRUCE!K:K,CRUCE!M:M)</f>
        <v>READY</v>
      </c>
      <c r="AV133" t="s">
        <v>1907</v>
      </c>
    </row>
    <row r="134" spans="1:48" x14ac:dyDescent="0.3">
      <c r="A134">
        <v>2023</v>
      </c>
      <c r="B134">
        <v>307</v>
      </c>
      <c r="C134">
        <v>1.102060090202E+35</v>
      </c>
      <c r="D134" s="5">
        <v>49</v>
      </c>
      <c r="E134" s="8" t="s">
        <v>1359</v>
      </c>
      <c r="F134">
        <v>1.102060090202E+35</v>
      </c>
      <c r="G134" s="8" t="s">
        <v>329</v>
      </c>
      <c r="H134" t="s">
        <v>47</v>
      </c>
      <c r="I134" s="11">
        <v>2137357.11</v>
      </c>
      <c r="J134" s="11">
        <v>2137357.11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2137357.11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21256803</v>
      </c>
      <c r="X134" s="11">
        <v>0</v>
      </c>
      <c r="Y134" s="17">
        <v>21256803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21256803</v>
      </c>
      <c r="AG134" s="11">
        <v>0</v>
      </c>
      <c r="AH134" s="12">
        <v>21256803</v>
      </c>
      <c r="AI134" s="11">
        <v>21256803</v>
      </c>
      <c r="AJ134" s="11">
        <v>0</v>
      </c>
      <c r="AK134" s="11">
        <v>0</v>
      </c>
      <c r="AL134" s="11">
        <v>21256803</v>
      </c>
      <c r="AM134" s="11">
        <v>21256803</v>
      </c>
      <c r="AN134" s="11">
        <v>0</v>
      </c>
      <c r="AO134" s="11">
        <v>21256803</v>
      </c>
      <c r="AP134" s="11">
        <v>0</v>
      </c>
      <c r="AQ134" s="11">
        <v>0</v>
      </c>
      <c r="AR134" t="s">
        <v>1339</v>
      </c>
      <c r="AS134" s="4" t="str">
        <f t="shared" si="26"/>
        <v>Circasia</v>
      </c>
      <c r="AT134" t="str">
        <f t="shared" si="24"/>
        <v>49Circasia21256803</v>
      </c>
      <c r="AU134" t="str">
        <f>+_xlfn.XLOOKUP(AT134,CRUCE!K:K,CRUCE!M:M)</f>
        <v>READY</v>
      </c>
      <c r="AV134" t="s">
        <v>1907</v>
      </c>
    </row>
    <row r="135" spans="1:48" x14ac:dyDescent="0.3">
      <c r="A135">
        <v>2023</v>
      </c>
      <c r="B135">
        <v>307</v>
      </c>
      <c r="C135">
        <v>1.102060090202E+35</v>
      </c>
      <c r="D135" s="5">
        <v>49</v>
      </c>
      <c r="E135" s="8" t="s">
        <v>1360</v>
      </c>
      <c r="F135">
        <v>1.102060090202E+35</v>
      </c>
      <c r="G135" s="8" t="s">
        <v>335</v>
      </c>
      <c r="H135" t="s">
        <v>47</v>
      </c>
      <c r="I135" s="11">
        <v>5008113.8600000003</v>
      </c>
      <c r="J135" s="11">
        <v>5008113.8600000003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5008113.8600000003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7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2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1">
        <v>0</v>
      </c>
      <c r="AP135" s="11">
        <v>0</v>
      </c>
      <c r="AQ135" s="11">
        <v>0</v>
      </c>
      <c r="AR135" t="s">
        <v>1339</v>
      </c>
      <c r="AS135" s="4" t="str">
        <f t="shared" si="26"/>
        <v>Montenegro</v>
      </c>
      <c r="AT135" t="str">
        <f t="shared" si="24"/>
        <v>49Montenegro0</v>
      </c>
      <c r="AU135" t="str">
        <f>+_xlfn.XLOOKUP(AT135,CRUCE!K:K,CRUCE!M:M)</f>
        <v>READY</v>
      </c>
      <c r="AV135" t="s">
        <v>1907</v>
      </c>
    </row>
    <row r="136" spans="1:48" x14ac:dyDescent="0.3">
      <c r="A136">
        <v>2023</v>
      </c>
      <c r="B136">
        <v>307</v>
      </c>
      <c r="C136">
        <v>1.102060090202E+35</v>
      </c>
      <c r="D136" s="5">
        <v>49</v>
      </c>
      <c r="E136" s="8" t="s">
        <v>1361</v>
      </c>
      <c r="F136">
        <v>1.102060090202E+35</v>
      </c>
      <c r="G136" s="8" t="s">
        <v>341</v>
      </c>
      <c r="H136" t="s">
        <v>47</v>
      </c>
      <c r="I136" s="11">
        <v>2241762.37</v>
      </c>
      <c r="J136" s="11">
        <v>2241762.37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2241762.37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281188</v>
      </c>
      <c r="X136" s="11">
        <v>0</v>
      </c>
      <c r="Y136" s="17">
        <v>281188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281188</v>
      </c>
      <c r="AG136" s="11">
        <v>0</v>
      </c>
      <c r="AH136" s="12">
        <v>281188</v>
      </c>
      <c r="AI136" s="11">
        <v>281188</v>
      </c>
      <c r="AJ136" s="11">
        <v>0</v>
      </c>
      <c r="AK136" s="11">
        <v>0</v>
      </c>
      <c r="AL136" s="11">
        <v>281188</v>
      </c>
      <c r="AM136" s="11">
        <v>281188</v>
      </c>
      <c r="AN136" s="11">
        <v>0</v>
      </c>
      <c r="AO136" s="11">
        <v>281188</v>
      </c>
      <c r="AP136" s="11">
        <v>0</v>
      </c>
      <c r="AQ136" s="11">
        <v>0</v>
      </c>
      <c r="AR136" t="s">
        <v>1339</v>
      </c>
      <c r="AS136" s="4" t="str">
        <f t="shared" si="26"/>
        <v>Alcalá</v>
      </c>
      <c r="AT136" t="str">
        <f t="shared" si="24"/>
        <v>49Alcalá281188</v>
      </c>
      <c r="AU136" t="str">
        <f>+_xlfn.XLOOKUP(AT136,CRUCE!K:K,CRUCE!M:M)</f>
        <v>READY</v>
      </c>
      <c r="AV136" t="s">
        <v>1907</v>
      </c>
    </row>
    <row r="137" spans="1:48" x14ac:dyDescent="0.3">
      <c r="A137">
        <v>2023</v>
      </c>
      <c r="B137">
        <v>307</v>
      </c>
      <c r="C137">
        <v>1.102060090202E+35</v>
      </c>
      <c r="D137" s="5">
        <v>49</v>
      </c>
      <c r="E137" s="8" t="s">
        <v>1362</v>
      </c>
      <c r="F137">
        <v>1.102060090202E+35</v>
      </c>
      <c r="G137" s="8" t="s">
        <v>343</v>
      </c>
      <c r="H137" t="s">
        <v>47</v>
      </c>
      <c r="I137" s="11">
        <v>11051546.91</v>
      </c>
      <c r="J137" s="11">
        <v>11051546.91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11051546.91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9341265</v>
      </c>
      <c r="X137" s="11">
        <v>0</v>
      </c>
      <c r="Y137" s="17">
        <v>9341265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9341265</v>
      </c>
      <c r="AG137" s="11">
        <v>0</v>
      </c>
      <c r="AH137" s="12">
        <v>9341265</v>
      </c>
      <c r="AI137" s="11">
        <v>9341265</v>
      </c>
      <c r="AJ137" s="11">
        <v>0</v>
      </c>
      <c r="AK137" s="11">
        <v>0</v>
      </c>
      <c r="AL137" s="11">
        <v>9341265</v>
      </c>
      <c r="AM137" s="11">
        <v>9341265</v>
      </c>
      <c r="AN137" s="11">
        <v>0</v>
      </c>
      <c r="AO137" s="11">
        <v>9341265</v>
      </c>
      <c r="AP137" s="11">
        <v>0</v>
      </c>
      <c r="AQ137" s="11">
        <v>0</v>
      </c>
      <c r="AR137" t="s">
        <v>1339</v>
      </c>
      <c r="AS137" s="4" t="str">
        <f t="shared" si="26"/>
        <v>Sevilla</v>
      </c>
      <c r="AT137" t="str">
        <f t="shared" si="24"/>
        <v>49Sevilla9341265</v>
      </c>
      <c r="AU137" t="str">
        <f>+_xlfn.XLOOKUP(AT137,CRUCE!K:K,CRUCE!M:M)</f>
        <v>READY</v>
      </c>
      <c r="AV137" t="s">
        <v>1907</v>
      </c>
    </row>
    <row r="138" spans="1:48" x14ac:dyDescent="0.3">
      <c r="A138">
        <v>2023</v>
      </c>
      <c r="B138">
        <v>307</v>
      </c>
      <c r="C138">
        <v>110206011</v>
      </c>
      <c r="D138" s="5">
        <v>257</v>
      </c>
      <c r="E138" s="8" t="s">
        <v>1363</v>
      </c>
      <c r="F138">
        <v>110206011</v>
      </c>
      <c r="G138" s="8" t="s">
        <v>345</v>
      </c>
      <c r="H138" t="s">
        <v>47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81980000</v>
      </c>
      <c r="X138" s="11">
        <v>0</v>
      </c>
      <c r="Y138" s="17">
        <v>81980000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81980000</v>
      </c>
      <c r="AG138" s="11">
        <v>0</v>
      </c>
      <c r="AH138" s="12">
        <v>81980000</v>
      </c>
      <c r="AI138" s="11">
        <v>81980000</v>
      </c>
      <c r="AJ138" s="11">
        <v>0</v>
      </c>
      <c r="AK138" s="11">
        <v>0</v>
      </c>
      <c r="AL138" s="11">
        <v>81980000</v>
      </c>
      <c r="AM138" s="11">
        <v>81980000</v>
      </c>
      <c r="AN138" s="11">
        <v>0</v>
      </c>
      <c r="AO138" s="11">
        <v>81980000</v>
      </c>
      <c r="AP138" s="11">
        <v>0</v>
      </c>
      <c r="AQ138" s="11">
        <v>0</v>
      </c>
      <c r="AR138" t="s">
        <v>1364</v>
      </c>
      <c r="AS138" s="4" t="str">
        <f>+G138</f>
        <v>Indemnizaciones relacionadas con seguros no de vida</v>
      </c>
      <c r="AT138" t="str">
        <f t="shared" si="24"/>
        <v>257Indemnizaciones relacionadas con seguros no de vida81980000</v>
      </c>
      <c r="AU138" t="str">
        <f>+_xlfn.XLOOKUP(AT138,CRUCE!K:K,CRUCE!M:M)</f>
        <v>READY</v>
      </c>
      <c r="AV138" t="s">
        <v>1907</v>
      </c>
    </row>
    <row r="139" spans="1:48" hidden="1" x14ac:dyDescent="0.3">
      <c r="A139">
        <v>2023</v>
      </c>
      <c r="B139">
        <v>307</v>
      </c>
      <c r="C139">
        <v>110207</v>
      </c>
      <c r="D139" s="5" t="s">
        <v>44</v>
      </c>
      <c r="E139" s="8" t="s">
        <v>346</v>
      </c>
      <c r="F139">
        <v>110207</v>
      </c>
      <c r="G139" s="8" t="s">
        <v>347</v>
      </c>
      <c r="H139" t="s">
        <v>47</v>
      </c>
      <c r="I139" s="11">
        <v>15988878567.120001</v>
      </c>
      <c r="J139" s="11">
        <v>15988878567.120001</v>
      </c>
      <c r="K139" s="11">
        <v>6163043478</v>
      </c>
      <c r="L139" s="11">
        <v>0</v>
      </c>
      <c r="M139" s="11">
        <v>6163043478</v>
      </c>
      <c r="N139" s="11">
        <v>6163043478</v>
      </c>
      <c r="O139" s="11">
        <v>0</v>
      </c>
      <c r="P139" s="11">
        <v>22151922045.119999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21537321529.740002</v>
      </c>
      <c r="X139" s="11">
        <v>140260593.52000001</v>
      </c>
      <c r="Y139" s="17">
        <v>21397060936.220001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21537321529.740002</v>
      </c>
      <c r="AG139" s="11">
        <v>140260593.52000001</v>
      </c>
      <c r="AH139" s="12">
        <v>21397060936.220001</v>
      </c>
      <c r="AI139" s="11">
        <v>21397060936.220001</v>
      </c>
      <c r="AJ139" s="11">
        <v>0</v>
      </c>
      <c r="AK139" s="11">
        <v>0</v>
      </c>
      <c r="AL139" s="11">
        <v>21397060936.220001</v>
      </c>
      <c r="AM139" s="11">
        <v>21537321529.740002</v>
      </c>
      <c r="AN139" s="11">
        <v>140260593.52000001</v>
      </c>
      <c r="AO139" s="11">
        <v>21537321529.740002</v>
      </c>
      <c r="AP139" s="11">
        <v>0</v>
      </c>
      <c r="AQ139" s="11">
        <v>140260593.52000001</v>
      </c>
      <c r="AR139" t="s">
        <v>48</v>
      </c>
      <c r="AS139"/>
    </row>
    <row r="140" spans="1:48" hidden="1" x14ac:dyDescent="0.3">
      <c r="A140">
        <v>2023</v>
      </c>
      <c r="B140">
        <v>307</v>
      </c>
      <c r="C140">
        <v>110207002</v>
      </c>
      <c r="D140" s="5" t="s">
        <v>44</v>
      </c>
      <c r="E140" s="8" t="s">
        <v>348</v>
      </c>
      <c r="F140">
        <v>110207002</v>
      </c>
      <c r="G140" s="8" t="s">
        <v>349</v>
      </c>
      <c r="H140" t="s">
        <v>47</v>
      </c>
      <c r="I140" s="11">
        <v>15988878567.120001</v>
      </c>
      <c r="J140" s="11">
        <v>15988878567.120001</v>
      </c>
      <c r="K140" s="11">
        <v>6163043478</v>
      </c>
      <c r="L140" s="11">
        <v>0</v>
      </c>
      <c r="M140" s="11">
        <v>6163043478</v>
      </c>
      <c r="N140" s="11">
        <v>6163043478</v>
      </c>
      <c r="O140" s="11">
        <v>0</v>
      </c>
      <c r="P140" s="11">
        <v>22151922045.119999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21537321529.740002</v>
      </c>
      <c r="X140" s="11">
        <v>140260593.52000001</v>
      </c>
      <c r="Y140" s="17">
        <v>21397060936.220001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21537321529.740002</v>
      </c>
      <c r="AG140" s="11">
        <v>140260593.52000001</v>
      </c>
      <c r="AH140" s="12">
        <v>21397060936.220001</v>
      </c>
      <c r="AI140" s="11">
        <v>21397060936.220001</v>
      </c>
      <c r="AJ140" s="11">
        <v>0</v>
      </c>
      <c r="AK140" s="11">
        <v>0</v>
      </c>
      <c r="AL140" s="11">
        <v>21397060936.220001</v>
      </c>
      <c r="AM140" s="11">
        <v>21537321529.740002</v>
      </c>
      <c r="AN140" s="11">
        <v>140260593.52000001</v>
      </c>
      <c r="AO140" s="11">
        <v>21537321529.740002</v>
      </c>
      <c r="AP140" s="11">
        <v>0</v>
      </c>
      <c r="AQ140" s="11">
        <v>140260593.52000001</v>
      </c>
      <c r="AR140" t="s">
        <v>48</v>
      </c>
      <c r="AS140"/>
    </row>
    <row r="141" spans="1:48" hidden="1" x14ac:dyDescent="0.3">
      <c r="A141">
        <v>2023</v>
      </c>
      <c r="B141">
        <v>307</v>
      </c>
      <c r="C141">
        <v>11020700201</v>
      </c>
      <c r="D141" s="5" t="s">
        <v>44</v>
      </c>
      <c r="E141" s="8" t="s">
        <v>350</v>
      </c>
      <c r="F141">
        <v>11020700201</v>
      </c>
      <c r="G141" s="8" t="s">
        <v>351</v>
      </c>
      <c r="H141" t="s">
        <v>47</v>
      </c>
      <c r="I141" s="11">
        <v>15984391846</v>
      </c>
      <c r="J141" s="11">
        <v>15984391846</v>
      </c>
      <c r="K141" s="11">
        <v>6163043478</v>
      </c>
      <c r="L141" s="11">
        <v>0</v>
      </c>
      <c r="M141" s="11">
        <v>6163043478</v>
      </c>
      <c r="N141" s="11">
        <v>6163043478</v>
      </c>
      <c r="O141" s="11">
        <v>0</v>
      </c>
      <c r="P141" s="11">
        <v>22147435324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21423391781.740002</v>
      </c>
      <c r="X141" s="11">
        <v>34933873.520000003</v>
      </c>
      <c r="Y141" s="17">
        <v>21388457908.220001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21423391781.740002</v>
      </c>
      <c r="AG141" s="11">
        <v>34933873.520000003</v>
      </c>
      <c r="AH141" s="12">
        <v>21388457908.220001</v>
      </c>
      <c r="AI141" s="11">
        <v>21388457908.220001</v>
      </c>
      <c r="AJ141" s="11">
        <v>0</v>
      </c>
      <c r="AK141" s="11">
        <v>0</v>
      </c>
      <c r="AL141" s="11">
        <v>21388457908.220001</v>
      </c>
      <c r="AM141" s="11">
        <v>21423391781.740002</v>
      </c>
      <c r="AN141" s="11">
        <v>34933873.520000003</v>
      </c>
      <c r="AO141" s="11">
        <v>21423391781.740002</v>
      </c>
      <c r="AP141" s="11">
        <v>0</v>
      </c>
      <c r="AQ141" s="11">
        <v>34933873.520000003</v>
      </c>
      <c r="AR141" t="s">
        <v>48</v>
      </c>
      <c r="AS141"/>
    </row>
    <row r="142" spans="1:48" hidden="1" x14ac:dyDescent="0.3">
      <c r="A142">
        <v>2023</v>
      </c>
      <c r="B142">
        <v>307</v>
      </c>
      <c r="C142">
        <v>1102070020102</v>
      </c>
      <c r="D142" s="5" t="s">
        <v>44</v>
      </c>
      <c r="E142" s="8" t="s">
        <v>352</v>
      </c>
      <c r="F142">
        <v>1102070020102</v>
      </c>
      <c r="G142" s="8" t="s">
        <v>353</v>
      </c>
      <c r="H142" t="s">
        <v>47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528221610</v>
      </c>
      <c r="X142" s="11">
        <v>0</v>
      </c>
      <c r="Y142" s="17">
        <v>528221610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528221610</v>
      </c>
      <c r="AG142" s="11">
        <v>0</v>
      </c>
      <c r="AH142" s="12">
        <v>528221610</v>
      </c>
      <c r="AI142" s="11">
        <v>528221610</v>
      </c>
      <c r="AJ142" s="11">
        <v>0</v>
      </c>
      <c r="AK142" s="11">
        <v>0</v>
      </c>
      <c r="AL142" s="11">
        <v>528221610</v>
      </c>
      <c r="AM142" s="11">
        <v>528221610</v>
      </c>
      <c r="AN142" s="11">
        <v>0</v>
      </c>
      <c r="AO142" s="11">
        <v>528221610</v>
      </c>
      <c r="AP142" s="11">
        <v>0</v>
      </c>
      <c r="AQ142" s="11">
        <v>0</v>
      </c>
      <c r="AR142" t="s">
        <v>48</v>
      </c>
      <c r="AS142"/>
    </row>
    <row r="143" spans="1:48" hidden="1" x14ac:dyDescent="0.3">
      <c r="A143">
        <v>2023</v>
      </c>
      <c r="B143">
        <v>307</v>
      </c>
      <c r="C143">
        <v>110207002010201</v>
      </c>
      <c r="D143" s="5" t="s">
        <v>44</v>
      </c>
      <c r="E143" s="8" t="s">
        <v>354</v>
      </c>
      <c r="F143">
        <v>110207002010201</v>
      </c>
      <c r="G143" s="8" t="s">
        <v>355</v>
      </c>
      <c r="H143" t="s">
        <v>47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477492120</v>
      </c>
      <c r="X143" s="11">
        <v>0</v>
      </c>
      <c r="Y143" s="17">
        <v>477492120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477492120</v>
      </c>
      <c r="AG143" s="11">
        <v>0</v>
      </c>
      <c r="AH143" s="12">
        <v>477492120</v>
      </c>
      <c r="AI143" s="11">
        <v>477492120</v>
      </c>
      <c r="AJ143" s="11">
        <v>0</v>
      </c>
      <c r="AK143" s="11">
        <v>0</v>
      </c>
      <c r="AL143" s="11">
        <v>477492120</v>
      </c>
      <c r="AM143" s="11">
        <v>477492120</v>
      </c>
      <c r="AN143" s="11">
        <v>0</v>
      </c>
      <c r="AO143" s="11">
        <v>477492120</v>
      </c>
      <c r="AP143" s="11">
        <v>0</v>
      </c>
      <c r="AQ143" s="11">
        <v>0</v>
      </c>
      <c r="AR143" t="s">
        <v>48</v>
      </c>
      <c r="AS143"/>
    </row>
    <row r="144" spans="1:48" x14ac:dyDescent="0.3">
      <c r="A144">
        <v>2023</v>
      </c>
      <c r="B144">
        <v>307</v>
      </c>
      <c r="C144">
        <v>1.1020700201020099E+17</v>
      </c>
      <c r="D144" s="5">
        <v>35</v>
      </c>
      <c r="E144" s="8" t="s">
        <v>1090</v>
      </c>
      <c r="F144">
        <v>1.1020700201020099E+17</v>
      </c>
      <c r="G144" s="8" t="s">
        <v>1091</v>
      </c>
      <c r="H144" t="s">
        <v>47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106109360</v>
      </c>
      <c r="X144" s="11">
        <v>0</v>
      </c>
      <c r="Y144" s="17">
        <v>106109360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106109360</v>
      </c>
      <c r="AG144" s="11">
        <v>0</v>
      </c>
      <c r="AH144" s="12">
        <v>106109360</v>
      </c>
      <c r="AI144" s="11">
        <v>106109360</v>
      </c>
      <c r="AJ144" s="11">
        <v>0</v>
      </c>
      <c r="AK144" s="11">
        <v>0</v>
      </c>
      <c r="AL144" s="11">
        <v>106109360</v>
      </c>
      <c r="AM144" s="11">
        <v>106109360</v>
      </c>
      <c r="AN144" s="11">
        <v>0</v>
      </c>
      <c r="AO144" s="11">
        <v>106109360</v>
      </c>
      <c r="AP144" s="11">
        <v>0</v>
      </c>
      <c r="AQ144" s="11">
        <v>0</v>
      </c>
      <c r="AR144" t="s">
        <v>365</v>
      </c>
      <c r="AS144" s="4" t="str">
        <f t="shared" ref="AS144:AS146" si="27">+G144</f>
        <v>Derechos de monopolio por la introducción de licores destilados de producción nacional (Monopolio pa</v>
      </c>
      <c r="AT144" t="str">
        <f t="shared" ref="AT144:AT146" si="28">+D144&amp;AS144&amp;Y144</f>
        <v>35Derechos de monopolio por la introducción de licores destilados de producción nacional (Monopolio pa106109360</v>
      </c>
      <c r="AU144" t="str">
        <f>+_xlfn.XLOOKUP(AT144,CRUCE!K:K,CRUCE!M:M)</f>
        <v>READY</v>
      </c>
      <c r="AV144" t="s">
        <v>1907</v>
      </c>
    </row>
    <row r="145" spans="1:48" x14ac:dyDescent="0.3">
      <c r="A145">
        <v>2023</v>
      </c>
      <c r="B145">
        <v>307</v>
      </c>
      <c r="C145">
        <v>1.1020700201020099E+17</v>
      </c>
      <c r="D145" s="5">
        <v>179</v>
      </c>
      <c r="E145" s="8" t="s">
        <v>1092</v>
      </c>
      <c r="F145">
        <v>1.1020700201020099E+17</v>
      </c>
      <c r="G145" s="8" t="s">
        <v>1093</v>
      </c>
      <c r="H145" t="s">
        <v>47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22737720</v>
      </c>
      <c r="X145" s="11">
        <v>0</v>
      </c>
      <c r="Y145" s="17">
        <v>22737720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22737720</v>
      </c>
      <c r="AG145" s="11">
        <v>0</v>
      </c>
      <c r="AH145" s="12">
        <v>22737720</v>
      </c>
      <c r="AI145" s="11">
        <v>22737720</v>
      </c>
      <c r="AJ145" s="11">
        <v>0</v>
      </c>
      <c r="AK145" s="11">
        <v>0</v>
      </c>
      <c r="AL145" s="11">
        <v>22737720</v>
      </c>
      <c r="AM145" s="11">
        <v>22737720</v>
      </c>
      <c r="AN145" s="11">
        <v>0</v>
      </c>
      <c r="AO145" s="11">
        <v>22737720</v>
      </c>
      <c r="AP145" s="11">
        <v>0</v>
      </c>
      <c r="AQ145" s="11">
        <v>0</v>
      </c>
      <c r="AR145" t="s">
        <v>357</v>
      </c>
      <c r="AS145" s="4" t="str">
        <f t="shared" si="27"/>
        <v>Derechos de monopolio por la introducción de licores destilados de producción Nacional</v>
      </c>
      <c r="AT145" t="str">
        <f t="shared" si="28"/>
        <v>179Derechos de monopolio por la introducción de licores destilados de producción Nacional22737720</v>
      </c>
      <c r="AU145" t="str">
        <f>+_xlfn.XLOOKUP(AT145,CRUCE!K:K,CRUCE!M:M)</f>
        <v>READY</v>
      </c>
      <c r="AV145" t="s">
        <v>1907</v>
      </c>
    </row>
    <row r="146" spans="1:48" x14ac:dyDescent="0.3">
      <c r="A146">
        <v>2023</v>
      </c>
      <c r="B146">
        <v>307</v>
      </c>
      <c r="C146">
        <v>1.1020700201020099E+17</v>
      </c>
      <c r="D146" s="5">
        <v>20</v>
      </c>
      <c r="E146" s="8" t="s">
        <v>1094</v>
      </c>
      <c r="F146">
        <v>1.1020700201020099E+17</v>
      </c>
      <c r="G146" s="8" t="s">
        <v>355</v>
      </c>
      <c r="H146" t="s">
        <v>47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348645040</v>
      </c>
      <c r="X146" s="11">
        <v>0</v>
      </c>
      <c r="Y146" s="17">
        <v>348645040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348645040</v>
      </c>
      <c r="AG146" s="11">
        <v>0</v>
      </c>
      <c r="AH146" s="12">
        <v>348645040</v>
      </c>
      <c r="AI146" s="11">
        <v>348645040</v>
      </c>
      <c r="AJ146" s="11">
        <v>0</v>
      </c>
      <c r="AK146" s="11">
        <v>0</v>
      </c>
      <c r="AL146" s="11">
        <v>348645040</v>
      </c>
      <c r="AM146" s="11">
        <v>348645040</v>
      </c>
      <c r="AN146" s="11">
        <v>0</v>
      </c>
      <c r="AO146" s="11">
        <v>348645040</v>
      </c>
      <c r="AP146" s="11">
        <v>0</v>
      </c>
      <c r="AQ146" s="11">
        <v>0</v>
      </c>
      <c r="AR146" t="s">
        <v>57</v>
      </c>
      <c r="AS146" s="4" t="str">
        <f t="shared" si="27"/>
        <v>Derechos de monopolio por la introducción de licores destilados de producción nacional</v>
      </c>
      <c r="AT146" t="str">
        <f t="shared" si="28"/>
        <v>20Derechos de monopolio por la introducción de licores destilados de producción nacional348645040</v>
      </c>
      <c r="AU146" t="str">
        <f>+_xlfn.XLOOKUP(AT146,CRUCE!K:K,CRUCE!M:M)</f>
        <v>READY</v>
      </c>
      <c r="AV146" t="s">
        <v>1907</v>
      </c>
    </row>
    <row r="147" spans="1:48" hidden="1" x14ac:dyDescent="0.3">
      <c r="A147">
        <v>2023</v>
      </c>
      <c r="B147">
        <v>307</v>
      </c>
      <c r="C147">
        <v>110207002010202</v>
      </c>
      <c r="D147" s="5" t="s">
        <v>44</v>
      </c>
      <c r="E147" s="8" t="s">
        <v>1095</v>
      </c>
      <c r="F147">
        <v>110207002010202</v>
      </c>
      <c r="G147" s="8" t="s">
        <v>1096</v>
      </c>
      <c r="H147" t="s">
        <v>47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50729490</v>
      </c>
      <c r="X147" s="11">
        <v>0</v>
      </c>
      <c r="Y147" s="17">
        <v>50729490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50729490</v>
      </c>
      <c r="AG147" s="11">
        <v>0</v>
      </c>
      <c r="AH147" s="12">
        <v>50729490</v>
      </c>
      <c r="AI147" s="11">
        <v>50729490</v>
      </c>
      <c r="AJ147" s="11">
        <v>0</v>
      </c>
      <c r="AK147" s="11">
        <v>0</v>
      </c>
      <c r="AL147" s="11">
        <v>50729490</v>
      </c>
      <c r="AM147" s="11">
        <v>50729490</v>
      </c>
      <c r="AN147" s="11">
        <v>0</v>
      </c>
      <c r="AO147" s="11">
        <v>50729490</v>
      </c>
      <c r="AP147" s="11">
        <v>0</v>
      </c>
      <c r="AQ147" s="11">
        <v>0</v>
      </c>
      <c r="AR147" t="s">
        <v>48</v>
      </c>
      <c r="AS147"/>
    </row>
    <row r="148" spans="1:48" x14ac:dyDescent="0.3">
      <c r="A148">
        <v>2023</v>
      </c>
      <c r="B148">
        <v>307</v>
      </c>
      <c r="C148">
        <v>1.10207002010202E+17</v>
      </c>
      <c r="D148" s="5">
        <v>35</v>
      </c>
      <c r="E148" s="8" t="s">
        <v>1097</v>
      </c>
      <c r="F148">
        <v>1.10207002010202E+17</v>
      </c>
      <c r="G148" s="8" t="s">
        <v>1098</v>
      </c>
      <c r="H148" t="s">
        <v>47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11273220</v>
      </c>
      <c r="X148" s="11">
        <v>0</v>
      </c>
      <c r="Y148" s="17">
        <v>11273220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11273220</v>
      </c>
      <c r="AG148" s="11">
        <v>0</v>
      </c>
      <c r="AH148" s="12">
        <v>11273220</v>
      </c>
      <c r="AI148" s="11">
        <v>11273220</v>
      </c>
      <c r="AJ148" s="11">
        <v>0</v>
      </c>
      <c r="AK148" s="11">
        <v>0</v>
      </c>
      <c r="AL148" s="11">
        <v>11273220</v>
      </c>
      <c r="AM148" s="11">
        <v>11273220</v>
      </c>
      <c r="AN148" s="11">
        <v>0</v>
      </c>
      <c r="AO148" s="11">
        <v>11273220</v>
      </c>
      <c r="AP148" s="11">
        <v>0</v>
      </c>
      <c r="AQ148" s="11">
        <v>0</v>
      </c>
      <c r="AR148" t="s">
        <v>365</v>
      </c>
      <c r="AS148" s="4" t="str">
        <f t="shared" ref="AS148:AS150" si="29">+G148</f>
        <v xml:space="preserve">Derechos de monopolio por la introducción de licores destilados de producción extranjera (Monopolio </v>
      </c>
      <c r="AT148" t="str">
        <f t="shared" ref="AT148:AT150" si="30">+D148&amp;AS148&amp;Y148</f>
        <v>35Derechos de monopolio por la introducción de licores destilados de producción extranjera (Monopolio 11273220</v>
      </c>
      <c r="AU148" t="str">
        <f>+_xlfn.XLOOKUP(AT148,CRUCE!K:K,CRUCE!M:M)</f>
        <v>READY</v>
      </c>
      <c r="AV148" t="s">
        <v>1907</v>
      </c>
    </row>
    <row r="149" spans="1:48" x14ac:dyDescent="0.3">
      <c r="A149">
        <v>2023</v>
      </c>
      <c r="B149">
        <v>307</v>
      </c>
      <c r="C149">
        <v>1.10207002010202E+17</v>
      </c>
      <c r="D149" s="5">
        <v>179</v>
      </c>
      <c r="E149" s="8" t="s">
        <v>1099</v>
      </c>
      <c r="F149">
        <v>1.10207002010202E+17</v>
      </c>
      <c r="G149" s="8" t="s">
        <v>1096</v>
      </c>
      <c r="H149" t="s">
        <v>47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2415690</v>
      </c>
      <c r="X149" s="11">
        <v>0</v>
      </c>
      <c r="Y149" s="17">
        <v>2415690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2415690</v>
      </c>
      <c r="AG149" s="11">
        <v>0</v>
      </c>
      <c r="AH149" s="12">
        <v>2415690</v>
      </c>
      <c r="AI149" s="11">
        <v>2415690</v>
      </c>
      <c r="AJ149" s="11">
        <v>0</v>
      </c>
      <c r="AK149" s="11">
        <v>0</v>
      </c>
      <c r="AL149" s="11">
        <v>2415690</v>
      </c>
      <c r="AM149" s="11">
        <v>2415690</v>
      </c>
      <c r="AN149" s="11">
        <v>0</v>
      </c>
      <c r="AO149" s="11">
        <v>2415690</v>
      </c>
      <c r="AP149" s="11">
        <v>0</v>
      </c>
      <c r="AQ149" s="11">
        <v>0</v>
      </c>
      <c r="AR149" t="s">
        <v>357</v>
      </c>
      <c r="AS149" s="4" t="str">
        <f t="shared" si="29"/>
        <v>Derechos de monopolio por la introducción de licores destilados de producción extranjera</v>
      </c>
      <c r="AT149" t="str">
        <f t="shared" si="30"/>
        <v>179Derechos de monopolio por la introducción de licores destilados de producción extranjera2415690</v>
      </c>
      <c r="AU149" t="str">
        <f>+_xlfn.XLOOKUP(AT149,CRUCE!K:K,CRUCE!M:M)</f>
        <v>READY</v>
      </c>
      <c r="AV149" t="s">
        <v>1907</v>
      </c>
    </row>
    <row r="150" spans="1:48" x14ac:dyDescent="0.3">
      <c r="A150">
        <v>2023</v>
      </c>
      <c r="B150">
        <v>307</v>
      </c>
      <c r="C150">
        <v>1.10207002010202E+17</v>
      </c>
      <c r="D150" s="5">
        <v>20</v>
      </c>
      <c r="E150" s="8" t="s">
        <v>1100</v>
      </c>
      <c r="F150">
        <v>1.10207002010202E+17</v>
      </c>
      <c r="G150" s="8" t="s">
        <v>1096</v>
      </c>
      <c r="H150" t="s">
        <v>47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37040580</v>
      </c>
      <c r="X150" s="11">
        <v>0</v>
      </c>
      <c r="Y150" s="17">
        <v>37040580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37040580</v>
      </c>
      <c r="AG150" s="11">
        <v>0</v>
      </c>
      <c r="AH150" s="12">
        <v>37040580</v>
      </c>
      <c r="AI150" s="11">
        <v>37040580</v>
      </c>
      <c r="AJ150" s="11">
        <v>0</v>
      </c>
      <c r="AK150" s="11">
        <v>0</v>
      </c>
      <c r="AL150" s="11">
        <v>37040580</v>
      </c>
      <c r="AM150" s="11">
        <v>37040580</v>
      </c>
      <c r="AN150" s="11">
        <v>0</v>
      </c>
      <c r="AO150" s="11">
        <v>37040580</v>
      </c>
      <c r="AP150" s="11">
        <v>0</v>
      </c>
      <c r="AQ150" s="11">
        <v>0</v>
      </c>
      <c r="AR150" t="s">
        <v>57</v>
      </c>
      <c r="AS150" s="4" t="str">
        <f t="shared" si="29"/>
        <v>Derechos de monopolio por la introducción de licores destilados de producción extranjera</v>
      </c>
      <c r="AT150" t="str">
        <f t="shared" si="30"/>
        <v>20Derechos de monopolio por la introducción de licores destilados de producción extranjera37040580</v>
      </c>
      <c r="AU150" t="str">
        <f>+_xlfn.XLOOKUP(AT150,CRUCE!K:K,CRUCE!M:M)</f>
        <v>READY</v>
      </c>
      <c r="AV150" t="s">
        <v>1907</v>
      </c>
    </row>
    <row r="151" spans="1:48" hidden="1" x14ac:dyDescent="0.3">
      <c r="A151">
        <v>2023</v>
      </c>
      <c r="B151">
        <v>307</v>
      </c>
      <c r="C151">
        <v>1102070020103</v>
      </c>
      <c r="D151" s="5" t="s">
        <v>44</v>
      </c>
      <c r="E151" s="8" t="s">
        <v>358</v>
      </c>
      <c r="F151">
        <v>1102070020103</v>
      </c>
      <c r="G151" s="8" t="s">
        <v>359</v>
      </c>
      <c r="H151" t="s">
        <v>47</v>
      </c>
      <c r="I151" s="11">
        <v>15984391846</v>
      </c>
      <c r="J151" s="11">
        <v>15984391846</v>
      </c>
      <c r="K151" s="11">
        <v>6163043478</v>
      </c>
      <c r="L151" s="11">
        <v>0</v>
      </c>
      <c r="M151" s="11">
        <v>6163043478</v>
      </c>
      <c r="N151" s="11">
        <v>6163043478</v>
      </c>
      <c r="O151" s="11">
        <v>0</v>
      </c>
      <c r="P151" s="11">
        <v>22147435324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20895170171.740002</v>
      </c>
      <c r="X151" s="11">
        <v>34933873.520000003</v>
      </c>
      <c r="Y151" s="17">
        <v>20860236298.220001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20895170171.740002</v>
      </c>
      <c r="AG151" s="11">
        <v>34933873.520000003</v>
      </c>
      <c r="AH151" s="12">
        <v>20860236298.220001</v>
      </c>
      <c r="AI151" s="11">
        <v>20860236298.220001</v>
      </c>
      <c r="AJ151" s="11">
        <v>0</v>
      </c>
      <c r="AK151" s="11">
        <v>0</v>
      </c>
      <c r="AL151" s="11">
        <v>20860236298.220001</v>
      </c>
      <c r="AM151" s="11">
        <v>20895170171.740002</v>
      </c>
      <c r="AN151" s="11">
        <v>34933873.520000003</v>
      </c>
      <c r="AO151" s="11">
        <v>20895170171.740002</v>
      </c>
      <c r="AP151" s="11">
        <v>0</v>
      </c>
      <c r="AQ151" s="11">
        <v>34933873.520000003</v>
      </c>
      <c r="AR151" t="s">
        <v>48</v>
      </c>
      <c r="AS151"/>
    </row>
    <row r="152" spans="1:48" hidden="1" x14ac:dyDescent="0.3">
      <c r="A152">
        <v>2023</v>
      </c>
      <c r="B152">
        <v>307</v>
      </c>
      <c r="C152">
        <v>110207002010302</v>
      </c>
      <c r="D152" s="5" t="s">
        <v>44</v>
      </c>
      <c r="E152" s="8" t="s">
        <v>360</v>
      </c>
      <c r="F152">
        <v>110207002010302</v>
      </c>
      <c r="G152" s="8" t="s">
        <v>361</v>
      </c>
      <c r="H152" t="s">
        <v>47</v>
      </c>
      <c r="I152" s="11">
        <v>15984391846</v>
      </c>
      <c r="J152" s="11">
        <v>15984391846</v>
      </c>
      <c r="K152" s="11">
        <v>6163043478</v>
      </c>
      <c r="L152" s="11">
        <v>0</v>
      </c>
      <c r="M152" s="11">
        <v>6163043478</v>
      </c>
      <c r="N152" s="11">
        <v>6163043478</v>
      </c>
      <c r="O152" s="11">
        <v>0</v>
      </c>
      <c r="P152" s="11">
        <v>22147435324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20895170171.740002</v>
      </c>
      <c r="X152" s="11">
        <v>34933873.520000003</v>
      </c>
      <c r="Y152" s="17">
        <v>20860236298.220001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20895170171.740002</v>
      </c>
      <c r="AG152" s="11">
        <v>34933873.520000003</v>
      </c>
      <c r="AH152" s="12">
        <v>20860236298.220001</v>
      </c>
      <c r="AI152" s="11">
        <v>20860236298.220001</v>
      </c>
      <c r="AJ152" s="11">
        <v>0</v>
      </c>
      <c r="AK152" s="11">
        <v>0</v>
      </c>
      <c r="AL152" s="11">
        <v>20860236298.220001</v>
      </c>
      <c r="AM152" s="11">
        <v>20895170171.740002</v>
      </c>
      <c r="AN152" s="11">
        <v>34933873.520000003</v>
      </c>
      <c r="AO152" s="11">
        <v>20895170171.740002</v>
      </c>
      <c r="AP152" s="11">
        <v>0</v>
      </c>
      <c r="AQ152" s="11">
        <v>34933873.520000003</v>
      </c>
      <c r="AR152" t="s">
        <v>48</v>
      </c>
      <c r="AS152"/>
    </row>
    <row r="153" spans="1:48" x14ac:dyDescent="0.3">
      <c r="A153">
        <v>2023</v>
      </c>
      <c r="B153">
        <v>307</v>
      </c>
      <c r="C153">
        <v>1.10207002010302E+17</v>
      </c>
      <c r="D153" s="5">
        <v>179</v>
      </c>
      <c r="E153" s="8" t="s">
        <v>1365</v>
      </c>
      <c r="F153">
        <v>1.10207002010302E+17</v>
      </c>
      <c r="G153" s="8" t="s">
        <v>363</v>
      </c>
      <c r="H153" t="s">
        <v>47</v>
      </c>
      <c r="I153" s="11">
        <v>570844151</v>
      </c>
      <c r="J153" s="11">
        <v>570844151</v>
      </c>
      <c r="K153" s="11">
        <v>293478261</v>
      </c>
      <c r="L153" s="11">
        <v>0</v>
      </c>
      <c r="M153" s="11">
        <v>293478261</v>
      </c>
      <c r="N153" s="11">
        <v>293478261</v>
      </c>
      <c r="O153" s="11">
        <v>0</v>
      </c>
      <c r="P153" s="11">
        <v>864322412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769049016.03999996</v>
      </c>
      <c r="X153" s="11">
        <v>3126612.72</v>
      </c>
      <c r="Y153" s="17">
        <v>765922403.32000005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769049016.03999996</v>
      </c>
      <c r="AG153" s="11">
        <v>3126612.72</v>
      </c>
      <c r="AH153" s="12">
        <v>765922403.32000005</v>
      </c>
      <c r="AI153" s="11">
        <v>765922403.32000005</v>
      </c>
      <c r="AJ153" s="11">
        <v>0</v>
      </c>
      <c r="AK153" s="11">
        <v>0</v>
      </c>
      <c r="AL153" s="11">
        <v>765922403.32000005</v>
      </c>
      <c r="AM153" s="11">
        <v>769049016.03999996</v>
      </c>
      <c r="AN153" s="11">
        <v>3126612.72</v>
      </c>
      <c r="AO153" s="11">
        <v>769049016.03999996</v>
      </c>
      <c r="AP153" s="11">
        <v>0</v>
      </c>
      <c r="AQ153" s="11">
        <v>3126612.72</v>
      </c>
      <c r="AR153" t="s">
        <v>357</v>
      </c>
      <c r="AS153" s="4" t="str">
        <f>+G153</f>
        <v>Participación por el consumo de licores destilados introducidos de producción nacional</v>
      </c>
      <c r="AT153" t="str">
        <f t="shared" ref="AT153:AT155" si="31">+D153&amp;AS153&amp;Y153</f>
        <v>179Participación por el consumo de licores destilados introducidos de producción nacional765922403,32</v>
      </c>
      <c r="AU153" t="str">
        <f>+_xlfn.XLOOKUP(AT153,CRUCE!K:K,CRUCE!M:M)</f>
        <v>READY</v>
      </c>
      <c r="AV153" t="s">
        <v>1907</v>
      </c>
    </row>
    <row r="154" spans="1:48" x14ac:dyDescent="0.3">
      <c r="A154">
        <v>2023</v>
      </c>
      <c r="B154">
        <v>307</v>
      </c>
      <c r="C154">
        <v>1.10207002010302E+17</v>
      </c>
      <c r="D154" s="5">
        <v>20</v>
      </c>
      <c r="E154" s="8" t="s">
        <v>1366</v>
      </c>
      <c r="F154">
        <v>1.10207002010302E+17</v>
      </c>
      <c r="G154" s="8" t="s">
        <v>363</v>
      </c>
      <c r="H154" t="s">
        <v>47</v>
      </c>
      <c r="I154" s="11">
        <v>8753346345</v>
      </c>
      <c r="J154" s="11">
        <v>8753346345</v>
      </c>
      <c r="K154" s="11">
        <v>4500000000</v>
      </c>
      <c r="L154" s="11">
        <v>0</v>
      </c>
      <c r="M154" s="11">
        <v>4500000000</v>
      </c>
      <c r="N154" s="11">
        <v>4500000000</v>
      </c>
      <c r="O154" s="11">
        <v>0</v>
      </c>
      <c r="P154" s="11">
        <v>13253346345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11763267260.799999</v>
      </c>
      <c r="X154" s="11">
        <v>19123749.280000001</v>
      </c>
      <c r="Y154" s="17">
        <v>11744143511.52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11763267260.799999</v>
      </c>
      <c r="AG154" s="11">
        <v>19123749.280000001</v>
      </c>
      <c r="AH154" s="12">
        <v>11744143511.52</v>
      </c>
      <c r="AI154" s="11">
        <v>11744143511.52</v>
      </c>
      <c r="AJ154" s="11">
        <v>0</v>
      </c>
      <c r="AK154" s="11">
        <v>0</v>
      </c>
      <c r="AL154" s="11">
        <v>11744143511.52</v>
      </c>
      <c r="AM154" s="11">
        <v>11763267260.799999</v>
      </c>
      <c r="AN154" s="11">
        <v>19123749.280000001</v>
      </c>
      <c r="AO154" s="11">
        <v>11763267260.799999</v>
      </c>
      <c r="AP154" s="11">
        <v>0</v>
      </c>
      <c r="AQ154" s="11">
        <v>19123749.280000001</v>
      </c>
      <c r="AR154" t="s">
        <v>57</v>
      </c>
      <c r="AS154" s="4" t="str">
        <f>+G154</f>
        <v>Participación por el consumo de licores destilados introducidos de producción nacional</v>
      </c>
      <c r="AT154" t="str">
        <f t="shared" si="31"/>
        <v>20Participación por el consumo de licores destilados introducidos de producción nacional11744143511,52</v>
      </c>
      <c r="AU154" t="str">
        <f>+_xlfn.XLOOKUP(AT154,CRUCE!K:K,CRUCE!M:M)</f>
        <v>READY</v>
      </c>
      <c r="AV154" t="s">
        <v>1907</v>
      </c>
    </row>
    <row r="155" spans="1:48" x14ac:dyDescent="0.3">
      <c r="A155">
        <v>2023</v>
      </c>
      <c r="B155">
        <v>307</v>
      </c>
      <c r="C155">
        <v>1.10207002010302E+17</v>
      </c>
      <c r="D155" s="5">
        <v>35</v>
      </c>
      <c r="E155" s="8" t="s">
        <v>1367</v>
      </c>
      <c r="F155">
        <v>1.10207002010302E+17</v>
      </c>
      <c r="G155" s="8" t="s">
        <v>363</v>
      </c>
      <c r="H155" t="s">
        <v>47</v>
      </c>
      <c r="I155" s="11">
        <v>2664103388</v>
      </c>
      <c r="J155" s="11">
        <v>2664103388</v>
      </c>
      <c r="K155" s="11">
        <v>1369565217</v>
      </c>
      <c r="L155" s="11">
        <v>0</v>
      </c>
      <c r="M155" s="11">
        <v>1369565217</v>
      </c>
      <c r="N155" s="11">
        <v>1369565217</v>
      </c>
      <c r="O155" s="11">
        <v>0</v>
      </c>
      <c r="P155" s="11">
        <v>4033668605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3580124818.4000001</v>
      </c>
      <c r="X155" s="11">
        <v>5820271.5199999996</v>
      </c>
      <c r="Y155" s="17">
        <v>3574304546.8800001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3580124818.4000001</v>
      </c>
      <c r="AG155" s="11">
        <v>5820271.5199999996</v>
      </c>
      <c r="AH155" s="12">
        <v>3574304546.8800001</v>
      </c>
      <c r="AI155" s="11">
        <v>3574304546.8800001</v>
      </c>
      <c r="AJ155" s="11">
        <v>0</v>
      </c>
      <c r="AK155" s="11">
        <v>0</v>
      </c>
      <c r="AL155" s="11">
        <v>3574304546.8800001</v>
      </c>
      <c r="AM155" s="11">
        <v>3580124818.4000001</v>
      </c>
      <c r="AN155" s="11">
        <v>5820271.5199999996</v>
      </c>
      <c r="AO155" s="11">
        <v>3580124818.4000001</v>
      </c>
      <c r="AP155" s="11">
        <v>0</v>
      </c>
      <c r="AQ155" s="11">
        <v>5820271.5199999996</v>
      </c>
      <c r="AR155" t="s">
        <v>365</v>
      </c>
      <c r="AS155" s="4" t="str">
        <f>+G155</f>
        <v>Participación por el consumo de licores destilados introducidos de producción nacional</v>
      </c>
      <c r="AT155" t="str">
        <f t="shared" si="31"/>
        <v>35Participación por el consumo de licores destilados introducidos de producción nacional3574304546,88</v>
      </c>
      <c r="AU155" t="str">
        <f>+_xlfn.XLOOKUP(AT155,CRUCE!K:K,CRUCE!M:M)</f>
        <v>READY</v>
      </c>
      <c r="AV155" t="s">
        <v>1907</v>
      </c>
    </row>
    <row r="156" spans="1:48" hidden="1" x14ac:dyDescent="0.3">
      <c r="A156">
        <v>2023</v>
      </c>
      <c r="B156">
        <v>307</v>
      </c>
      <c r="C156">
        <v>1.10207002010302E+17</v>
      </c>
      <c r="D156" s="5" t="s">
        <v>44</v>
      </c>
      <c r="E156" s="8" t="s">
        <v>1101</v>
      </c>
      <c r="F156">
        <v>1.10207002010302E+17</v>
      </c>
      <c r="G156" s="8" t="s">
        <v>1102</v>
      </c>
      <c r="H156" t="s">
        <v>47</v>
      </c>
      <c r="I156" s="11">
        <v>3996097962</v>
      </c>
      <c r="J156" s="11">
        <v>3996097962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3996097962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4782729076.5</v>
      </c>
      <c r="X156" s="11">
        <v>6863240</v>
      </c>
      <c r="Y156" s="17">
        <v>4775865836.5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4782729076.5</v>
      </c>
      <c r="AG156" s="11">
        <v>6863240</v>
      </c>
      <c r="AH156" s="12">
        <v>4775865836.5</v>
      </c>
      <c r="AI156" s="11">
        <v>4775865836.5</v>
      </c>
      <c r="AJ156" s="11">
        <v>0</v>
      </c>
      <c r="AK156" s="11">
        <v>0</v>
      </c>
      <c r="AL156" s="11">
        <v>4775865836.5</v>
      </c>
      <c r="AM156" s="11">
        <v>4782729076.5</v>
      </c>
      <c r="AN156" s="11">
        <v>6863240</v>
      </c>
      <c r="AO156" s="11">
        <v>4782729076.5</v>
      </c>
      <c r="AP156" s="11">
        <v>0</v>
      </c>
      <c r="AQ156" s="11">
        <v>6863240</v>
      </c>
      <c r="AR156" t="s">
        <v>48</v>
      </c>
      <c r="AS156"/>
    </row>
    <row r="157" spans="1:48" x14ac:dyDescent="0.3">
      <c r="A157">
        <v>2023</v>
      </c>
      <c r="B157">
        <v>307</v>
      </c>
      <c r="C157">
        <v>1.1020700201030201E+20</v>
      </c>
      <c r="D157" s="5">
        <v>179</v>
      </c>
      <c r="E157" s="8" t="s">
        <v>1107</v>
      </c>
      <c r="F157">
        <v>1.1020700201030201E+20</v>
      </c>
      <c r="G157" s="8" t="s">
        <v>1108</v>
      </c>
      <c r="H157" t="s">
        <v>47</v>
      </c>
      <c r="I157" s="11">
        <v>190281384</v>
      </c>
      <c r="J157" s="11">
        <v>190281384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190281384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234398061.5</v>
      </c>
      <c r="X157" s="11">
        <v>334519</v>
      </c>
      <c r="Y157" s="17">
        <v>234063542.5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234398061.5</v>
      </c>
      <c r="AG157" s="11">
        <v>334519</v>
      </c>
      <c r="AH157" s="12">
        <v>234063542.5</v>
      </c>
      <c r="AI157" s="11">
        <v>234063542.5</v>
      </c>
      <c r="AJ157" s="11">
        <v>0</v>
      </c>
      <c r="AK157" s="11">
        <v>0</v>
      </c>
      <c r="AL157" s="11">
        <v>234063542.5</v>
      </c>
      <c r="AM157" s="11">
        <v>234398061.5</v>
      </c>
      <c r="AN157" s="11">
        <v>334519</v>
      </c>
      <c r="AO157" s="11">
        <v>234398061.5</v>
      </c>
      <c r="AP157" s="11">
        <v>0</v>
      </c>
      <c r="AQ157" s="11">
        <v>334519</v>
      </c>
      <c r="AR157" t="s">
        <v>357</v>
      </c>
      <c r="AS157" s="4" t="str">
        <f t="shared" ref="AS157:AS159" si="32">+G157</f>
        <v>Participación por el consumo de licores destilados introducidos de producción extranjera recaudado p</v>
      </c>
      <c r="AT157" t="str">
        <f t="shared" ref="AT157:AT159" si="33">+D157&amp;AS157&amp;Y157</f>
        <v>179Participación por el consumo de licores destilados introducidos de producción extranjera recaudado p234063542,5</v>
      </c>
      <c r="AU157" t="str">
        <f>+_xlfn.XLOOKUP(AT157,CRUCE!K:K,CRUCE!M:M)</f>
        <v>READY</v>
      </c>
      <c r="AV157" t="s">
        <v>1907</v>
      </c>
    </row>
    <row r="158" spans="1:48" x14ac:dyDescent="0.3">
      <c r="A158">
        <v>2023</v>
      </c>
      <c r="B158">
        <v>307</v>
      </c>
      <c r="C158">
        <v>1.1020700201030201E+20</v>
      </c>
      <c r="D158" s="5">
        <v>20</v>
      </c>
      <c r="E158" s="8" t="s">
        <v>1109</v>
      </c>
      <c r="F158">
        <v>1.1020700201030201E+20</v>
      </c>
      <c r="G158" s="8" t="s">
        <v>1108</v>
      </c>
      <c r="H158" t="s">
        <v>47</v>
      </c>
      <c r="I158" s="11">
        <v>2917782115</v>
      </c>
      <c r="J158" s="11">
        <v>2917782115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2917782115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2381699578.6599998</v>
      </c>
      <c r="X158" s="11">
        <v>5005570.3899999997</v>
      </c>
      <c r="Y158" s="17">
        <v>2376694008.27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2381699578.6599998</v>
      </c>
      <c r="AG158" s="11">
        <v>5005570.3899999997</v>
      </c>
      <c r="AH158" s="12">
        <v>2376694008.27</v>
      </c>
      <c r="AI158" s="11">
        <v>2376694008.27</v>
      </c>
      <c r="AJ158" s="11">
        <v>0</v>
      </c>
      <c r="AK158" s="11">
        <v>0</v>
      </c>
      <c r="AL158" s="11">
        <v>2376694008.27</v>
      </c>
      <c r="AM158" s="11">
        <v>2381699578.6599998</v>
      </c>
      <c r="AN158" s="11">
        <v>5005570.3899999997</v>
      </c>
      <c r="AO158" s="11">
        <v>2381699578.6599998</v>
      </c>
      <c r="AP158" s="11">
        <v>0</v>
      </c>
      <c r="AQ158" s="11">
        <v>5005570.3899999997</v>
      </c>
      <c r="AR158" t="s">
        <v>57</v>
      </c>
      <c r="AS158" s="4" t="str">
        <f t="shared" si="32"/>
        <v>Participación por el consumo de licores destilados introducidos de producción extranjera recaudado p</v>
      </c>
      <c r="AT158" t="str">
        <f t="shared" si="33"/>
        <v>20Participación por el consumo de licores destilados introducidos de producción extranjera recaudado p2376694008,27</v>
      </c>
      <c r="AU158" t="str">
        <f>+_xlfn.XLOOKUP(AT158,CRUCE!K:K,CRUCE!M:M)</f>
        <v>READY</v>
      </c>
      <c r="AV158" t="s">
        <v>1907</v>
      </c>
    </row>
    <row r="159" spans="1:48" x14ac:dyDescent="0.3">
      <c r="A159">
        <v>2023</v>
      </c>
      <c r="B159">
        <v>307</v>
      </c>
      <c r="C159">
        <v>1.1020700201030201E+20</v>
      </c>
      <c r="D159" s="5">
        <v>35</v>
      </c>
      <c r="E159" s="8" t="s">
        <v>1110</v>
      </c>
      <c r="F159">
        <v>1.1020700201030201E+20</v>
      </c>
      <c r="G159" s="8" t="s">
        <v>1108</v>
      </c>
      <c r="H159" t="s">
        <v>47</v>
      </c>
      <c r="I159" s="11">
        <v>888034463</v>
      </c>
      <c r="J159" s="11">
        <v>888034463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888034463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2166631436.3400002</v>
      </c>
      <c r="X159" s="11">
        <v>1523150.61</v>
      </c>
      <c r="Y159" s="17">
        <v>2165108285.73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2166631436.3400002</v>
      </c>
      <c r="AG159" s="11">
        <v>1523150.61</v>
      </c>
      <c r="AH159" s="12">
        <v>2165108285.73</v>
      </c>
      <c r="AI159" s="11">
        <v>2165108285.73</v>
      </c>
      <c r="AJ159" s="11">
        <v>0</v>
      </c>
      <c r="AK159" s="11">
        <v>0</v>
      </c>
      <c r="AL159" s="11">
        <v>2165108285.73</v>
      </c>
      <c r="AM159" s="11">
        <v>2166631436.3400002</v>
      </c>
      <c r="AN159" s="11">
        <v>1523150.61</v>
      </c>
      <c r="AO159" s="11">
        <v>2166631436.3400002</v>
      </c>
      <c r="AP159" s="11">
        <v>0</v>
      </c>
      <c r="AQ159" s="11">
        <v>1523150.61</v>
      </c>
      <c r="AR159" t="s">
        <v>365</v>
      </c>
      <c r="AS159" s="4" t="str">
        <f t="shared" si="32"/>
        <v>Participación por el consumo de licores destilados introducidos de producción extranjera recaudado p</v>
      </c>
      <c r="AT159" t="str">
        <f t="shared" si="33"/>
        <v>35Participación por el consumo de licores destilados introducidos de producción extranjera recaudado p2165108285,73</v>
      </c>
      <c r="AU159" t="str">
        <f>+_xlfn.XLOOKUP(AT159,CRUCE!K:K,CRUCE!M:M)</f>
        <v>READY</v>
      </c>
      <c r="AV159" t="s">
        <v>1907</v>
      </c>
    </row>
    <row r="160" spans="1:48" hidden="1" x14ac:dyDescent="0.3">
      <c r="A160">
        <v>2023</v>
      </c>
      <c r="B160">
        <v>307</v>
      </c>
      <c r="C160">
        <v>11020700202</v>
      </c>
      <c r="D160" s="5" t="s">
        <v>44</v>
      </c>
      <c r="E160" s="8" t="s">
        <v>1111</v>
      </c>
      <c r="F160">
        <v>11020700202</v>
      </c>
      <c r="G160" s="8" t="s">
        <v>1112</v>
      </c>
      <c r="H160" t="s">
        <v>47</v>
      </c>
      <c r="I160" s="11">
        <v>4486721.12</v>
      </c>
      <c r="J160" s="11">
        <v>4486721.12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4486721.12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113929748</v>
      </c>
      <c r="X160" s="11">
        <v>105326720</v>
      </c>
      <c r="Y160" s="17">
        <v>8603028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113929748</v>
      </c>
      <c r="AG160" s="11">
        <v>105326720</v>
      </c>
      <c r="AH160" s="12">
        <v>8603028</v>
      </c>
      <c r="AI160" s="11">
        <v>8603028</v>
      </c>
      <c r="AJ160" s="11">
        <v>0</v>
      </c>
      <c r="AK160" s="11">
        <v>0</v>
      </c>
      <c r="AL160" s="11">
        <v>8603028</v>
      </c>
      <c r="AM160" s="11">
        <v>113929748</v>
      </c>
      <c r="AN160" s="11">
        <v>105326720</v>
      </c>
      <c r="AO160" s="11">
        <v>113929748</v>
      </c>
      <c r="AP160" s="11">
        <v>0</v>
      </c>
      <c r="AQ160" s="11">
        <v>105326720</v>
      </c>
      <c r="AR160" t="s">
        <v>48</v>
      </c>
      <c r="AS160"/>
    </row>
    <row r="161" spans="1:48" x14ac:dyDescent="0.3">
      <c r="A161">
        <v>2023</v>
      </c>
      <c r="B161">
        <v>307</v>
      </c>
      <c r="C161">
        <v>1102070020201</v>
      </c>
      <c r="D161" s="5">
        <v>20</v>
      </c>
      <c r="E161" s="8" t="s">
        <v>1113</v>
      </c>
      <c r="F161">
        <v>1102070020201</v>
      </c>
      <c r="G161" s="8" t="s">
        <v>1114</v>
      </c>
      <c r="H161" t="s">
        <v>47</v>
      </c>
      <c r="I161" s="11">
        <v>2966482.12</v>
      </c>
      <c r="J161" s="11">
        <v>2966482.12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2966482.12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105461954</v>
      </c>
      <c r="X161" s="11">
        <v>100101970</v>
      </c>
      <c r="Y161" s="17">
        <v>5359984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105461954</v>
      </c>
      <c r="AG161" s="11">
        <v>100101970</v>
      </c>
      <c r="AH161" s="12">
        <v>5359984</v>
      </c>
      <c r="AI161" s="11">
        <v>5359984</v>
      </c>
      <c r="AJ161" s="11">
        <v>0</v>
      </c>
      <c r="AK161" s="11">
        <v>0</v>
      </c>
      <c r="AL161" s="11">
        <v>5359984</v>
      </c>
      <c r="AM161" s="11">
        <v>105461954</v>
      </c>
      <c r="AN161" s="11">
        <v>100101970</v>
      </c>
      <c r="AO161" s="11">
        <v>105461954</v>
      </c>
      <c r="AP161" s="11">
        <v>0</v>
      </c>
      <c r="AQ161" s="11">
        <v>100101970</v>
      </c>
      <c r="AR161" t="s">
        <v>57</v>
      </c>
      <c r="AS161" s="4" t="str">
        <f t="shared" ref="AS161:AS163" si="34">+G161</f>
        <v>Participación por la utilización de alcohol potable producido</v>
      </c>
      <c r="AT161" t="str">
        <f t="shared" ref="AT161:AT163" si="35">+D161&amp;AS161&amp;Y161</f>
        <v>20Participación por la utilización de alcohol potable producido5359984</v>
      </c>
      <c r="AU161" t="str">
        <f>+_xlfn.XLOOKUP(AT161,CRUCE!K:K,CRUCE!M:M)</f>
        <v>READY</v>
      </c>
      <c r="AV161" t="s">
        <v>1907</v>
      </c>
    </row>
    <row r="162" spans="1:48" x14ac:dyDescent="0.3">
      <c r="A162">
        <v>2023</v>
      </c>
      <c r="B162">
        <v>307</v>
      </c>
      <c r="C162">
        <v>1102070020201</v>
      </c>
      <c r="D162" s="5">
        <v>205</v>
      </c>
      <c r="E162" s="8" t="s">
        <v>1115</v>
      </c>
      <c r="F162">
        <v>1102070020201</v>
      </c>
      <c r="G162" s="8" t="s">
        <v>1114</v>
      </c>
      <c r="H162" t="s">
        <v>47</v>
      </c>
      <c r="I162" s="11">
        <v>672672</v>
      </c>
      <c r="J162" s="11">
        <v>672672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672672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1399860</v>
      </c>
      <c r="X162" s="11">
        <v>34300</v>
      </c>
      <c r="Y162" s="17">
        <v>1365560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1399860</v>
      </c>
      <c r="AG162" s="11">
        <v>34300</v>
      </c>
      <c r="AH162" s="12">
        <v>1365560</v>
      </c>
      <c r="AI162" s="11">
        <v>1365560</v>
      </c>
      <c r="AJ162" s="11">
        <v>0</v>
      </c>
      <c r="AK162" s="11">
        <v>0</v>
      </c>
      <c r="AL162" s="11">
        <v>1365560</v>
      </c>
      <c r="AM162" s="11">
        <v>1399860</v>
      </c>
      <c r="AN162" s="11">
        <v>34300</v>
      </c>
      <c r="AO162" s="11">
        <v>1399860</v>
      </c>
      <c r="AP162" s="11">
        <v>0</v>
      </c>
      <c r="AQ162" s="11">
        <v>34300</v>
      </c>
      <c r="AR162" t="s">
        <v>1116</v>
      </c>
      <c r="AS162" s="4" t="str">
        <f t="shared" si="34"/>
        <v>Participación por la utilización de alcohol potable producido</v>
      </c>
      <c r="AT162" t="str">
        <f t="shared" si="35"/>
        <v>205Participación por la utilización de alcohol potable producido1365560</v>
      </c>
      <c r="AU162" t="str">
        <f>+_xlfn.XLOOKUP(AT162,CRUCE!K:K,CRUCE!M:M)</f>
        <v>READY</v>
      </c>
      <c r="AV162" t="s">
        <v>1907</v>
      </c>
    </row>
    <row r="163" spans="1:48" x14ac:dyDescent="0.3">
      <c r="A163">
        <v>2023</v>
      </c>
      <c r="B163">
        <v>307</v>
      </c>
      <c r="C163">
        <v>1102070020201</v>
      </c>
      <c r="D163" s="5">
        <v>35</v>
      </c>
      <c r="E163" s="8" t="s">
        <v>1117</v>
      </c>
      <c r="F163">
        <v>1102070020201</v>
      </c>
      <c r="G163" s="8" t="s">
        <v>1114</v>
      </c>
      <c r="H163" t="s">
        <v>47</v>
      </c>
      <c r="I163" s="11">
        <v>847567</v>
      </c>
      <c r="J163" s="11">
        <v>847567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847567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7067934</v>
      </c>
      <c r="X163" s="11">
        <v>5190450</v>
      </c>
      <c r="Y163" s="17">
        <v>1877484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7067934</v>
      </c>
      <c r="AG163" s="11">
        <v>5190450</v>
      </c>
      <c r="AH163" s="12">
        <v>1877484</v>
      </c>
      <c r="AI163" s="11">
        <v>1877484</v>
      </c>
      <c r="AJ163" s="11">
        <v>0</v>
      </c>
      <c r="AK163" s="11">
        <v>0</v>
      </c>
      <c r="AL163" s="11">
        <v>1877484</v>
      </c>
      <c r="AM163" s="11">
        <v>7067934</v>
      </c>
      <c r="AN163" s="11">
        <v>5190450</v>
      </c>
      <c r="AO163" s="11">
        <v>7067934</v>
      </c>
      <c r="AP163" s="11">
        <v>0</v>
      </c>
      <c r="AQ163" s="11">
        <v>5190450</v>
      </c>
      <c r="AR163" t="s">
        <v>365</v>
      </c>
      <c r="AS163" s="4" t="str">
        <f t="shared" si="34"/>
        <v>Participación por la utilización de alcohol potable producido</v>
      </c>
      <c r="AT163" t="str">
        <f t="shared" si="35"/>
        <v>35Participación por la utilización de alcohol potable producido1877484</v>
      </c>
      <c r="AU163" t="str">
        <f>+_xlfn.XLOOKUP(AT163,CRUCE!K:K,CRUCE!M:M)</f>
        <v>READY</v>
      </c>
      <c r="AV163" t="s">
        <v>1907</v>
      </c>
    </row>
    <row r="164" spans="1:48" hidden="1" x14ac:dyDescent="0.3">
      <c r="A164">
        <v>2023</v>
      </c>
      <c r="B164">
        <v>307</v>
      </c>
      <c r="C164">
        <v>12</v>
      </c>
      <c r="D164" s="5" t="s">
        <v>44</v>
      </c>
      <c r="E164" s="8" t="s">
        <v>1368</v>
      </c>
      <c r="F164">
        <v>12</v>
      </c>
      <c r="G164" s="8" t="s">
        <v>367</v>
      </c>
      <c r="H164" t="s">
        <v>47</v>
      </c>
      <c r="I164" s="11">
        <v>8785234418</v>
      </c>
      <c r="J164" s="11">
        <v>8785234418</v>
      </c>
      <c r="K164" s="11">
        <v>123668939157.35001</v>
      </c>
      <c r="L164" s="11">
        <v>44352720.460000001</v>
      </c>
      <c r="M164" s="11">
        <v>123624586436.89</v>
      </c>
      <c r="N164" s="11">
        <v>123668939157.35001</v>
      </c>
      <c r="O164" s="11">
        <v>44352720.460000001</v>
      </c>
      <c r="P164" s="11">
        <v>132409820854.89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154104657493.39999</v>
      </c>
      <c r="X164" s="11">
        <v>36948009738.470001</v>
      </c>
      <c r="Y164" s="17">
        <v>117156647754.92999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154104657493.39999</v>
      </c>
      <c r="AG164" s="11">
        <v>36948009738.470001</v>
      </c>
      <c r="AH164" s="12">
        <v>117156647754.92999</v>
      </c>
      <c r="AI164" s="11">
        <v>117156647754.92999</v>
      </c>
      <c r="AJ164" s="11">
        <v>86865566008.570007</v>
      </c>
      <c r="AK164" s="11">
        <v>86865566008.570007</v>
      </c>
      <c r="AL164" s="11">
        <v>30335339984.349998</v>
      </c>
      <c r="AM164" s="11">
        <v>30866310422.419998</v>
      </c>
      <c r="AN164" s="11">
        <v>530970438.06999999</v>
      </c>
      <c r="AO164" s="11">
        <v>30866310422.419998</v>
      </c>
      <c r="AP164" s="11">
        <v>0</v>
      </c>
      <c r="AQ164" s="11">
        <v>530970438.06999999</v>
      </c>
      <c r="AR164" t="s">
        <v>48</v>
      </c>
      <c r="AS164"/>
    </row>
    <row r="165" spans="1:48" hidden="1" x14ac:dyDescent="0.3">
      <c r="A165">
        <v>2023</v>
      </c>
      <c r="B165">
        <v>307</v>
      </c>
      <c r="C165">
        <v>1203</v>
      </c>
      <c r="D165" s="5" t="s">
        <v>44</v>
      </c>
      <c r="E165" s="8" t="s">
        <v>372</v>
      </c>
      <c r="F165">
        <v>1203</v>
      </c>
      <c r="G165" s="8" t="s">
        <v>373</v>
      </c>
      <c r="H165" t="s">
        <v>47</v>
      </c>
      <c r="I165" s="11">
        <v>150000000</v>
      </c>
      <c r="J165" s="11">
        <v>150000000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150000000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582180146</v>
      </c>
      <c r="X165" s="11">
        <v>0</v>
      </c>
      <c r="Y165" s="17">
        <v>582180146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582180146</v>
      </c>
      <c r="AG165" s="11">
        <v>0</v>
      </c>
      <c r="AH165" s="12">
        <v>582180146</v>
      </c>
      <c r="AI165" s="11">
        <v>582180146</v>
      </c>
      <c r="AJ165" s="11">
        <v>0</v>
      </c>
      <c r="AK165" s="11">
        <v>0</v>
      </c>
      <c r="AL165" s="11">
        <v>582180146</v>
      </c>
      <c r="AM165" s="11">
        <v>582180146</v>
      </c>
      <c r="AN165" s="11">
        <v>0</v>
      </c>
      <c r="AO165" s="11">
        <v>582180146</v>
      </c>
      <c r="AP165" s="11">
        <v>0</v>
      </c>
      <c r="AQ165" s="11">
        <v>0</v>
      </c>
      <c r="AR165" t="s">
        <v>48</v>
      </c>
      <c r="AS165"/>
    </row>
    <row r="166" spans="1:48" hidden="1" x14ac:dyDescent="0.3">
      <c r="A166">
        <v>2023</v>
      </c>
      <c r="B166">
        <v>307</v>
      </c>
      <c r="C166">
        <v>120303</v>
      </c>
      <c r="D166" s="5" t="s">
        <v>44</v>
      </c>
      <c r="E166" s="8" t="s">
        <v>374</v>
      </c>
      <c r="F166">
        <v>120303</v>
      </c>
      <c r="G166" s="8" t="s">
        <v>375</v>
      </c>
      <c r="H166" t="s">
        <v>47</v>
      </c>
      <c r="I166" s="11">
        <v>150000000</v>
      </c>
      <c r="J166" s="11">
        <v>150000000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150000000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582180146</v>
      </c>
      <c r="X166" s="11">
        <v>0</v>
      </c>
      <c r="Y166" s="17">
        <v>582180146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582180146</v>
      </c>
      <c r="AG166" s="11">
        <v>0</v>
      </c>
      <c r="AH166" s="12">
        <v>582180146</v>
      </c>
      <c r="AI166" s="11">
        <v>582180146</v>
      </c>
      <c r="AJ166" s="11">
        <v>0</v>
      </c>
      <c r="AK166" s="11">
        <v>0</v>
      </c>
      <c r="AL166" s="11">
        <v>582180146</v>
      </c>
      <c r="AM166" s="11">
        <v>582180146</v>
      </c>
      <c r="AN166" s="11">
        <v>0</v>
      </c>
      <c r="AO166" s="11">
        <v>582180146</v>
      </c>
      <c r="AP166" s="11">
        <v>0</v>
      </c>
      <c r="AQ166" s="11">
        <v>0</v>
      </c>
      <c r="AR166" t="s">
        <v>48</v>
      </c>
      <c r="AS166"/>
    </row>
    <row r="167" spans="1:48" x14ac:dyDescent="0.3">
      <c r="A167">
        <v>2023</v>
      </c>
      <c r="B167">
        <v>307</v>
      </c>
      <c r="C167">
        <v>120303001</v>
      </c>
      <c r="D167" s="5">
        <v>20</v>
      </c>
      <c r="E167" s="8" t="s">
        <v>376</v>
      </c>
      <c r="F167">
        <v>120303001</v>
      </c>
      <c r="G167" s="8" t="s">
        <v>377</v>
      </c>
      <c r="H167" t="s">
        <v>47</v>
      </c>
      <c r="I167" s="11">
        <v>150000000</v>
      </c>
      <c r="J167" s="11">
        <v>150000000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150000000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369817745</v>
      </c>
      <c r="X167" s="11">
        <v>0</v>
      </c>
      <c r="Y167" s="17">
        <v>369817745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369817745</v>
      </c>
      <c r="AG167" s="11">
        <v>0</v>
      </c>
      <c r="AH167" s="12">
        <v>369817745</v>
      </c>
      <c r="AI167" s="11">
        <v>369817745</v>
      </c>
      <c r="AJ167" s="11">
        <v>0</v>
      </c>
      <c r="AK167" s="11">
        <v>0</v>
      </c>
      <c r="AL167" s="11">
        <v>369817745</v>
      </c>
      <c r="AM167" s="11">
        <v>369817745</v>
      </c>
      <c r="AN167" s="11">
        <v>0</v>
      </c>
      <c r="AO167" s="11">
        <v>369817745</v>
      </c>
      <c r="AP167" s="11">
        <v>0</v>
      </c>
      <c r="AQ167" s="11">
        <v>0</v>
      </c>
      <c r="AR167" t="s">
        <v>57</v>
      </c>
      <c r="AS167" s="4" t="str">
        <f>+G167</f>
        <v>Terminal de Transportes de Armenia</v>
      </c>
      <c r="AT167" t="str">
        <f t="shared" ref="AT167:AT168" si="36">+D167&amp;AS167&amp;Y167</f>
        <v>20Terminal de Transportes de Armenia369817745</v>
      </c>
      <c r="AU167" t="str">
        <f>+_xlfn.XLOOKUP(AT167,CRUCE!K:K,CRUCE!M:M)</f>
        <v>READY</v>
      </c>
      <c r="AV167" t="s">
        <v>1907</v>
      </c>
    </row>
    <row r="168" spans="1:48" x14ac:dyDescent="0.3">
      <c r="A168">
        <v>2023</v>
      </c>
      <c r="B168">
        <v>307</v>
      </c>
      <c r="C168">
        <v>120303003</v>
      </c>
      <c r="D168" s="5">
        <v>20</v>
      </c>
      <c r="E168" s="8" t="s">
        <v>1369</v>
      </c>
      <c r="F168">
        <v>120303003</v>
      </c>
      <c r="G168" s="8" t="s">
        <v>1370</v>
      </c>
      <c r="H168" t="s">
        <v>47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212362401</v>
      </c>
      <c r="X168" s="11">
        <v>0</v>
      </c>
      <c r="Y168" s="17">
        <v>212362401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212362401</v>
      </c>
      <c r="AG168" s="11">
        <v>0</v>
      </c>
      <c r="AH168" s="12">
        <v>212362401</v>
      </c>
      <c r="AI168" s="11">
        <v>212362401</v>
      </c>
      <c r="AJ168" s="11">
        <v>0</v>
      </c>
      <c r="AK168" s="11">
        <v>0</v>
      </c>
      <c r="AL168" s="11">
        <v>212362401</v>
      </c>
      <c r="AM168" s="11">
        <v>212362401</v>
      </c>
      <c r="AN168" s="11">
        <v>0</v>
      </c>
      <c r="AO168" s="11">
        <v>212362401</v>
      </c>
      <c r="AP168" s="11">
        <v>0</v>
      </c>
      <c r="AQ168" s="11">
        <v>0</v>
      </c>
      <c r="AR168" t="s">
        <v>57</v>
      </c>
      <c r="AS168" s="4" t="str">
        <f>+G168</f>
        <v xml:space="preserve">Fondo de Garantia Regional del Cafe </v>
      </c>
      <c r="AT168" t="str">
        <f t="shared" si="36"/>
        <v>20Fondo de Garantia Regional del Cafe 212362401</v>
      </c>
      <c r="AU168" t="str">
        <f>+_xlfn.XLOOKUP(AT168,CRUCE!K:K,CRUCE!M:M)</f>
        <v>READY</v>
      </c>
      <c r="AV168" t="s">
        <v>1907</v>
      </c>
    </row>
    <row r="169" spans="1:48" hidden="1" x14ac:dyDescent="0.3">
      <c r="A169">
        <v>2023</v>
      </c>
      <c r="B169">
        <v>307</v>
      </c>
      <c r="C169">
        <v>1205</v>
      </c>
      <c r="D169" s="5" t="s">
        <v>44</v>
      </c>
      <c r="E169" s="8" t="s">
        <v>378</v>
      </c>
      <c r="F169">
        <v>1205</v>
      </c>
      <c r="G169" s="8" t="s">
        <v>379</v>
      </c>
      <c r="H169" t="s">
        <v>47</v>
      </c>
      <c r="I169" s="11">
        <v>460422611</v>
      </c>
      <c r="J169" s="11">
        <v>460422611</v>
      </c>
      <c r="K169" s="11">
        <v>1526109493.3699999</v>
      </c>
      <c r="L169" s="11">
        <v>0</v>
      </c>
      <c r="M169" s="11">
        <v>1526109493.3699999</v>
      </c>
      <c r="N169" s="11">
        <v>1526109493.3699999</v>
      </c>
      <c r="O169" s="11">
        <v>0</v>
      </c>
      <c r="P169" s="11">
        <v>1986532104.3699999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4525245017.5100002</v>
      </c>
      <c r="X169" s="11">
        <v>371998341.14999998</v>
      </c>
      <c r="Y169" s="17">
        <v>4153246676.3600001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4525245017.5100002</v>
      </c>
      <c r="AG169" s="11">
        <v>371998341.14999998</v>
      </c>
      <c r="AH169" s="12">
        <v>4153246676.3600001</v>
      </c>
      <c r="AI169" s="11">
        <v>4153246676.3600001</v>
      </c>
      <c r="AJ169" s="11">
        <v>0</v>
      </c>
      <c r="AK169" s="11">
        <v>0</v>
      </c>
      <c r="AL169" s="11">
        <v>4197504914.3499999</v>
      </c>
      <c r="AM169" s="11">
        <v>4525245017.5100002</v>
      </c>
      <c r="AN169" s="11">
        <v>327740103.16000003</v>
      </c>
      <c r="AO169" s="11">
        <v>4525245017.5100002</v>
      </c>
      <c r="AP169" s="11">
        <v>0</v>
      </c>
      <c r="AQ169" s="11">
        <v>327740103.16000003</v>
      </c>
      <c r="AR169" t="s">
        <v>48</v>
      </c>
      <c r="AS169"/>
    </row>
    <row r="170" spans="1:48" hidden="1" x14ac:dyDescent="0.3">
      <c r="A170">
        <v>2023</v>
      </c>
      <c r="B170">
        <v>307</v>
      </c>
      <c r="C170">
        <v>120502</v>
      </c>
      <c r="D170" s="5" t="s">
        <v>44</v>
      </c>
      <c r="E170" s="8" t="s">
        <v>380</v>
      </c>
      <c r="F170">
        <v>120502</v>
      </c>
      <c r="G170" s="8" t="s">
        <v>381</v>
      </c>
      <c r="H170" t="s">
        <v>47</v>
      </c>
      <c r="I170" s="11">
        <v>460422611</v>
      </c>
      <c r="J170" s="11">
        <v>460422611</v>
      </c>
      <c r="K170" s="11">
        <v>1526109493.3699999</v>
      </c>
      <c r="L170" s="11">
        <v>0</v>
      </c>
      <c r="M170" s="11">
        <v>1526109493.3699999</v>
      </c>
      <c r="N170" s="11">
        <v>1526109493.3699999</v>
      </c>
      <c r="O170" s="11">
        <v>0</v>
      </c>
      <c r="P170" s="11">
        <v>1986532104.3699999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4525245017.5100002</v>
      </c>
      <c r="X170" s="11">
        <v>371998341.14999998</v>
      </c>
      <c r="Y170" s="17">
        <v>4153246676.3600001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4525245017.5100002</v>
      </c>
      <c r="AG170" s="11">
        <v>371998341.14999998</v>
      </c>
      <c r="AH170" s="12">
        <v>4153246676.3600001</v>
      </c>
      <c r="AI170" s="11">
        <v>4153246676.3600001</v>
      </c>
      <c r="AJ170" s="11">
        <v>0</v>
      </c>
      <c r="AK170" s="11">
        <v>0</v>
      </c>
      <c r="AL170" s="11">
        <v>4197504914.3499999</v>
      </c>
      <c r="AM170" s="11">
        <v>4525245017.5100002</v>
      </c>
      <c r="AN170" s="11">
        <v>327740103.16000003</v>
      </c>
      <c r="AO170" s="11">
        <v>4525245017.5100002</v>
      </c>
      <c r="AP170" s="11">
        <v>0</v>
      </c>
      <c r="AQ170" s="11">
        <v>327740103.16000003</v>
      </c>
      <c r="AR170" t="s">
        <v>48</v>
      </c>
      <c r="AS170"/>
    </row>
    <row r="171" spans="1:48" x14ac:dyDescent="0.3">
      <c r="A171">
        <v>2023</v>
      </c>
      <c r="B171">
        <v>307</v>
      </c>
      <c r="C171">
        <v>120502002</v>
      </c>
      <c r="D171" s="5">
        <v>4</v>
      </c>
      <c r="E171" s="8" t="s">
        <v>1120</v>
      </c>
      <c r="F171">
        <v>120502002</v>
      </c>
      <c r="G171" s="8" t="s">
        <v>1121</v>
      </c>
      <c r="H171" t="s">
        <v>47</v>
      </c>
      <c r="I171" s="11">
        <v>1664967</v>
      </c>
      <c r="J171" s="11">
        <v>1664967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1664967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339051129.61000001</v>
      </c>
      <c r="X171" s="11">
        <v>2500616.56</v>
      </c>
      <c r="Y171" s="17">
        <v>336550513.05000001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339051129.61000001</v>
      </c>
      <c r="AG171" s="11">
        <v>2500616.56</v>
      </c>
      <c r="AH171" s="12">
        <v>336550513.05000001</v>
      </c>
      <c r="AI171" s="11">
        <v>336550513.05000001</v>
      </c>
      <c r="AJ171" s="11">
        <v>0</v>
      </c>
      <c r="AK171" s="11">
        <v>0</v>
      </c>
      <c r="AL171" s="11">
        <v>336550513.05000001</v>
      </c>
      <c r="AM171" s="11">
        <v>339051129.61000001</v>
      </c>
      <c r="AN171" s="11">
        <v>2500616.56</v>
      </c>
      <c r="AO171" s="11">
        <v>339051129.61000001</v>
      </c>
      <c r="AP171" s="11">
        <v>0</v>
      </c>
      <c r="AQ171" s="11">
        <v>2500616.56</v>
      </c>
      <c r="AR171" t="s">
        <v>125</v>
      </c>
      <c r="AS171" s="4" t="str">
        <f t="shared" ref="AS171:AS179" si="37">+G171</f>
        <v>Depósitos Estampilla Prodesarrollo Inversion 50%</v>
      </c>
      <c r="AT171" t="str">
        <f t="shared" ref="AT171:AT188" si="38">+D171&amp;AS171&amp;Y171</f>
        <v>4Depósitos Estampilla Prodesarrollo Inversion 50%336550513,05</v>
      </c>
      <c r="AU171" t="str">
        <f>+_xlfn.XLOOKUP(AT171,CRUCE!K:K,CRUCE!M:M)</f>
        <v>READY</v>
      </c>
      <c r="AV171" t="s">
        <v>1907</v>
      </c>
    </row>
    <row r="172" spans="1:48" x14ac:dyDescent="0.3">
      <c r="A172">
        <v>2023</v>
      </c>
      <c r="B172">
        <v>307</v>
      </c>
      <c r="C172">
        <v>120502003</v>
      </c>
      <c r="D172" s="5">
        <v>176</v>
      </c>
      <c r="E172" s="8" t="s">
        <v>1122</v>
      </c>
      <c r="F172">
        <v>120502003</v>
      </c>
      <c r="G172" s="8" t="s">
        <v>1123</v>
      </c>
      <c r="H172" t="s">
        <v>47</v>
      </c>
      <c r="I172" s="11">
        <v>481528</v>
      </c>
      <c r="J172" s="11">
        <v>481528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481528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138216709.78</v>
      </c>
      <c r="X172" s="11">
        <v>1000246.62</v>
      </c>
      <c r="Y172" s="17">
        <v>137216463.16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138216709.78</v>
      </c>
      <c r="AG172" s="11">
        <v>1000246.62</v>
      </c>
      <c r="AH172" s="12">
        <v>137216463.16</v>
      </c>
      <c r="AI172" s="11">
        <v>137216463.16</v>
      </c>
      <c r="AJ172" s="11">
        <v>0</v>
      </c>
      <c r="AK172" s="11">
        <v>0</v>
      </c>
      <c r="AL172" s="11">
        <v>137216463.16</v>
      </c>
      <c r="AM172" s="11">
        <v>138216709.78</v>
      </c>
      <c r="AN172" s="11">
        <v>1000246.62</v>
      </c>
      <c r="AO172" s="11">
        <v>138216709.78</v>
      </c>
      <c r="AP172" s="11">
        <v>0</v>
      </c>
      <c r="AQ172" s="11">
        <v>1000246.62</v>
      </c>
      <c r="AR172" t="s">
        <v>127</v>
      </c>
      <c r="AS172" s="4" t="str">
        <f t="shared" si="37"/>
        <v>Depósitos Estampilla Prodesarrollo Pensiones 20%</v>
      </c>
      <c r="AT172" t="str">
        <f t="shared" si="38"/>
        <v>176Depósitos Estampilla Prodesarrollo Pensiones 20%137216463,16</v>
      </c>
      <c r="AU172" t="str">
        <f>+_xlfn.XLOOKUP(AT172,CRUCE!K:K,CRUCE!M:M)</f>
        <v>READY</v>
      </c>
      <c r="AV172" t="s">
        <v>1907</v>
      </c>
    </row>
    <row r="173" spans="1:48" x14ac:dyDescent="0.3">
      <c r="A173">
        <v>2023</v>
      </c>
      <c r="B173">
        <v>307</v>
      </c>
      <c r="C173">
        <v>120502004</v>
      </c>
      <c r="D173" s="5">
        <v>5</v>
      </c>
      <c r="E173" s="8" t="s">
        <v>1124</v>
      </c>
      <c r="F173">
        <v>120502004</v>
      </c>
      <c r="G173" s="8" t="s">
        <v>1125</v>
      </c>
      <c r="H173" t="s">
        <v>47</v>
      </c>
      <c r="I173" s="11">
        <v>316121</v>
      </c>
      <c r="J173" s="11">
        <v>316121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316121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25920606.449999999</v>
      </c>
      <c r="X173" s="11">
        <v>2418189.21</v>
      </c>
      <c r="Y173" s="17">
        <v>23502417.239999998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25920606.449999999</v>
      </c>
      <c r="AG173" s="11">
        <v>2418189.21</v>
      </c>
      <c r="AH173" s="12">
        <v>23502417.239999998</v>
      </c>
      <c r="AI173" s="11">
        <v>23502417.239999998</v>
      </c>
      <c r="AJ173" s="11">
        <v>0</v>
      </c>
      <c r="AK173" s="11">
        <v>0</v>
      </c>
      <c r="AL173" s="11">
        <v>23502417.239999998</v>
      </c>
      <c r="AM173" s="11">
        <v>25920606.449999999</v>
      </c>
      <c r="AN173" s="11">
        <v>2418189.21</v>
      </c>
      <c r="AO173" s="11">
        <v>25920606.449999999</v>
      </c>
      <c r="AP173" s="11">
        <v>0</v>
      </c>
      <c r="AQ173" s="11">
        <v>2418189.21</v>
      </c>
      <c r="AR173" t="s">
        <v>135</v>
      </c>
      <c r="AS173" s="4" t="str">
        <f t="shared" si="37"/>
        <v>Depósitos Estampilla Procultura Pensiones 20%</v>
      </c>
      <c r="AT173" t="str">
        <f t="shared" si="38"/>
        <v>5Depósitos Estampilla Procultura Pensiones 20%23502417,24</v>
      </c>
      <c r="AU173" t="str">
        <f>+_xlfn.XLOOKUP(AT173,CRUCE!K:K,CRUCE!M:M)</f>
        <v>READY</v>
      </c>
      <c r="AV173" t="s">
        <v>1907</v>
      </c>
    </row>
    <row r="174" spans="1:48" x14ac:dyDescent="0.3">
      <c r="A174">
        <v>2023</v>
      </c>
      <c r="B174">
        <v>307</v>
      </c>
      <c r="C174">
        <v>120502005</v>
      </c>
      <c r="D174" s="5">
        <v>33</v>
      </c>
      <c r="E174" s="8" t="s">
        <v>1126</v>
      </c>
      <c r="F174">
        <v>120502005</v>
      </c>
      <c r="G174" s="8" t="s">
        <v>1127</v>
      </c>
      <c r="H174" t="s">
        <v>47</v>
      </c>
      <c r="I174" s="11">
        <v>158060</v>
      </c>
      <c r="J174" s="11">
        <v>158060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158060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12960302.98</v>
      </c>
      <c r="X174" s="11">
        <v>1209094.6100000001</v>
      </c>
      <c r="Y174" s="17">
        <v>11751208.369999999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12960302.98</v>
      </c>
      <c r="AG174" s="11">
        <v>1209094.6100000001</v>
      </c>
      <c r="AH174" s="12">
        <v>11751208.369999999</v>
      </c>
      <c r="AI174" s="11">
        <v>11751208.369999999</v>
      </c>
      <c r="AJ174" s="11">
        <v>0</v>
      </c>
      <c r="AK174" s="11">
        <v>0</v>
      </c>
      <c r="AL174" s="11">
        <v>11751208.369999999</v>
      </c>
      <c r="AM174" s="11">
        <v>12960302.98</v>
      </c>
      <c r="AN174" s="11">
        <v>1209094.6100000001</v>
      </c>
      <c r="AO174" s="11">
        <v>12960302.98</v>
      </c>
      <c r="AP174" s="11">
        <v>0</v>
      </c>
      <c r="AQ174" s="11">
        <v>1209094.6100000001</v>
      </c>
      <c r="AR174" t="s">
        <v>137</v>
      </c>
      <c r="AS174" s="4" t="str">
        <f t="shared" si="37"/>
        <v>Depósitos Estampilla Procultura Seguridad Social 10%</v>
      </c>
      <c r="AT174" t="str">
        <f t="shared" si="38"/>
        <v>33Depósitos Estampilla Procultura Seguridad Social 10%11751208,37</v>
      </c>
      <c r="AU174" t="str">
        <f>+_xlfn.XLOOKUP(AT174,CRUCE!K:K,CRUCE!M:M)</f>
        <v>READY</v>
      </c>
      <c r="AV174" t="s">
        <v>1907</v>
      </c>
    </row>
    <row r="175" spans="1:48" x14ac:dyDescent="0.3">
      <c r="A175">
        <v>2023</v>
      </c>
      <c r="B175">
        <v>307</v>
      </c>
      <c r="C175">
        <v>120502006</v>
      </c>
      <c r="D175" s="5">
        <v>34</v>
      </c>
      <c r="E175" s="8" t="s">
        <v>1128</v>
      </c>
      <c r="F175">
        <v>120502006</v>
      </c>
      <c r="G175" s="8" t="s">
        <v>1129</v>
      </c>
      <c r="H175" t="s">
        <v>47</v>
      </c>
      <c r="I175" s="11">
        <v>158060</v>
      </c>
      <c r="J175" s="11">
        <v>158060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158060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12960303.289999999</v>
      </c>
      <c r="X175" s="11">
        <v>1209094.6100000001</v>
      </c>
      <c r="Y175" s="17">
        <v>11751208.68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12960303.289999999</v>
      </c>
      <c r="AG175" s="11">
        <v>1209094.6100000001</v>
      </c>
      <c r="AH175" s="12">
        <v>11751208.68</v>
      </c>
      <c r="AI175" s="11">
        <v>11751208.68</v>
      </c>
      <c r="AJ175" s="11">
        <v>0</v>
      </c>
      <c r="AK175" s="11">
        <v>0</v>
      </c>
      <c r="AL175" s="11">
        <v>11751208.68</v>
      </c>
      <c r="AM175" s="11">
        <v>12960303.289999999</v>
      </c>
      <c r="AN175" s="11">
        <v>1209094.6100000001</v>
      </c>
      <c r="AO175" s="11">
        <v>12960303.289999999</v>
      </c>
      <c r="AP175" s="11">
        <v>0</v>
      </c>
      <c r="AQ175" s="11">
        <v>1209094.6100000001</v>
      </c>
      <c r="AR175" t="s">
        <v>139</v>
      </c>
      <c r="AS175" s="4" t="str">
        <f t="shared" si="37"/>
        <v>Depósitos Estampilla Procultura Bibliotecas 10%</v>
      </c>
      <c r="AT175" t="str">
        <f t="shared" si="38"/>
        <v>34Depósitos Estampilla Procultura Bibliotecas 10%11751208,68</v>
      </c>
      <c r="AU175" t="str">
        <f>+_xlfn.XLOOKUP(AT175,CRUCE!K:K,CRUCE!M:M)</f>
        <v>READY</v>
      </c>
      <c r="AV175" t="s">
        <v>1907</v>
      </c>
    </row>
    <row r="176" spans="1:48" x14ac:dyDescent="0.3">
      <c r="A176">
        <v>2023</v>
      </c>
      <c r="B176">
        <v>307</v>
      </c>
      <c r="C176">
        <v>120502007</v>
      </c>
      <c r="D176" s="5">
        <v>39</v>
      </c>
      <c r="E176" s="8" t="s">
        <v>1130</v>
      </c>
      <c r="F176">
        <v>120502007</v>
      </c>
      <c r="G176" s="8" t="s">
        <v>1131</v>
      </c>
      <c r="H176" t="s">
        <v>47</v>
      </c>
      <c r="I176" s="11">
        <v>790301</v>
      </c>
      <c r="J176" s="11">
        <v>790301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790301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64801518.420000002</v>
      </c>
      <c r="X176" s="11">
        <v>6045473.0300000003</v>
      </c>
      <c r="Y176" s="17">
        <v>58756045.390000001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64801518.420000002</v>
      </c>
      <c r="AG176" s="11">
        <v>6045473.0300000003</v>
      </c>
      <c r="AH176" s="12">
        <v>58756045.390000001</v>
      </c>
      <c r="AI176" s="11">
        <v>58756045.390000001</v>
      </c>
      <c r="AJ176" s="11">
        <v>0</v>
      </c>
      <c r="AK176" s="11">
        <v>0</v>
      </c>
      <c r="AL176" s="11">
        <v>58756045.390000001</v>
      </c>
      <c r="AM176" s="11">
        <v>64801518.420000002</v>
      </c>
      <c r="AN176" s="11">
        <v>6045473.0300000003</v>
      </c>
      <c r="AO176" s="11">
        <v>64801518.420000002</v>
      </c>
      <c r="AP176" s="11">
        <v>0</v>
      </c>
      <c r="AQ176" s="11">
        <v>6045473.0300000003</v>
      </c>
      <c r="AR176" t="s">
        <v>141</v>
      </c>
      <c r="AS176" s="4" t="str">
        <f t="shared" si="37"/>
        <v>Depósitos Estampilla Procultura Concertacion 50%</v>
      </c>
      <c r="AT176" t="str">
        <f t="shared" si="38"/>
        <v>39Depósitos Estampilla Procultura Concertacion 50%58756045,39</v>
      </c>
      <c r="AU176" t="str">
        <f>+_xlfn.XLOOKUP(AT176,CRUCE!K:K,CRUCE!M:M)</f>
        <v>READY</v>
      </c>
      <c r="AV176" t="s">
        <v>1907</v>
      </c>
    </row>
    <row r="177" spans="1:48" x14ac:dyDescent="0.3">
      <c r="A177">
        <v>2023</v>
      </c>
      <c r="B177">
        <v>307</v>
      </c>
      <c r="C177">
        <v>120502008</v>
      </c>
      <c r="D177" s="5">
        <v>41</v>
      </c>
      <c r="E177" s="8" t="s">
        <v>1132</v>
      </c>
      <c r="F177">
        <v>120502008</v>
      </c>
      <c r="G177" s="8" t="s">
        <v>1133</v>
      </c>
      <c r="H177" t="s">
        <v>47</v>
      </c>
      <c r="I177" s="11">
        <v>158060</v>
      </c>
      <c r="J177" s="11">
        <v>158060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158060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12960301.449999999</v>
      </c>
      <c r="X177" s="11">
        <v>1209094.6200000001</v>
      </c>
      <c r="Y177" s="17">
        <v>11751206.83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12960301.449999999</v>
      </c>
      <c r="AG177" s="11">
        <v>1209094.6200000001</v>
      </c>
      <c r="AH177" s="12">
        <v>11751206.83</v>
      </c>
      <c r="AI177" s="11">
        <v>11751206.83</v>
      </c>
      <c r="AJ177" s="11">
        <v>0</v>
      </c>
      <c r="AK177" s="11">
        <v>0</v>
      </c>
      <c r="AL177" s="11">
        <v>11751206.83</v>
      </c>
      <c r="AM177" s="11">
        <v>12960301.449999999</v>
      </c>
      <c r="AN177" s="11">
        <v>1209094.6200000001</v>
      </c>
      <c r="AO177" s="11">
        <v>12960301.449999999</v>
      </c>
      <c r="AP177" s="11">
        <v>0</v>
      </c>
      <c r="AQ177" s="11">
        <v>1209094.6200000001</v>
      </c>
      <c r="AR177" t="s">
        <v>143</v>
      </c>
      <c r="AS177" s="4" t="str">
        <f t="shared" si="37"/>
        <v>Depósitos Estampilla Procultura Estimulos 10%</v>
      </c>
      <c r="AT177" t="str">
        <f t="shared" si="38"/>
        <v>41Depósitos Estampilla Procultura Estimulos 10%11751206,83</v>
      </c>
      <c r="AU177" t="str">
        <f>+_xlfn.XLOOKUP(AT177,CRUCE!K:K,CRUCE!M:M)</f>
        <v>READY</v>
      </c>
      <c r="AV177" t="s">
        <v>1907</v>
      </c>
    </row>
    <row r="178" spans="1:48" x14ac:dyDescent="0.3">
      <c r="A178">
        <v>2023</v>
      </c>
      <c r="B178">
        <v>307</v>
      </c>
      <c r="C178">
        <v>120502009</v>
      </c>
      <c r="D178" s="5">
        <v>6</v>
      </c>
      <c r="E178" s="8" t="s">
        <v>1134</v>
      </c>
      <c r="F178">
        <v>120502009</v>
      </c>
      <c r="G178" s="8" t="s">
        <v>1135</v>
      </c>
      <c r="H178" t="s">
        <v>47</v>
      </c>
      <c r="I178" s="11">
        <v>1400016</v>
      </c>
      <c r="J178" s="11">
        <v>1400016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1400016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153179622.30000001</v>
      </c>
      <c r="X178" s="11">
        <v>1644123.81</v>
      </c>
      <c r="Y178" s="17">
        <v>151535498.49000001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153179622.30000001</v>
      </c>
      <c r="AG178" s="11">
        <v>1644123.81</v>
      </c>
      <c r="AH178" s="12">
        <v>151535498.49000001</v>
      </c>
      <c r="AI178" s="11">
        <v>151535498.49000001</v>
      </c>
      <c r="AJ178" s="11">
        <v>0</v>
      </c>
      <c r="AK178" s="11">
        <v>0</v>
      </c>
      <c r="AL178" s="11">
        <v>151535498.49000001</v>
      </c>
      <c r="AM178" s="11">
        <v>153179622.30000001</v>
      </c>
      <c r="AN178" s="11">
        <v>1644123.81</v>
      </c>
      <c r="AO178" s="11">
        <v>153179622.30000001</v>
      </c>
      <c r="AP178" s="11">
        <v>0</v>
      </c>
      <c r="AQ178" s="11">
        <v>1644123.81</v>
      </c>
      <c r="AR178" t="s">
        <v>120</v>
      </c>
      <c r="AS178" s="4" t="str">
        <f t="shared" si="37"/>
        <v>Depósitos Estampilla Proadulto Mayor Inversion 80%</v>
      </c>
      <c r="AT178" t="str">
        <f t="shared" si="38"/>
        <v>6Depósitos Estampilla Proadulto Mayor Inversion 80%151535498,49</v>
      </c>
      <c r="AU178" t="str">
        <f>+_xlfn.XLOOKUP(AT178,CRUCE!K:K,CRUCE!M:M)</f>
        <v>READY</v>
      </c>
      <c r="AV178" t="s">
        <v>1907</v>
      </c>
    </row>
    <row r="179" spans="1:48" x14ac:dyDescent="0.3">
      <c r="A179">
        <v>2023</v>
      </c>
      <c r="B179">
        <v>307</v>
      </c>
      <c r="C179">
        <v>120502010</v>
      </c>
      <c r="D179" s="5">
        <v>178</v>
      </c>
      <c r="E179" s="8" t="s">
        <v>1136</v>
      </c>
      <c r="F179">
        <v>120502010</v>
      </c>
      <c r="G179" s="8" t="s">
        <v>1137</v>
      </c>
      <c r="H179" t="s">
        <v>47</v>
      </c>
      <c r="I179" s="11">
        <v>325004</v>
      </c>
      <c r="J179" s="11">
        <v>325004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325004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38294905.560000002</v>
      </c>
      <c r="X179" s="11">
        <v>411030.95</v>
      </c>
      <c r="Y179" s="17">
        <v>37883874.609999999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38294905.560000002</v>
      </c>
      <c r="AG179" s="11">
        <v>411030.95</v>
      </c>
      <c r="AH179" s="12">
        <v>37883874.609999999</v>
      </c>
      <c r="AI179" s="11">
        <v>37883874.609999999</v>
      </c>
      <c r="AJ179" s="11">
        <v>0</v>
      </c>
      <c r="AK179" s="11">
        <v>0</v>
      </c>
      <c r="AL179" s="11">
        <v>37883874.609999999</v>
      </c>
      <c r="AM179" s="11">
        <v>38294905.560000002</v>
      </c>
      <c r="AN179" s="11">
        <v>411030.95</v>
      </c>
      <c r="AO179" s="11">
        <v>38294905.560000002</v>
      </c>
      <c r="AP179" s="11">
        <v>0</v>
      </c>
      <c r="AQ179" s="11">
        <v>411030.95</v>
      </c>
      <c r="AR179" t="s">
        <v>122</v>
      </c>
      <c r="AS179" s="4" t="str">
        <f t="shared" si="37"/>
        <v>Depósitos Estampilla Proadulto Pensiones 20%</v>
      </c>
      <c r="AT179" t="str">
        <f t="shared" si="38"/>
        <v>178Depósitos Estampilla Proadulto Pensiones 20%37883874,61</v>
      </c>
      <c r="AU179" t="str">
        <f>+_xlfn.XLOOKUP(AT179,CRUCE!K:K,CRUCE!M:M)</f>
        <v>READY</v>
      </c>
      <c r="AV179" t="s">
        <v>1907</v>
      </c>
    </row>
    <row r="180" spans="1:48" x14ac:dyDescent="0.3">
      <c r="A180">
        <v>2023</v>
      </c>
      <c r="B180">
        <v>307</v>
      </c>
      <c r="C180">
        <v>120502011</v>
      </c>
      <c r="D180" s="5">
        <v>136</v>
      </c>
      <c r="E180" s="8" t="s">
        <v>1371</v>
      </c>
      <c r="F180">
        <v>120502011</v>
      </c>
      <c r="G180" s="8" t="s">
        <v>1139</v>
      </c>
      <c r="H180" t="s">
        <v>47</v>
      </c>
      <c r="I180" s="11">
        <v>39724450</v>
      </c>
      <c r="J180" s="11">
        <v>39724450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39724450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414411192.75</v>
      </c>
      <c r="X180" s="11">
        <v>32123530.350000001</v>
      </c>
      <c r="Y180" s="17">
        <v>382287662.39999998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414411192.75</v>
      </c>
      <c r="AG180" s="11">
        <v>32123530.350000001</v>
      </c>
      <c r="AH180" s="12">
        <v>382287662.39999998</v>
      </c>
      <c r="AI180" s="11">
        <v>382287662.39999998</v>
      </c>
      <c r="AJ180" s="11">
        <v>0</v>
      </c>
      <c r="AK180" s="11">
        <v>0</v>
      </c>
      <c r="AL180" s="11">
        <v>382287662.39999998</v>
      </c>
      <c r="AM180" s="11">
        <v>414411192.75</v>
      </c>
      <c r="AN180" s="11">
        <v>32123530.350000001</v>
      </c>
      <c r="AO180" s="11">
        <v>414411192.75</v>
      </c>
      <c r="AP180" s="11">
        <v>0</v>
      </c>
      <c r="AQ180" s="11">
        <v>32123530.350000001</v>
      </c>
      <c r="AR180" t="s">
        <v>448</v>
      </c>
      <c r="AS180" s="4" t="str">
        <f>+G180</f>
        <v>Depósitos Desahorro FONPET Pensionales</v>
      </c>
      <c r="AT180" t="str">
        <f t="shared" si="38"/>
        <v>136Depósitos Desahorro FONPET Pensionales382287662,4</v>
      </c>
      <c r="AU180" t="str">
        <f>+_xlfn.XLOOKUP(AT180,CRUCE!K:K,CRUCE!M:M)</f>
        <v>READY</v>
      </c>
      <c r="AV180" t="s">
        <v>1907</v>
      </c>
    </row>
    <row r="181" spans="1:48" x14ac:dyDescent="0.3">
      <c r="A181">
        <v>2023</v>
      </c>
      <c r="B181">
        <v>307</v>
      </c>
      <c r="C181">
        <v>120502012</v>
      </c>
      <c r="D181" s="5">
        <v>42</v>
      </c>
      <c r="E181" s="8" t="s">
        <v>1141</v>
      </c>
      <c r="F181">
        <v>120502012</v>
      </c>
      <c r="G181" s="8" t="s">
        <v>1142</v>
      </c>
      <c r="H181" t="s">
        <v>47</v>
      </c>
      <c r="I181" s="11">
        <v>2314305</v>
      </c>
      <c r="J181" s="11">
        <v>2314305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2314305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428815394.30000001</v>
      </c>
      <c r="X181" s="11">
        <v>0</v>
      </c>
      <c r="Y181" s="17">
        <v>428815394.30000001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428815394.30000001</v>
      </c>
      <c r="AG181" s="11">
        <v>0</v>
      </c>
      <c r="AH181" s="12">
        <v>428815394.30000001</v>
      </c>
      <c r="AI181" s="11">
        <v>428815394.30000001</v>
      </c>
      <c r="AJ181" s="11">
        <v>0</v>
      </c>
      <c r="AK181" s="11">
        <v>0</v>
      </c>
      <c r="AL181" s="11">
        <v>428815394.30000001</v>
      </c>
      <c r="AM181" s="11">
        <v>428815394.30000001</v>
      </c>
      <c r="AN181" s="11">
        <v>0</v>
      </c>
      <c r="AO181" s="11">
        <v>428815394.30000001</v>
      </c>
      <c r="AP181" s="11">
        <v>0</v>
      </c>
      <c r="AQ181" s="11">
        <v>0</v>
      </c>
      <c r="AR181" t="s">
        <v>115</v>
      </c>
      <c r="AS181" s="4" t="str">
        <f t="shared" ref="AS181:AS188" si="39">+G181</f>
        <v>Depósitos Fondo de Seguridad Ciudadana</v>
      </c>
      <c r="AT181" t="str">
        <f t="shared" si="38"/>
        <v>42Depósitos Fondo de Seguridad Ciudadana428815394,3</v>
      </c>
      <c r="AU181" t="str">
        <f>+_xlfn.XLOOKUP(AT181,CRUCE!K:K,CRUCE!M:M)</f>
        <v>READY</v>
      </c>
      <c r="AV181" t="s">
        <v>1907</v>
      </c>
    </row>
    <row r="182" spans="1:48" x14ac:dyDescent="0.3">
      <c r="A182">
        <v>2023</v>
      </c>
      <c r="B182">
        <v>307</v>
      </c>
      <c r="C182">
        <v>120502013</v>
      </c>
      <c r="D182" s="5">
        <v>27</v>
      </c>
      <c r="E182" s="8" t="s">
        <v>1143</v>
      </c>
      <c r="F182">
        <v>120502013</v>
      </c>
      <c r="G182" s="8" t="s">
        <v>1144</v>
      </c>
      <c r="H182" t="s">
        <v>47</v>
      </c>
      <c r="I182" s="11">
        <v>311522</v>
      </c>
      <c r="J182" s="11">
        <v>311522</v>
      </c>
      <c r="K182" s="11">
        <v>26109493.370000001</v>
      </c>
      <c r="L182" s="11">
        <v>0</v>
      </c>
      <c r="M182" s="11">
        <v>26109493.370000001</v>
      </c>
      <c r="N182" s="11">
        <v>26109493.370000001</v>
      </c>
      <c r="O182" s="11">
        <v>0</v>
      </c>
      <c r="P182" s="11">
        <v>26421015.370000001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26421015.370000001</v>
      </c>
      <c r="X182" s="11">
        <v>0</v>
      </c>
      <c r="Y182" s="17">
        <v>26421015.370000001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26421015.370000001</v>
      </c>
      <c r="AG182" s="11">
        <v>0</v>
      </c>
      <c r="AH182" s="12">
        <v>26421015.370000001</v>
      </c>
      <c r="AI182" s="11">
        <v>26421015.370000001</v>
      </c>
      <c r="AJ182" s="11">
        <v>0</v>
      </c>
      <c r="AK182" s="11">
        <v>0</v>
      </c>
      <c r="AL182" s="11">
        <v>26421015.370000001</v>
      </c>
      <c r="AM182" s="11">
        <v>26421015.370000001</v>
      </c>
      <c r="AN182" s="11">
        <v>0</v>
      </c>
      <c r="AO182" s="11">
        <v>26421015.370000001</v>
      </c>
      <c r="AP182" s="11">
        <v>0</v>
      </c>
      <c r="AQ182" s="11">
        <v>0</v>
      </c>
      <c r="AR182" t="s">
        <v>247</v>
      </c>
      <c r="AS182" s="4" t="str">
        <f t="shared" si="39"/>
        <v>Depósitos SGP Agua Potable</v>
      </c>
      <c r="AT182" t="str">
        <f t="shared" si="38"/>
        <v>27Depósitos SGP Agua Potable26421015,37</v>
      </c>
      <c r="AU182" t="str">
        <f>+_xlfn.XLOOKUP(AT182,CRUCE!K:K,CRUCE!M:M)</f>
        <v>READY</v>
      </c>
      <c r="AV182" t="s">
        <v>1907</v>
      </c>
    </row>
    <row r="183" spans="1:48" x14ac:dyDescent="0.3">
      <c r="A183">
        <v>2023</v>
      </c>
      <c r="B183">
        <v>307</v>
      </c>
      <c r="C183">
        <v>120502014</v>
      </c>
      <c r="D183" s="5">
        <v>20</v>
      </c>
      <c r="E183" s="8" t="s">
        <v>1145</v>
      </c>
      <c r="F183">
        <v>120502014</v>
      </c>
      <c r="G183" s="8" t="s">
        <v>1146</v>
      </c>
      <c r="H183" t="s">
        <v>47</v>
      </c>
      <c r="I183" s="11">
        <v>412620217</v>
      </c>
      <c r="J183" s="11">
        <v>412620217</v>
      </c>
      <c r="K183" s="11">
        <v>1500000000</v>
      </c>
      <c r="L183" s="11">
        <v>0</v>
      </c>
      <c r="M183" s="11">
        <v>1500000000</v>
      </c>
      <c r="N183" s="11">
        <v>1500000000</v>
      </c>
      <c r="O183" s="11">
        <v>0</v>
      </c>
      <c r="P183" s="11">
        <v>1912620217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2645922516.8400002</v>
      </c>
      <c r="X183" s="11">
        <v>320692454.75</v>
      </c>
      <c r="Y183" s="17">
        <v>2325230062.0900002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2645922516.8400002</v>
      </c>
      <c r="AG183" s="11">
        <v>320692454.75</v>
      </c>
      <c r="AH183" s="12">
        <v>2325230062.0900002</v>
      </c>
      <c r="AI183" s="11">
        <v>2325230062.0900002</v>
      </c>
      <c r="AJ183" s="11">
        <v>0</v>
      </c>
      <c r="AK183" s="11">
        <v>0</v>
      </c>
      <c r="AL183" s="11">
        <v>2369488300.0799999</v>
      </c>
      <c r="AM183" s="11">
        <v>2645922516.8400002</v>
      </c>
      <c r="AN183" s="11">
        <v>276434216.75999999</v>
      </c>
      <c r="AO183" s="11">
        <v>2645922516.8400002</v>
      </c>
      <c r="AP183" s="11">
        <v>0</v>
      </c>
      <c r="AQ183" s="11">
        <v>276434216.75999999</v>
      </c>
      <c r="AR183" t="s">
        <v>57</v>
      </c>
      <c r="AS183" s="4" t="str">
        <f t="shared" si="39"/>
        <v>Depósitos Recursos Ordinario</v>
      </c>
      <c r="AT183" t="str">
        <f t="shared" si="38"/>
        <v>20Depósitos Recursos Ordinario2325230062,09</v>
      </c>
      <c r="AU183" t="str">
        <f>+_xlfn.XLOOKUP(AT183,CRUCE!K:K,CRUCE!M:M)</f>
        <v>READY</v>
      </c>
      <c r="AV183" t="s">
        <v>1907</v>
      </c>
    </row>
    <row r="184" spans="1:48" x14ac:dyDescent="0.3">
      <c r="A184">
        <v>2023</v>
      </c>
      <c r="B184">
        <v>307</v>
      </c>
      <c r="C184">
        <v>120502019</v>
      </c>
      <c r="D184" s="5">
        <v>177</v>
      </c>
      <c r="E184" s="8" t="s">
        <v>1147</v>
      </c>
      <c r="F184">
        <v>120502019</v>
      </c>
      <c r="G184" s="8" t="s">
        <v>1148</v>
      </c>
      <c r="H184" t="s">
        <v>47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200834419.66999999</v>
      </c>
      <c r="X184" s="11">
        <v>1500369.93</v>
      </c>
      <c r="Y184" s="17">
        <v>199334049.74000001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200834419.66999999</v>
      </c>
      <c r="AG184" s="11">
        <v>1500369.93</v>
      </c>
      <c r="AH184" s="12">
        <v>199334049.74000001</v>
      </c>
      <c r="AI184" s="11">
        <v>199334049.74000001</v>
      </c>
      <c r="AJ184" s="11">
        <v>0</v>
      </c>
      <c r="AK184" s="11">
        <v>0</v>
      </c>
      <c r="AL184" s="11">
        <v>199334049.74000001</v>
      </c>
      <c r="AM184" s="11">
        <v>200834419.66999999</v>
      </c>
      <c r="AN184" s="11">
        <v>1500369.93</v>
      </c>
      <c r="AO184" s="11">
        <v>200834419.66999999</v>
      </c>
      <c r="AP184" s="11">
        <v>0</v>
      </c>
      <c r="AQ184" s="11">
        <v>1500369.93</v>
      </c>
      <c r="AR184" t="s">
        <v>129</v>
      </c>
      <c r="AS184" s="4" t="str">
        <f t="shared" si="39"/>
        <v>Depósitos Estampillas Pro-Desarrollo 30%</v>
      </c>
      <c r="AT184" t="str">
        <f t="shared" si="38"/>
        <v>177Depósitos Estampillas Pro-Desarrollo 30%199334049,74</v>
      </c>
      <c r="AU184" t="str">
        <f>+_xlfn.XLOOKUP(AT184,CRUCE!K:K,CRUCE!M:M)</f>
        <v>READY</v>
      </c>
      <c r="AV184" t="s">
        <v>1907</v>
      </c>
    </row>
    <row r="185" spans="1:48" x14ac:dyDescent="0.3">
      <c r="A185">
        <v>2023</v>
      </c>
      <c r="B185">
        <v>307</v>
      </c>
      <c r="C185">
        <v>120502020</v>
      </c>
      <c r="D185" s="5">
        <v>23</v>
      </c>
      <c r="E185" s="8" t="s">
        <v>1149</v>
      </c>
      <c r="F185">
        <v>120502020</v>
      </c>
      <c r="G185" s="8" t="s">
        <v>1150</v>
      </c>
      <c r="H185" t="s">
        <v>47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4411240.95</v>
      </c>
      <c r="X185" s="11">
        <v>30</v>
      </c>
      <c r="Y185" s="17">
        <v>4411210.95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4411240.95</v>
      </c>
      <c r="AG185" s="11">
        <v>30</v>
      </c>
      <c r="AH185" s="12">
        <v>4411210.95</v>
      </c>
      <c r="AI185" s="11">
        <v>4411210.95</v>
      </c>
      <c r="AJ185" s="11">
        <v>0</v>
      </c>
      <c r="AK185" s="11">
        <v>0</v>
      </c>
      <c r="AL185" s="11">
        <v>4411210.95</v>
      </c>
      <c r="AM185" s="11">
        <v>4411240.95</v>
      </c>
      <c r="AN185" s="11">
        <v>30</v>
      </c>
      <c r="AO185" s="11">
        <v>4411240.95</v>
      </c>
      <c r="AP185" s="11">
        <v>0</v>
      </c>
      <c r="AQ185" s="11">
        <v>30</v>
      </c>
      <c r="AR185" t="s">
        <v>1076</v>
      </c>
      <c r="AS185" s="4" t="str">
        <f t="shared" si="39"/>
        <v>Depósitos Sobretasa al ACPM</v>
      </c>
      <c r="AT185" t="str">
        <f t="shared" si="38"/>
        <v>23Depósitos Sobretasa al ACPM4411210,95</v>
      </c>
      <c r="AU185" t="str">
        <f>+_xlfn.XLOOKUP(AT185,CRUCE!K:K,CRUCE!M:M)</f>
        <v>READY</v>
      </c>
      <c r="AV185" t="s">
        <v>1907</v>
      </c>
    </row>
    <row r="186" spans="1:48" x14ac:dyDescent="0.3">
      <c r="A186">
        <v>2023</v>
      </c>
      <c r="B186">
        <v>307</v>
      </c>
      <c r="C186">
        <v>120502021</v>
      </c>
      <c r="D186" s="5">
        <v>134</v>
      </c>
      <c r="E186" s="8" t="s">
        <v>1151</v>
      </c>
      <c r="F186">
        <v>120502021</v>
      </c>
      <c r="G186" s="8" t="s">
        <v>1152</v>
      </c>
      <c r="H186" t="s">
        <v>47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153.71</v>
      </c>
      <c r="X186" s="11">
        <v>12.3</v>
      </c>
      <c r="Y186" s="17">
        <v>141.41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153.71</v>
      </c>
      <c r="AG186" s="11">
        <v>12.3</v>
      </c>
      <c r="AH186" s="12">
        <v>141.41</v>
      </c>
      <c r="AI186" s="11">
        <v>141.41</v>
      </c>
      <c r="AJ186" s="11">
        <v>0</v>
      </c>
      <c r="AK186" s="11">
        <v>0</v>
      </c>
      <c r="AL186" s="11">
        <v>141.41</v>
      </c>
      <c r="AM186" s="11">
        <v>153.71</v>
      </c>
      <c r="AN186" s="11">
        <v>12.3</v>
      </c>
      <c r="AO186" s="11">
        <v>153.71</v>
      </c>
      <c r="AP186" s="11">
        <v>0</v>
      </c>
      <c r="AQ186" s="11">
        <v>12.3</v>
      </c>
      <c r="AR186" t="s">
        <v>265</v>
      </c>
      <c r="AS186" s="4" t="str">
        <f t="shared" si="39"/>
        <v>Depósitos Material de Río</v>
      </c>
      <c r="AT186" t="str">
        <f t="shared" si="38"/>
        <v>134Depósitos Material de Río141,41</v>
      </c>
      <c r="AU186" t="str">
        <f>+_xlfn.XLOOKUP(AT186,CRUCE!K:K,CRUCE!M:M)</f>
        <v>READY</v>
      </c>
      <c r="AV186" t="s">
        <v>1907</v>
      </c>
    </row>
    <row r="187" spans="1:48" x14ac:dyDescent="0.3">
      <c r="A187">
        <v>2023</v>
      </c>
      <c r="B187">
        <v>307</v>
      </c>
      <c r="C187">
        <v>120502022</v>
      </c>
      <c r="D187" s="5">
        <v>179</v>
      </c>
      <c r="E187" s="8" t="s">
        <v>1153</v>
      </c>
      <c r="F187">
        <v>120502022</v>
      </c>
      <c r="G187" s="8" t="s">
        <v>1154</v>
      </c>
      <c r="H187" t="s">
        <v>47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227125.68</v>
      </c>
      <c r="X187" s="11">
        <v>31553.67</v>
      </c>
      <c r="Y187" s="17">
        <v>195572.01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227125.68</v>
      </c>
      <c r="AG187" s="11">
        <v>31553.67</v>
      </c>
      <c r="AH187" s="12">
        <v>195572.01</v>
      </c>
      <c r="AI187" s="11">
        <v>195572.01</v>
      </c>
      <c r="AJ187" s="11">
        <v>0</v>
      </c>
      <c r="AK187" s="11">
        <v>0</v>
      </c>
      <c r="AL187" s="11">
        <v>195572.01</v>
      </c>
      <c r="AM187" s="11">
        <v>227125.68</v>
      </c>
      <c r="AN187" s="11">
        <v>31553.67</v>
      </c>
      <c r="AO187" s="11">
        <v>227125.68</v>
      </c>
      <c r="AP187" s="11">
        <v>0</v>
      </c>
      <c r="AQ187" s="11">
        <v>31553.67</v>
      </c>
      <c r="AR187" t="s">
        <v>357</v>
      </c>
      <c r="AS187" s="4" t="str">
        <f t="shared" si="39"/>
        <v>Depósitos Derechos del Monopolio e Impuesto al Consumo Deporte</v>
      </c>
      <c r="AT187" t="str">
        <f t="shared" si="38"/>
        <v>179Depósitos Derechos del Monopolio e Impuesto al Consumo Deporte195572,01</v>
      </c>
      <c r="AU187" t="str">
        <f>+_xlfn.XLOOKUP(AT187,CRUCE!K:K,CRUCE!M:M)</f>
        <v>READY</v>
      </c>
      <c r="AV187" t="s">
        <v>1907</v>
      </c>
    </row>
    <row r="188" spans="1:48" x14ac:dyDescent="0.3">
      <c r="A188">
        <v>2023</v>
      </c>
      <c r="B188">
        <v>307</v>
      </c>
      <c r="C188">
        <v>120502025</v>
      </c>
      <c r="D188" s="5">
        <v>145</v>
      </c>
      <c r="E188" s="8" t="s">
        <v>1155</v>
      </c>
      <c r="F188">
        <v>120502025</v>
      </c>
      <c r="G188" s="8" t="s">
        <v>1156</v>
      </c>
      <c r="H188" t="s">
        <v>47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5856558.4000000004</v>
      </c>
      <c r="X188" s="11">
        <v>3426.13</v>
      </c>
      <c r="Y188" s="17">
        <v>5853132.2699999996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5856558.4000000004</v>
      </c>
      <c r="AG188" s="11">
        <v>3426.13</v>
      </c>
      <c r="AH188" s="12">
        <v>5853132.2699999996</v>
      </c>
      <c r="AI188" s="11">
        <v>5853132.2699999996</v>
      </c>
      <c r="AJ188" s="11">
        <v>0</v>
      </c>
      <c r="AK188" s="11">
        <v>0</v>
      </c>
      <c r="AL188" s="11">
        <v>5853132.2699999996</v>
      </c>
      <c r="AM188" s="11">
        <v>5856558.4000000004</v>
      </c>
      <c r="AN188" s="11">
        <v>3426.13</v>
      </c>
      <c r="AO188" s="11">
        <v>5856558.4000000004</v>
      </c>
      <c r="AP188" s="11">
        <v>0</v>
      </c>
      <c r="AQ188" s="11">
        <v>3426.13</v>
      </c>
      <c r="AR188" t="s">
        <v>84</v>
      </c>
      <c r="AS188" s="4" t="str">
        <f t="shared" si="39"/>
        <v>Depósitos Impuesto al Consumo 3% Deporte</v>
      </c>
      <c r="AT188" t="str">
        <f t="shared" si="38"/>
        <v>145Depósitos Impuesto al Consumo 3% Deporte5853132,27</v>
      </c>
      <c r="AU188" t="str">
        <f>+_xlfn.XLOOKUP(AT188,CRUCE!K:K,CRUCE!M:M)</f>
        <v>READY</v>
      </c>
      <c r="AV188" t="s">
        <v>1907</v>
      </c>
    </row>
    <row r="189" spans="1:48" hidden="1" x14ac:dyDescent="0.3">
      <c r="A189">
        <v>2023</v>
      </c>
      <c r="B189">
        <v>307</v>
      </c>
      <c r="C189">
        <v>1208</v>
      </c>
      <c r="D189" s="5" t="s">
        <v>44</v>
      </c>
      <c r="E189" s="8" t="s">
        <v>1372</v>
      </c>
      <c r="F189">
        <v>1208</v>
      </c>
      <c r="G189" s="8" t="s">
        <v>858</v>
      </c>
      <c r="H189" t="s">
        <v>47</v>
      </c>
      <c r="I189" s="11">
        <v>0</v>
      </c>
      <c r="J189" s="11">
        <v>0</v>
      </c>
      <c r="K189" s="11">
        <v>74640634</v>
      </c>
      <c r="L189" s="11">
        <v>0</v>
      </c>
      <c r="M189" s="11">
        <v>74640634</v>
      </c>
      <c r="N189" s="11">
        <v>74640634</v>
      </c>
      <c r="O189" s="11">
        <v>0</v>
      </c>
      <c r="P189" s="11">
        <v>74640634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74640634</v>
      </c>
      <c r="X189" s="11">
        <v>0</v>
      </c>
      <c r="Y189" s="17">
        <v>74640634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74640634</v>
      </c>
      <c r="AG189" s="11">
        <v>0</v>
      </c>
      <c r="AH189" s="12">
        <v>74640634</v>
      </c>
      <c r="AI189" s="11">
        <v>74640634</v>
      </c>
      <c r="AJ189" s="11">
        <v>0</v>
      </c>
      <c r="AK189" s="11">
        <v>0</v>
      </c>
      <c r="AL189" s="11">
        <v>74640634</v>
      </c>
      <c r="AM189" s="11">
        <v>74640634</v>
      </c>
      <c r="AN189" s="11">
        <v>0</v>
      </c>
      <c r="AO189" s="11">
        <v>74640634</v>
      </c>
      <c r="AP189" s="11">
        <v>0</v>
      </c>
      <c r="AQ189" s="11">
        <v>0</v>
      </c>
      <c r="AR189" t="s">
        <v>48</v>
      </c>
      <c r="AS189"/>
    </row>
    <row r="190" spans="1:48" hidden="1" x14ac:dyDescent="0.3">
      <c r="A190">
        <v>2023</v>
      </c>
      <c r="B190">
        <v>307</v>
      </c>
      <c r="C190">
        <v>120806</v>
      </c>
      <c r="D190" s="5" t="s">
        <v>44</v>
      </c>
      <c r="E190" s="8" t="s">
        <v>1373</v>
      </c>
      <c r="F190">
        <v>120806</v>
      </c>
      <c r="G190" s="8" t="s">
        <v>1374</v>
      </c>
      <c r="H190" t="s">
        <v>47</v>
      </c>
      <c r="I190" s="11">
        <v>0</v>
      </c>
      <c r="J190" s="11">
        <v>0</v>
      </c>
      <c r="K190" s="11">
        <v>74640634</v>
      </c>
      <c r="L190" s="11">
        <v>0</v>
      </c>
      <c r="M190" s="11">
        <v>74640634</v>
      </c>
      <c r="N190" s="11">
        <v>74640634</v>
      </c>
      <c r="O190" s="11">
        <v>0</v>
      </c>
      <c r="P190" s="11">
        <v>74640634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74640634</v>
      </c>
      <c r="X190" s="11">
        <v>0</v>
      </c>
      <c r="Y190" s="17">
        <v>74640634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74640634</v>
      </c>
      <c r="AG190" s="11">
        <v>0</v>
      </c>
      <c r="AH190" s="12">
        <v>74640634</v>
      </c>
      <c r="AI190" s="11">
        <v>74640634</v>
      </c>
      <c r="AJ190" s="11">
        <v>0</v>
      </c>
      <c r="AK190" s="11">
        <v>0</v>
      </c>
      <c r="AL190" s="11">
        <v>74640634</v>
      </c>
      <c r="AM190" s="11">
        <v>74640634</v>
      </c>
      <c r="AN190" s="11">
        <v>0</v>
      </c>
      <c r="AO190" s="11">
        <v>74640634</v>
      </c>
      <c r="AP190" s="11">
        <v>0</v>
      </c>
      <c r="AQ190" s="11">
        <v>0</v>
      </c>
      <c r="AR190" t="s">
        <v>48</v>
      </c>
      <c r="AS190"/>
    </row>
    <row r="191" spans="1:48" x14ac:dyDescent="0.3">
      <c r="A191">
        <v>2023</v>
      </c>
      <c r="B191">
        <v>307</v>
      </c>
      <c r="C191">
        <v>120806002</v>
      </c>
      <c r="D191" s="5">
        <v>235</v>
      </c>
      <c r="E191" s="8" t="s">
        <v>1375</v>
      </c>
      <c r="F191">
        <v>120806002</v>
      </c>
      <c r="G191" s="8" t="s">
        <v>1376</v>
      </c>
      <c r="H191" t="s">
        <v>47</v>
      </c>
      <c r="I191" s="11">
        <v>0</v>
      </c>
      <c r="J191" s="11">
        <v>0</v>
      </c>
      <c r="K191" s="11">
        <v>74640634</v>
      </c>
      <c r="L191" s="11">
        <v>0</v>
      </c>
      <c r="M191" s="11">
        <v>74640634</v>
      </c>
      <c r="N191" s="11">
        <v>74640634</v>
      </c>
      <c r="O191" s="11">
        <v>0</v>
      </c>
      <c r="P191" s="11">
        <v>74640634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74640634</v>
      </c>
      <c r="X191" s="11">
        <v>0</v>
      </c>
      <c r="Y191" s="17">
        <v>74640634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74640634</v>
      </c>
      <c r="AG191" s="11">
        <v>0</v>
      </c>
      <c r="AH191" s="12">
        <v>74640634</v>
      </c>
      <c r="AI191" s="11">
        <v>74640634</v>
      </c>
      <c r="AJ191" s="11">
        <v>0</v>
      </c>
      <c r="AK191" s="11">
        <v>0</v>
      </c>
      <c r="AL191" s="11">
        <v>74640634</v>
      </c>
      <c r="AM191" s="11">
        <v>74640634</v>
      </c>
      <c r="AN191" s="11">
        <v>0</v>
      </c>
      <c r="AO191" s="11">
        <v>74640634</v>
      </c>
      <c r="AP191" s="11">
        <v>0</v>
      </c>
      <c r="AQ191" s="11">
        <v>0</v>
      </c>
      <c r="AR191" t="s">
        <v>1377</v>
      </c>
      <c r="AS191" s="4" t="str">
        <f>+G191</f>
        <v>Condicionadas a la adquisición de un activo</v>
      </c>
      <c r="AT191" t="str">
        <f>+D191&amp;AS191&amp;Y191</f>
        <v>235Condicionadas a la adquisición de un activo74640634</v>
      </c>
      <c r="AU191" t="str">
        <f>+_xlfn.XLOOKUP(AT191,CRUCE!K:K,CRUCE!M:M)</f>
        <v>READY</v>
      </c>
      <c r="AV191" t="s">
        <v>1907</v>
      </c>
    </row>
    <row r="192" spans="1:48" hidden="1" x14ac:dyDescent="0.3">
      <c r="A192">
        <v>2023</v>
      </c>
      <c r="B192">
        <v>307</v>
      </c>
      <c r="C192">
        <v>1209</v>
      </c>
      <c r="D192" s="5" t="s">
        <v>44</v>
      </c>
      <c r="E192" s="8" t="s">
        <v>1378</v>
      </c>
      <c r="F192">
        <v>1209</v>
      </c>
      <c r="G192" s="8" t="s">
        <v>1331</v>
      </c>
      <c r="H192" t="s">
        <v>47</v>
      </c>
      <c r="I192" s="11">
        <v>175218474</v>
      </c>
      <c r="J192" s="11">
        <v>175218474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175218474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21407213</v>
      </c>
      <c r="X192" s="11">
        <v>0</v>
      </c>
      <c r="Y192" s="17">
        <v>21407213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21407213</v>
      </c>
      <c r="AG192" s="11">
        <v>0</v>
      </c>
      <c r="AH192" s="12">
        <v>21407213</v>
      </c>
      <c r="AI192" s="11">
        <v>21407213</v>
      </c>
      <c r="AJ192" s="11">
        <v>0</v>
      </c>
      <c r="AK192" s="11">
        <v>0</v>
      </c>
      <c r="AL192" s="11">
        <v>21407213</v>
      </c>
      <c r="AM192" s="11">
        <v>21407213</v>
      </c>
      <c r="AN192" s="11">
        <v>0</v>
      </c>
      <c r="AO192" s="11">
        <v>21407213</v>
      </c>
      <c r="AP192" s="11">
        <v>0</v>
      </c>
      <c r="AQ192" s="11">
        <v>0</v>
      </c>
      <c r="AR192" t="s">
        <v>48</v>
      </c>
      <c r="AS192"/>
    </row>
    <row r="193" spans="1:48" x14ac:dyDescent="0.3">
      <c r="A193">
        <v>2023</v>
      </c>
      <c r="B193">
        <v>307</v>
      </c>
      <c r="C193">
        <v>120905</v>
      </c>
      <c r="D193" s="5">
        <v>50</v>
      </c>
      <c r="E193" s="8" t="s">
        <v>1379</v>
      </c>
      <c r="F193">
        <v>120905</v>
      </c>
      <c r="G193" s="8" t="s">
        <v>1333</v>
      </c>
      <c r="H193" t="s">
        <v>47</v>
      </c>
      <c r="I193" s="11">
        <v>175218474</v>
      </c>
      <c r="J193" s="11">
        <v>175218474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175218474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21407213</v>
      </c>
      <c r="X193" s="11">
        <v>0</v>
      </c>
      <c r="Y193" s="17">
        <v>21407213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21407213</v>
      </c>
      <c r="AG193" s="11">
        <v>0</v>
      </c>
      <c r="AH193" s="12">
        <v>21407213</v>
      </c>
      <c r="AI193" s="11">
        <v>21407213</v>
      </c>
      <c r="AJ193" s="11">
        <v>0</v>
      </c>
      <c r="AK193" s="11">
        <v>0</v>
      </c>
      <c r="AL193" s="11">
        <v>21407213</v>
      </c>
      <c r="AM193" s="11">
        <v>21407213</v>
      </c>
      <c r="AN193" s="11">
        <v>0</v>
      </c>
      <c r="AO193" s="11">
        <v>21407213</v>
      </c>
      <c r="AP193" s="11">
        <v>0</v>
      </c>
      <c r="AQ193" s="11">
        <v>0</v>
      </c>
      <c r="AR193" t="s">
        <v>1334</v>
      </c>
      <c r="AS193" s="4" t="str">
        <f>+G193</f>
        <v>Recuperación cuotas partes pensionales</v>
      </c>
      <c r="AT193" t="str">
        <f>+D193&amp;AS193&amp;Y193</f>
        <v>50Recuperación cuotas partes pensionales21407213</v>
      </c>
      <c r="AU193" t="e">
        <f>+_xlfn.XLOOKUP(AT193,CRUCE!K:K,CRUCE!M:M)</f>
        <v>#N/A</v>
      </c>
      <c r="AV193" t="s">
        <v>1907</v>
      </c>
    </row>
    <row r="194" spans="1:48" hidden="1" x14ac:dyDescent="0.3">
      <c r="A194">
        <v>2023</v>
      </c>
      <c r="B194">
        <v>307</v>
      </c>
      <c r="C194">
        <v>1210</v>
      </c>
      <c r="D194" s="5" t="s">
        <v>44</v>
      </c>
      <c r="E194" s="8" t="s">
        <v>1380</v>
      </c>
      <c r="F194">
        <v>1210</v>
      </c>
      <c r="G194" s="8" t="s">
        <v>474</v>
      </c>
      <c r="H194" t="s">
        <v>47</v>
      </c>
      <c r="I194" s="11">
        <v>0</v>
      </c>
      <c r="J194" s="11">
        <v>0</v>
      </c>
      <c r="K194" s="11">
        <v>121659918729.03</v>
      </c>
      <c r="L194" s="11">
        <v>44352720.460000001</v>
      </c>
      <c r="M194" s="11">
        <v>121615566008.57001</v>
      </c>
      <c r="N194" s="11">
        <v>121659918729.03</v>
      </c>
      <c r="O194" s="11">
        <v>44352720.460000001</v>
      </c>
      <c r="P194" s="11">
        <v>121615566008.57001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137670752027.95999</v>
      </c>
      <c r="X194" s="11">
        <v>35943185361.459999</v>
      </c>
      <c r="Y194" s="17">
        <v>101727566666.5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137670752027.95999</v>
      </c>
      <c r="AG194" s="11">
        <v>35943185361.459999</v>
      </c>
      <c r="AH194" s="12">
        <v>101727566666.5</v>
      </c>
      <c r="AI194" s="11">
        <v>101727566666.5</v>
      </c>
      <c r="AJ194" s="11">
        <v>86886891408.570007</v>
      </c>
      <c r="AK194" s="11">
        <v>86886891408.570007</v>
      </c>
      <c r="AL194" s="11">
        <v>14840675257.93</v>
      </c>
      <c r="AM194" s="11">
        <v>14840675257.93</v>
      </c>
      <c r="AN194" s="11">
        <v>0</v>
      </c>
      <c r="AO194" s="11">
        <v>14840675257.93</v>
      </c>
      <c r="AP194" s="11">
        <v>0</v>
      </c>
      <c r="AQ194" s="11">
        <v>0</v>
      </c>
      <c r="AR194" t="s">
        <v>48</v>
      </c>
      <c r="AS194"/>
    </row>
    <row r="195" spans="1:48" hidden="1" x14ac:dyDescent="0.3">
      <c r="A195">
        <v>2023</v>
      </c>
      <c r="B195">
        <v>307</v>
      </c>
      <c r="C195">
        <v>121002</v>
      </c>
      <c r="D195" s="5" t="s">
        <v>44</v>
      </c>
      <c r="E195" s="8" t="s">
        <v>1381</v>
      </c>
      <c r="F195">
        <v>121002</v>
      </c>
      <c r="G195" s="8" t="s">
        <v>476</v>
      </c>
      <c r="H195" t="s">
        <v>47</v>
      </c>
      <c r="I195" s="11">
        <v>0</v>
      </c>
      <c r="J195" s="11">
        <v>0</v>
      </c>
      <c r="K195" s="11">
        <v>121659918729.03</v>
      </c>
      <c r="L195" s="11">
        <v>44352720.460000001</v>
      </c>
      <c r="M195" s="11">
        <v>121615566008.57001</v>
      </c>
      <c r="N195" s="11">
        <v>121659918729.03</v>
      </c>
      <c r="O195" s="11">
        <v>44352720.460000001</v>
      </c>
      <c r="P195" s="11">
        <v>121615566008.57001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137670752027.95999</v>
      </c>
      <c r="X195" s="11">
        <v>35943185361.459999</v>
      </c>
      <c r="Y195" s="17">
        <v>101727566666.5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137670752027.95999</v>
      </c>
      <c r="AG195" s="11">
        <v>35943185361.459999</v>
      </c>
      <c r="AH195" s="12">
        <v>101727566666.5</v>
      </c>
      <c r="AI195" s="11">
        <v>101727566666.5</v>
      </c>
      <c r="AJ195" s="11">
        <v>86886891408.570007</v>
      </c>
      <c r="AK195" s="11">
        <v>86886891408.570007</v>
      </c>
      <c r="AL195" s="11">
        <v>14840675257.93</v>
      </c>
      <c r="AM195" s="11">
        <v>14840675257.93</v>
      </c>
      <c r="AN195" s="11">
        <v>0</v>
      </c>
      <c r="AO195" s="11">
        <v>14840675257.93</v>
      </c>
      <c r="AP195" s="11">
        <v>0</v>
      </c>
      <c r="AQ195" s="11">
        <v>0</v>
      </c>
      <c r="AR195" t="s">
        <v>48</v>
      </c>
      <c r="AS195"/>
    </row>
    <row r="196" spans="1:48" hidden="1" x14ac:dyDescent="0.3">
      <c r="A196">
        <v>2023</v>
      </c>
      <c r="B196">
        <v>307</v>
      </c>
      <c r="C196">
        <v>121002001</v>
      </c>
      <c r="D196" s="5" t="s">
        <v>44</v>
      </c>
      <c r="E196" s="8" t="s">
        <v>1382</v>
      </c>
      <c r="F196">
        <v>121002001</v>
      </c>
      <c r="G196" s="8" t="s">
        <v>478</v>
      </c>
      <c r="H196" t="s">
        <v>47</v>
      </c>
      <c r="I196" s="11">
        <v>0</v>
      </c>
      <c r="J196" s="11">
        <v>0</v>
      </c>
      <c r="K196" s="11">
        <v>18971515896</v>
      </c>
      <c r="L196" s="11">
        <v>0</v>
      </c>
      <c r="M196" s="11">
        <v>18971515896</v>
      </c>
      <c r="N196" s="11">
        <v>18971515896</v>
      </c>
      <c r="O196" s="11">
        <v>0</v>
      </c>
      <c r="P196" s="11">
        <v>18971515896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20120348537</v>
      </c>
      <c r="X196" s="11">
        <v>1148832641</v>
      </c>
      <c r="Y196" s="17">
        <v>18971515896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20120348537</v>
      </c>
      <c r="AG196" s="11">
        <v>1148832641</v>
      </c>
      <c r="AH196" s="12">
        <v>18971515896</v>
      </c>
      <c r="AI196" s="11">
        <v>18971515896</v>
      </c>
      <c r="AJ196" s="11">
        <v>18971515896</v>
      </c>
      <c r="AK196" s="11">
        <v>18971515896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t="s">
        <v>48</v>
      </c>
      <c r="AS196"/>
    </row>
    <row r="197" spans="1:48" x14ac:dyDescent="0.3">
      <c r="A197">
        <v>2023</v>
      </c>
      <c r="B197">
        <v>307</v>
      </c>
      <c r="C197">
        <v>12100200101</v>
      </c>
      <c r="D197" s="5">
        <v>88</v>
      </c>
      <c r="E197" s="8" t="s">
        <v>1383</v>
      </c>
      <c r="F197">
        <v>12100200101</v>
      </c>
      <c r="G197" s="8" t="s">
        <v>480</v>
      </c>
      <c r="H197" t="s">
        <v>47</v>
      </c>
      <c r="I197" s="11">
        <v>0</v>
      </c>
      <c r="J197" s="11">
        <v>0</v>
      </c>
      <c r="K197" s="11">
        <v>18971515896</v>
      </c>
      <c r="L197" s="11">
        <v>0</v>
      </c>
      <c r="M197" s="11">
        <v>18971515896</v>
      </c>
      <c r="N197" s="11">
        <v>18971515896</v>
      </c>
      <c r="O197" s="11">
        <v>0</v>
      </c>
      <c r="P197" s="11">
        <v>18971515896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20120348537</v>
      </c>
      <c r="X197" s="11">
        <v>1148832641</v>
      </c>
      <c r="Y197" s="17">
        <v>18971515896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20120348537</v>
      </c>
      <c r="AG197" s="11">
        <v>1148832641</v>
      </c>
      <c r="AH197" s="12">
        <v>18971515896</v>
      </c>
      <c r="AI197" s="11">
        <v>18971515896</v>
      </c>
      <c r="AJ197" s="11">
        <v>18971515896</v>
      </c>
      <c r="AK197" s="11">
        <v>18971515896</v>
      </c>
      <c r="AL197" s="11">
        <v>0</v>
      </c>
      <c r="AM197" s="11">
        <v>0</v>
      </c>
      <c r="AN197" s="11">
        <v>0</v>
      </c>
      <c r="AO197" s="11">
        <v>0</v>
      </c>
      <c r="AP197" s="11">
        <v>0</v>
      </c>
      <c r="AQ197" s="11">
        <v>0</v>
      </c>
      <c r="AR197" t="s">
        <v>471</v>
      </c>
      <c r="AS197" s="4" t="str">
        <f>+G197</f>
        <v xml:space="preserve">Superávit Recurso Ordinario </v>
      </c>
      <c r="AT197" t="str">
        <f>+D197&amp;AS197&amp;Y197</f>
        <v>88Superávit Recurso Ordinario 18971515896</v>
      </c>
      <c r="AU197" t="str">
        <f>+_xlfn.XLOOKUP(AT197,CRUCE!K:K,CRUCE!M:M)</f>
        <v>READY</v>
      </c>
      <c r="AV197" t="s">
        <v>1907</v>
      </c>
    </row>
    <row r="198" spans="1:48" hidden="1" x14ac:dyDescent="0.3">
      <c r="A198">
        <v>2023</v>
      </c>
      <c r="B198">
        <v>307</v>
      </c>
      <c r="C198">
        <v>121002002</v>
      </c>
      <c r="D198" s="5" t="s">
        <v>44</v>
      </c>
      <c r="E198" s="8" t="s">
        <v>1384</v>
      </c>
      <c r="F198">
        <v>121002002</v>
      </c>
      <c r="G198" s="8" t="s">
        <v>482</v>
      </c>
      <c r="H198" t="s">
        <v>47</v>
      </c>
      <c r="I198" s="11">
        <v>0</v>
      </c>
      <c r="J198" s="11">
        <v>0</v>
      </c>
      <c r="K198" s="11">
        <v>102688402833.03</v>
      </c>
      <c r="L198" s="11">
        <v>44352720.460000001</v>
      </c>
      <c r="M198" s="11">
        <v>102644050112.57001</v>
      </c>
      <c r="N198" s="11">
        <v>102688402833.03</v>
      </c>
      <c r="O198" s="11">
        <v>44352720.460000001</v>
      </c>
      <c r="P198" s="11">
        <v>102644050112.57001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117550403490.96001</v>
      </c>
      <c r="X198" s="11">
        <v>34794352720.459999</v>
      </c>
      <c r="Y198" s="17">
        <v>82756050770.5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117550403490.96001</v>
      </c>
      <c r="AG198" s="11">
        <v>34794352720.459999</v>
      </c>
      <c r="AH198" s="12">
        <v>82756050770.5</v>
      </c>
      <c r="AI198" s="11">
        <v>82756050770.5</v>
      </c>
      <c r="AJ198" s="11">
        <v>67915375512.57</v>
      </c>
      <c r="AK198" s="11">
        <v>67915375512.57</v>
      </c>
      <c r="AL198" s="11">
        <v>14840675257.93</v>
      </c>
      <c r="AM198" s="11">
        <v>14840675257.93</v>
      </c>
      <c r="AN198" s="11">
        <v>0</v>
      </c>
      <c r="AO198" s="11">
        <v>14840675257.93</v>
      </c>
      <c r="AP198" s="11">
        <v>0</v>
      </c>
      <c r="AQ198" s="11">
        <v>0</v>
      </c>
      <c r="AR198" t="s">
        <v>48</v>
      </c>
      <c r="AS198"/>
    </row>
    <row r="199" spans="1:48" x14ac:dyDescent="0.3">
      <c r="A199">
        <v>2023</v>
      </c>
      <c r="B199">
        <v>307</v>
      </c>
      <c r="C199">
        <v>12100200201</v>
      </c>
      <c r="D199" s="5">
        <v>82</v>
      </c>
      <c r="E199" s="8" t="s">
        <v>1385</v>
      </c>
      <c r="F199">
        <v>12100200201</v>
      </c>
      <c r="G199" s="8" t="s">
        <v>484</v>
      </c>
      <c r="H199" t="s">
        <v>47</v>
      </c>
      <c r="I199" s="11">
        <v>0</v>
      </c>
      <c r="J199" s="11">
        <v>0</v>
      </c>
      <c r="K199" s="11">
        <v>5442470182.1000004</v>
      </c>
      <c r="L199" s="11">
        <v>0</v>
      </c>
      <c r="M199" s="11">
        <v>5442470182.1000004</v>
      </c>
      <c r="N199" s="11">
        <v>5442470182.1000004</v>
      </c>
      <c r="O199" s="11">
        <v>0</v>
      </c>
      <c r="P199" s="11">
        <v>5442470182.1000004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5442470182.1000004</v>
      </c>
      <c r="X199" s="11">
        <v>0</v>
      </c>
      <c r="Y199" s="17">
        <v>5442470182.1000004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5442470182.1000004</v>
      </c>
      <c r="AG199" s="11">
        <v>0</v>
      </c>
      <c r="AH199" s="12">
        <v>5442470182.1000004</v>
      </c>
      <c r="AI199" s="11">
        <v>5442470182.1000004</v>
      </c>
      <c r="AJ199" s="11">
        <v>5442470182.1000004</v>
      </c>
      <c r="AK199" s="11">
        <v>5442470182.1000004</v>
      </c>
      <c r="AL199" s="11">
        <v>0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t="s">
        <v>485</v>
      </c>
      <c r="AS199" s="4" t="str">
        <f t="shared" ref="AS199:AS200" si="40">+G199</f>
        <v>Superávit Estampilla Pro-Desarrollo</v>
      </c>
      <c r="AT199" t="str">
        <f t="shared" ref="AT199:AT232" si="41">+D199&amp;AS199&amp;Y199</f>
        <v>82Superávit Estampilla Pro-Desarrollo5442470182,1</v>
      </c>
      <c r="AU199" t="str">
        <f>+_xlfn.XLOOKUP(AT199,CRUCE!K:K,CRUCE!M:M)</f>
        <v>READY</v>
      </c>
      <c r="AV199" t="s">
        <v>1907</v>
      </c>
    </row>
    <row r="200" spans="1:48" x14ac:dyDescent="0.3">
      <c r="A200">
        <v>2023</v>
      </c>
      <c r="B200">
        <v>307</v>
      </c>
      <c r="C200">
        <v>12100200202</v>
      </c>
      <c r="D200" s="5">
        <v>157</v>
      </c>
      <c r="E200" s="8" t="s">
        <v>1386</v>
      </c>
      <c r="F200">
        <v>12100200202</v>
      </c>
      <c r="G200" s="8" t="s">
        <v>1000</v>
      </c>
      <c r="H200" t="s">
        <v>47</v>
      </c>
      <c r="I200" s="11">
        <v>0</v>
      </c>
      <c r="J200" s="11">
        <v>0</v>
      </c>
      <c r="K200" s="11">
        <v>34750000000</v>
      </c>
      <c r="L200" s="11">
        <v>0</v>
      </c>
      <c r="M200" s="11">
        <v>34750000000</v>
      </c>
      <c r="N200" s="11">
        <v>34750000000</v>
      </c>
      <c r="O200" s="11">
        <v>0</v>
      </c>
      <c r="P200" s="11">
        <v>34750000000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49590675257.93</v>
      </c>
      <c r="X200" s="11">
        <v>34750000000</v>
      </c>
      <c r="Y200" s="17">
        <v>14840675257.93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49590675257.93</v>
      </c>
      <c r="AG200" s="11">
        <v>34750000000</v>
      </c>
      <c r="AH200" s="12">
        <v>14840675257.93</v>
      </c>
      <c r="AI200" s="11">
        <v>14840675257.93</v>
      </c>
      <c r="AJ200" s="11">
        <v>0</v>
      </c>
      <c r="AK200" s="11">
        <v>0</v>
      </c>
      <c r="AL200" s="11">
        <v>14840675257.93</v>
      </c>
      <c r="AM200" s="11">
        <v>14840675257.93</v>
      </c>
      <c r="AN200" s="11">
        <v>0</v>
      </c>
      <c r="AO200" s="11">
        <v>14840675257.93</v>
      </c>
      <c r="AP200" s="11">
        <v>0</v>
      </c>
      <c r="AQ200" s="11">
        <v>0</v>
      </c>
      <c r="AR200" t="s">
        <v>1001</v>
      </c>
      <c r="AS200" s="4" t="str">
        <f t="shared" si="40"/>
        <v>Superávit Recursos del Crédito</v>
      </c>
      <c r="AT200" t="str">
        <f t="shared" si="41"/>
        <v>157Superávit Recursos del Crédito14840675257,93</v>
      </c>
      <c r="AU200" t="str">
        <f>+_xlfn.XLOOKUP(AT200,CRUCE!K:K,CRUCE!M:M)</f>
        <v>READY</v>
      </c>
      <c r="AV200" t="s">
        <v>1907</v>
      </c>
    </row>
    <row r="201" spans="1:48" x14ac:dyDescent="0.3">
      <c r="A201">
        <v>2023</v>
      </c>
      <c r="B201">
        <v>307</v>
      </c>
      <c r="C201">
        <v>12100200206</v>
      </c>
      <c r="D201" s="5">
        <v>89</v>
      </c>
      <c r="E201" s="8" t="s">
        <v>486</v>
      </c>
      <c r="F201">
        <v>12100200206</v>
      </c>
      <c r="G201" s="8" t="s">
        <v>487</v>
      </c>
      <c r="H201" t="s">
        <v>47</v>
      </c>
      <c r="I201" s="11">
        <v>0</v>
      </c>
      <c r="J201" s="11">
        <v>0</v>
      </c>
      <c r="K201" s="11">
        <v>1880477394.52</v>
      </c>
      <c r="L201" s="11">
        <v>0</v>
      </c>
      <c r="M201" s="11">
        <v>1880477394.52</v>
      </c>
      <c r="N201" s="11">
        <v>1880477394.52</v>
      </c>
      <c r="O201" s="11">
        <v>0</v>
      </c>
      <c r="P201" s="11">
        <v>1880477394.52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1880477394.52</v>
      </c>
      <c r="X201" s="11">
        <v>0</v>
      </c>
      <c r="Y201" s="17">
        <v>1880477394.52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1880477394.52</v>
      </c>
      <c r="AG201" s="11">
        <v>0</v>
      </c>
      <c r="AH201" s="12">
        <v>1880477394.52</v>
      </c>
      <c r="AI201" s="11">
        <v>1880477394.52</v>
      </c>
      <c r="AJ201" s="11">
        <v>1880477394.52</v>
      </c>
      <c r="AK201" s="11">
        <v>1880477394.52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t="s">
        <v>488</v>
      </c>
      <c r="AS201" s="4" t="str">
        <f>+G201</f>
        <v xml:space="preserve">Superávit Sobretasa ACPM  </v>
      </c>
      <c r="AT201" t="str">
        <f t="shared" si="41"/>
        <v>89Superávit Sobretasa ACPM  1880477394,52</v>
      </c>
      <c r="AU201" t="str">
        <f>+_xlfn.XLOOKUP(AT201,CRUCE!K:K,CRUCE!M:M)</f>
        <v>READY</v>
      </c>
      <c r="AV201" t="s">
        <v>1907</v>
      </c>
    </row>
    <row r="202" spans="1:48" x14ac:dyDescent="0.3">
      <c r="A202">
        <v>2023</v>
      </c>
      <c r="B202">
        <v>307</v>
      </c>
      <c r="C202">
        <v>12100200207</v>
      </c>
      <c r="D202" s="5">
        <v>91</v>
      </c>
      <c r="E202" s="8" t="s">
        <v>1387</v>
      </c>
      <c r="F202">
        <v>12100200207</v>
      </c>
      <c r="G202" s="8" t="s">
        <v>490</v>
      </c>
      <c r="H202" t="s">
        <v>47</v>
      </c>
      <c r="I202" s="11">
        <v>0</v>
      </c>
      <c r="J202" s="11">
        <v>0</v>
      </c>
      <c r="K202" s="11">
        <v>1660656453.3699999</v>
      </c>
      <c r="L202" s="11">
        <v>0</v>
      </c>
      <c r="M202" s="11">
        <v>1660656453.3699999</v>
      </c>
      <c r="N202" s="11">
        <v>1660656453.3699999</v>
      </c>
      <c r="O202" s="11">
        <v>0</v>
      </c>
      <c r="P202" s="11">
        <v>1660656453.3699999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1660656453.3699999</v>
      </c>
      <c r="X202" s="11">
        <v>0</v>
      </c>
      <c r="Y202" s="17">
        <v>1660656453.3699999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1660656453.3699999</v>
      </c>
      <c r="AG202" s="11">
        <v>0</v>
      </c>
      <c r="AH202" s="12">
        <v>1660656453.3699999</v>
      </c>
      <c r="AI202" s="11">
        <v>1660656453.3699999</v>
      </c>
      <c r="AJ202" s="11">
        <v>1660656453.3699999</v>
      </c>
      <c r="AK202" s="11">
        <v>1660656453.3699999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t="s">
        <v>491</v>
      </c>
      <c r="AS202" s="4" t="str">
        <f t="shared" ref="AS202:AS209" si="42">+G202</f>
        <v xml:space="preserve">Superávit Recurso Destinado del Monopolio </v>
      </c>
      <c r="AT202" t="str">
        <f t="shared" si="41"/>
        <v>91Superávit Recurso Destinado del Monopolio 1660656453,37</v>
      </c>
      <c r="AU202" t="str">
        <f>+_xlfn.XLOOKUP(AT202,CRUCE!K:K,CRUCE!M:M)</f>
        <v>READY</v>
      </c>
      <c r="AV202" t="s">
        <v>1907</v>
      </c>
    </row>
    <row r="203" spans="1:48" x14ac:dyDescent="0.3">
      <c r="A203">
        <v>2023</v>
      </c>
      <c r="B203">
        <v>307</v>
      </c>
      <c r="C203">
        <v>12100200209</v>
      </c>
      <c r="D203" s="5">
        <v>92</v>
      </c>
      <c r="E203" s="8" t="s">
        <v>492</v>
      </c>
      <c r="F203">
        <v>12100200209</v>
      </c>
      <c r="G203" s="8" t="s">
        <v>493</v>
      </c>
      <c r="H203" t="s">
        <v>47</v>
      </c>
      <c r="I203" s="11">
        <v>0</v>
      </c>
      <c r="J203" s="11">
        <v>0</v>
      </c>
      <c r="K203" s="11">
        <v>4131423250.1399999</v>
      </c>
      <c r="L203" s="11">
        <v>0</v>
      </c>
      <c r="M203" s="11">
        <v>4131423250.1399999</v>
      </c>
      <c r="N203" s="11">
        <v>4131423250.1399999</v>
      </c>
      <c r="O203" s="11">
        <v>0</v>
      </c>
      <c r="P203" s="11">
        <v>4131423250.1399999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4131423250.1399999</v>
      </c>
      <c r="X203" s="11">
        <v>0</v>
      </c>
      <c r="Y203" s="17">
        <v>4131423250.1399999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4131423250.1399999</v>
      </c>
      <c r="AG203" s="11">
        <v>0</v>
      </c>
      <c r="AH203" s="12">
        <v>4131423250.1399999</v>
      </c>
      <c r="AI203" s="11">
        <v>4131423250.1399999</v>
      </c>
      <c r="AJ203" s="11">
        <v>4131423250.1399999</v>
      </c>
      <c r="AK203" s="11">
        <v>4131423250.1399999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t="s">
        <v>494</v>
      </c>
      <c r="AS203" s="4" t="str">
        <f t="shared" si="42"/>
        <v xml:space="preserve">Superávit Fondo de Seguridad Ciudadana </v>
      </c>
      <c r="AT203" t="str">
        <f t="shared" si="41"/>
        <v>92Superávit Fondo de Seguridad Ciudadana 4131423250,14</v>
      </c>
      <c r="AU203" t="str">
        <f>+_xlfn.XLOOKUP(AT203,CRUCE!K:K,CRUCE!M:M)</f>
        <v>READY</v>
      </c>
      <c r="AV203" t="s">
        <v>1907</v>
      </c>
    </row>
    <row r="204" spans="1:48" x14ac:dyDescent="0.3">
      <c r="A204">
        <v>2023</v>
      </c>
      <c r="B204">
        <v>307</v>
      </c>
      <c r="C204">
        <v>12100200213</v>
      </c>
      <c r="D204" s="5">
        <v>186</v>
      </c>
      <c r="E204" s="8" t="s">
        <v>1164</v>
      </c>
      <c r="F204">
        <v>12100200213</v>
      </c>
      <c r="G204" s="8" t="s">
        <v>1023</v>
      </c>
      <c r="H204" t="s">
        <v>47</v>
      </c>
      <c r="I204" s="11">
        <v>0</v>
      </c>
      <c r="J204" s="11">
        <v>0</v>
      </c>
      <c r="K204" s="11">
        <v>150307.35</v>
      </c>
      <c r="L204" s="11">
        <v>0</v>
      </c>
      <c r="M204" s="11">
        <v>150307.35</v>
      </c>
      <c r="N204" s="11">
        <v>150307.35</v>
      </c>
      <c r="O204" s="11">
        <v>0</v>
      </c>
      <c r="P204" s="11">
        <v>150307.35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150307.35</v>
      </c>
      <c r="X204" s="11">
        <v>0</v>
      </c>
      <c r="Y204" s="17">
        <v>150307.35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150307.35</v>
      </c>
      <c r="AG204" s="11">
        <v>0</v>
      </c>
      <c r="AH204" s="12">
        <v>150307.35</v>
      </c>
      <c r="AI204" s="11">
        <v>150307.35</v>
      </c>
      <c r="AJ204" s="11">
        <v>150307.35</v>
      </c>
      <c r="AK204" s="11">
        <v>150307.35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t="s">
        <v>538</v>
      </c>
      <c r="AS204" s="4" t="str">
        <f t="shared" si="42"/>
        <v>Superávit Extracción Material De Rio Minas Y Otros</v>
      </c>
      <c r="AT204" t="str">
        <f t="shared" si="41"/>
        <v>186Superávit Extracción Material De Rio Minas Y Otros150307,35</v>
      </c>
      <c r="AU204" t="str">
        <f>+_xlfn.XLOOKUP(AT204,CRUCE!K:K,CRUCE!M:M)</f>
        <v>READY</v>
      </c>
      <c r="AV204" t="s">
        <v>1907</v>
      </c>
    </row>
    <row r="205" spans="1:48" x14ac:dyDescent="0.3">
      <c r="A205">
        <v>2023</v>
      </c>
      <c r="B205">
        <v>307</v>
      </c>
      <c r="C205">
        <v>12100200218</v>
      </c>
      <c r="D205" s="5">
        <v>195</v>
      </c>
      <c r="E205" s="8" t="s">
        <v>498</v>
      </c>
      <c r="F205">
        <v>12100200218</v>
      </c>
      <c r="G205" s="8" t="s">
        <v>499</v>
      </c>
      <c r="H205" t="s">
        <v>47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7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2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t="s">
        <v>500</v>
      </c>
      <c r="AS205" s="4" t="str">
        <f t="shared" si="42"/>
        <v>Superávit Reintegro Recursos del Credito</v>
      </c>
      <c r="AT205" t="str">
        <f t="shared" si="41"/>
        <v>195Superávit Reintegro Recursos del Credito0</v>
      </c>
      <c r="AU205" t="str">
        <f>+_xlfn.XLOOKUP(AT205,CRUCE!K:K,CRUCE!M:M)</f>
        <v>READY</v>
      </c>
      <c r="AV205" t="s">
        <v>1907</v>
      </c>
    </row>
    <row r="206" spans="1:48" x14ac:dyDescent="0.3">
      <c r="A206">
        <v>2023</v>
      </c>
      <c r="B206">
        <v>307</v>
      </c>
      <c r="C206">
        <v>12100200219</v>
      </c>
      <c r="D206" s="5">
        <v>90</v>
      </c>
      <c r="E206" s="8" t="s">
        <v>501</v>
      </c>
      <c r="F206">
        <v>12100200219</v>
      </c>
      <c r="G206" s="8" t="s">
        <v>502</v>
      </c>
      <c r="H206" t="s">
        <v>47</v>
      </c>
      <c r="I206" s="11">
        <v>0</v>
      </c>
      <c r="J206" s="11">
        <v>0</v>
      </c>
      <c r="K206" s="11">
        <v>19052645.84</v>
      </c>
      <c r="L206" s="11">
        <v>0</v>
      </c>
      <c r="M206" s="11">
        <v>19052645.84</v>
      </c>
      <c r="N206" s="11">
        <v>19052645.84</v>
      </c>
      <c r="O206" s="11">
        <v>0</v>
      </c>
      <c r="P206" s="11">
        <v>19052645.84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19052645.84</v>
      </c>
      <c r="X206" s="11">
        <v>0</v>
      </c>
      <c r="Y206" s="17">
        <v>19052645.84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19052645.84</v>
      </c>
      <c r="AG206" s="11">
        <v>0</v>
      </c>
      <c r="AH206" s="12">
        <v>19052645.84</v>
      </c>
      <c r="AI206" s="11">
        <v>19052645.84</v>
      </c>
      <c r="AJ206" s="11">
        <v>19052645.84</v>
      </c>
      <c r="AK206" s="11">
        <v>19052645.84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t="s">
        <v>503</v>
      </c>
      <c r="AS206" s="4" t="str">
        <f t="shared" si="42"/>
        <v>Superavít SGP Agua Potable</v>
      </c>
      <c r="AT206" t="str">
        <f t="shared" si="41"/>
        <v>90Superavít SGP Agua Potable19052645,84</v>
      </c>
      <c r="AU206" t="str">
        <f>+_xlfn.XLOOKUP(AT206,CRUCE!K:K,CRUCE!M:M)</f>
        <v>READY</v>
      </c>
      <c r="AV206" t="s">
        <v>1907</v>
      </c>
    </row>
    <row r="207" spans="1:48" x14ac:dyDescent="0.3">
      <c r="A207">
        <v>2023</v>
      </c>
      <c r="B207">
        <v>307</v>
      </c>
      <c r="C207">
        <v>12100200220</v>
      </c>
      <c r="D207" s="5">
        <v>84</v>
      </c>
      <c r="E207" s="8" t="s">
        <v>504</v>
      </c>
      <c r="F207">
        <v>12100200220</v>
      </c>
      <c r="G207" s="8" t="s">
        <v>505</v>
      </c>
      <c r="H207" t="s">
        <v>47</v>
      </c>
      <c r="I207" s="11">
        <v>0</v>
      </c>
      <c r="J207" s="11">
        <v>0</v>
      </c>
      <c r="K207" s="11">
        <v>934325106.42999995</v>
      </c>
      <c r="L207" s="11">
        <v>0</v>
      </c>
      <c r="M207" s="11">
        <v>934325106.42999995</v>
      </c>
      <c r="N207" s="11">
        <v>934325106.42999995</v>
      </c>
      <c r="O207" s="11">
        <v>0</v>
      </c>
      <c r="P207" s="11">
        <v>934325106.42999995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934325106.42999995</v>
      </c>
      <c r="X207" s="11">
        <v>0</v>
      </c>
      <c r="Y207" s="17">
        <v>934325106.42999995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934325106.42999995</v>
      </c>
      <c r="AG207" s="11">
        <v>0</v>
      </c>
      <c r="AH207" s="12">
        <v>934325106.42999995</v>
      </c>
      <c r="AI207" s="11">
        <v>934325106.42999995</v>
      </c>
      <c r="AJ207" s="11">
        <v>934325106.42999995</v>
      </c>
      <c r="AK207" s="11">
        <v>934325106.42999995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t="s">
        <v>506</v>
      </c>
      <c r="AS207" s="4" t="str">
        <f t="shared" si="42"/>
        <v>Superavít Estampilla Pro Adulto Mayor</v>
      </c>
      <c r="AT207" t="str">
        <f t="shared" si="41"/>
        <v>84Superavít Estampilla Pro Adulto Mayor934325106,43</v>
      </c>
      <c r="AU207" t="str">
        <f>+_xlfn.XLOOKUP(AT207,CRUCE!K:K,CRUCE!M:M)</f>
        <v>READY</v>
      </c>
      <c r="AV207" t="s">
        <v>1907</v>
      </c>
    </row>
    <row r="208" spans="1:48" x14ac:dyDescent="0.3">
      <c r="A208">
        <v>2023</v>
      </c>
      <c r="B208">
        <v>307</v>
      </c>
      <c r="C208">
        <v>12100200221</v>
      </c>
      <c r="D208" s="5">
        <v>217</v>
      </c>
      <c r="E208" s="8" t="s">
        <v>1165</v>
      </c>
      <c r="F208">
        <v>12100200221</v>
      </c>
      <c r="G208" s="8" t="s">
        <v>1166</v>
      </c>
      <c r="H208" t="s">
        <v>47</v>
      </c>
      <c r="I208" s="11">
        <v>0</v>
      </c>
      <c r="J208" s="11">
        <v>0</v>
      </c>
      <c r="K208" s="11">
        <v>104509532.16</v>
      </c>
      <c r="L208" s="11">
        <v>20458865.16</v>
      </c>
      <c r="M208" s="11">
        <v>84050667</v>
      </c>
      <c r="N208" s="11">
        <v>104509532.16</v>
      </c>
      <c r="O208" s="11">
        <v>20458865.16</v>
      </c>
      <c r="P208" s="11">
        <v>84050667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104509532.16</v>
      </c>
      <c r="X208" s="11">
        <v>20458865.16</v>
      </c>
      <c r="Y208" s="17">
        <v>84050667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104509532.16</v>
      </c>
      <c r="AG208" s="11">
        <v>20458865.16</v>
      </c>
      <c r="AH208" s="12">
        <v>84050667</v>
      </c>
      <c r="AI208" s="11">
        <v>84050667</v>
      </c>
      <c r="AJ208" s="11">
        <v>84050667</v>
      </c>
      <c r="AK208" s="11">
        <v>84050667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t="s">
        <v>1167</v>
      </c>
      <c r="AS208" s="4" t="str">
        <f t="shared" si="42"/>
        <v xml:space="preserve">Superavít Convenios Interadministrativos </v>
      </c>
      <c r="AT208" t="str">
        <f t="shared" si="41"/>
        <v>217Superavít Convenios Interadministrativos 84050667</v>
      </c>
      <c r="AU208" t="str">
        <f>+_xlfn.XLOOKUP(AT208,CRUCE!K:K,CRUCE!M:M)</f>
        <v>READY</v>
      </c>
      <c r="AV208" t="s">
        <v>1907</v>
      </c>
    </row>
    <row r="209" spans="1:48" x14ac:dyDescent="0.3">
      <c r="A209">
        <v>2023</v>
      </c>
      <c r="B209">
        <v>307</v>
      </c>
      <c r="C209">
        <v>12100200221</v>
      </c>
      <c r="D209" s="5">
        <v>95</v>
      </c>
      <c r="E209" s="8" t="s">
        <v>507</v>
      </c>
      <c r="F209">
        <v>12100200221</v>
      </c>
      <c r="G209" s="8" t="s">
        <v>1166</v>
      </c>
      <c r="H209" t="s">
        <v>47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7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2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t="s">
        <v>509</v>
      </c>
      <c r="AS209" s="4" t="str">
        <f t="shared" si="42"/>
        <v xml:space="preserve">Superavít Convenios Interadministrativos </v>
      </c>
      <c r="AT209" t="str">
        <f t="shared" si="41"/>
        <v>95Superavít Convenios Interadministrativos 0</v>
      </c>
      <c r="AU209" t="str">
        <f>+_xlfn.XLOOKUP(AT209,CRUCE!K:K,CRUCE!M:M)</f>
        <v>READY</v>
      </c>
      <c r="AV209" t="s">
        <v>1907</v>
      </c>
    </row>
    <row r="210" spans="1:48" x14ac:dyDescent="0.3">
      <c r="A210">
        <v>2023</v>
      </c>
      <c r="B210">
        <v>307</v>
      </c>
      <c r="C210">
        <v>12100200222</v>
      </c>
      <c r="D210" s="5">
        <v>92</v>
      </c>
      <c r="E210" s="8" t="s">
        <v>510</v>
      </c>
      <c r="F210">
        <v>12100200222</v>
      </c>
      <c r="G210" s="8" t="s">
        <v>511</v>
      </c>
      <c r="H210" t="s">
        <v>47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7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2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t="s">
        <v>494</v>
      </c>
      <c r="AS210" s="4" t="s">
        <v>493</v>
      </c>
      <c r="AT210" t="str">
        <f t="shared" si="41"/>
        <v>92Superávit Fondo de Seguridad Ciudadana 0</v>
      </c>
      <c r="AU210" t="e">
        <f>+_xlfn.XLOOKUP(AT210,CRUCE!K:K,CRUCE!M:M)</f>
        <v>#N/A</v>
      </c>
      <c r="AV210" t="s">
        <v>1907</v>
      </c>
    </row>
    <row r="211" spans="1:48" x14ac:dyDescent="0.3">
      <c r="A211">
        <v>2023</v>
      </c>
      <c r="B211">
        <v>307</v>
      </c>
      <c r="C211">
        <v>12100200234</v>
      </c>
      <c r="D211" s="5">
        <v>208</v>
      </c>
      <c r="E211" s="8" t="s">
        <v>1168</v>
      </c>
      <c r="F211">
        <v>12100200234</v>
      </c>
      <c r="G211" s="8" t="s">
        <v>516</v>
      </c>
      <c r="H211" t="s">
        <v>47</v>
      </c>
      <c r="I211" s="11">
        <v>0</v>
      </c>
      <c r="J211" s="11">
        <v>0</v>
      </c>
      <c r="K211" s="11">
        <v>344419201.76999998</v>
      </c>
      <c r="L211" s="11">
        <v>0</v>
      </c>
      <c r="M211" s="11">
        <v>344419201.76999998</v>
      </c>
      <c r="N211" s="11">
        <v>344419201.76999998</v>
      </c>
      <c r="O211" s="11">
        <v>0</v>
      </c>
      <c r="P211" s="11">
        <v>344419201.76999998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344419201.76999998</v>
      </c>
      <c r="X211" s="11">
        <v>0</v>
      </c>
      <c r="Y211" s="17">
        <v>344419201.76999998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344419201.76999998</v>
      </c>
      <c r="AG211" s="11">
        <v>0</v>
      </c>
      <c r="AH211" s="12">
        <v>344419201.76999998</v>
      </c>
      <c r="AI211" s="11">
        <v>344419201.76999998</v>
      </c>
      <c r="AJ211" s="11">
        <v>344419201.76999998</v>
      </c>
      <c r="AK211" s="11">
        <v>344419201.76999998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t="s">
        <v>1169</v>
      </c>
      <c r="AS211" s="4" t="str">
        <f t="shared" ref="AS211:AS227" si="43">+G211</f>
        <v>Superávit Impuesto al Consumo 3% Monopolio Indeportes</v>
      </c>
      <c r="AT211" t="str">
        <f t="shared" si="41"/>
        <v>208Superávit Impuesto al Consumo 3% Monopolio Indeportes344419201,77</v>
      </c>
      <c r="AU211" t="str">
        <f>+_xlfn.XLOOKUP(AT211,CRUCE!K:K,CRUCE!M:M)</f>
        <v>READY</v>
      </c>
      <c r="AV211" t="s">
        <v>1907</v>
      </c>
    </row>
    <row r="212" spans="1:48" x14ac:dyDescent="0.3">
      <c r="A212">
        <v>2023</v>
      </c>
      <c r="B212">
        <v>307</v>
      </c>
      <c r="C212">
        <v>12100200235</v>
      </c>
      <c r="D212" s="5">
        <v>123</v>
      </c>
      <c r="E212" s="8" t="s">
        <v>519</v>
      </c>
      <c r="F212">
        <v>12100200235</v>
      </c>
      <c r="G212" s="8" t="s">
        <v>520</v>
      </c>
      <c r="H212" t="s">
        <v>47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7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2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t="s">
        <v>521</v>
      </c>
      <c r="AS212" s="4" t="str">
        <f t="shared" si="43"/>
        <v>Superávit Estampilla Pro Hospital</v>
      </c>
      <c r="AT212" t="str">
        <f t="shared" si="41"/>
        <v>123Superávit Estampilla Pro Hospital0</v>
      </c>
      <c r="AU212" t="str">
        <f>+_xlfn.XLOOKUP(AT212,CRUCE!K:K,CRUCE!M:M)</f>
        <v>READY</v>
      </c>
      <c r="AV212" t="s">
        <v>1907</v>
      </c>
    </row>
    <row r="213" spans="1:48" x14ac:dyDescent="0.3">
      <c r="A213">
        <v>2023</v>
      </c>
      <c r="B213">
        <v>307</v>
      </c>
      <c r="C213">
        <v>12100200237</v>
      </c>
      <c r="D213" s="5">
        <v>94</v>
      </c>
      <c r="E213" s="8" t="s">
        <v>528</v>
      </c>
      <c r="F213">
        <v>12100200237</v>
      </c>
      <c r="G213" s="8" t="s">
        <v>1313</v>
      </c>
      <c r="H213" t="s">
        <v>47</v>
      </c>
      <c r="I213" s="11">
        <v>0</v>
      </c>
      <c r="J213" s="11">
        <v>0</v>
      </c>
      <c r="K213" s="11">
        <v>246031030.90000001</v>
      </c>
      <c r="L213" s="11">
        <v>0</v>
      </c>
      <c r="M213" s="11">
        <v>246031030.90000001</v>
      </c>
      <c r="N213" s="11">
        <v>246031030.90000001</v>
      </c>
      <c r="O213" s="11">
        <v>0</v>
      </c>
      <c r="P213" s="11">
        <v>246031030.90000001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246031030.90000001</v>
      </c>
      <c r="X213" s="11">
        <v>0</v>
      </c>
      <c r="Y213" s="17">
        <v>246031030.90000001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246031030.90000001</v>
      </c>
      <c r="AG213" s="11">
        <v>0</v>
      </c>
      <c r="AH213" s="12">
        <v>246031030.90000001</v>
      </c>
      <c r="AI213" s="11">
        <v>246031030.90000001</v>
      </c>
      <c r="AJ213" s="11">
        <v>246031030.90000001</v>
      </c>
      <c r="AK213" s="11">
        <v>246031030.90000001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t="s">
        <v>529</v>
      </c>
      <c r="AS213" s="4" t="str">
        <f t="shared" si="43"/>
        <v>Superávit Impuesto al Registro Turismo 4%</v>
      </c>
      <c r="AT213" t="str">
        <f t="shared" si="41"/>
        <v>94Superávit Impuesto al Registro Turismo 4%246031030,9</v>
      </c>
      <c r="AU213" t="str">
        <f>+_xlfn.XLOOKUP(AT213,CRUCE!K:K,CRUCE!M:M)</f>
        <v>READY</v>
      </c>
      <c r="AV213" t="s">
        <v>1907</v>
      </c>
    </row>
    <row r="214" spans="1:48" x14ac:dyDescent="0.3">
      <c r="A214">
        <v>2023</v>
      </c>
      <c r="B214">
        <v>307</v>
      </c>
      <c r="C214">
        <v>12100200238</v>
      </c>
      <c r="D214" s="5">
        <v>86</v>
      </c>
      <c r="E214" s="8" t="s">
        <v>530</v>
      </c>
      <c r="F214">
        <v>12100200238</v>
      </c>
      <c r="G214" s="8" t="s">
        <v>531</v>
      </c>
      <c r="H214" t="s">
        <v>47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7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2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t="s">
        <v>532</v>
      </c>
      <c r="AS214" s="4" t="str">
        <f t="shared" si="43"/>
        <v>Suparávit Registro Pago Cuotas Partes Pensionales</v>
      </c>
      <c r="AT214" t="str">
        <f t="shared" si="41"/>
        <v>86Suparávit Registro Pago Cuotas Partes Pensionales0</v>
      </c>
      <c r="AU214" t="str">
        <f>+_xlfn.XLOOKUP(AT214,CRUCE!K:K,CRUCE!M:M)</f>
        <v>READY</v>
      </c>
      <c r="AV214" t="s">
        <v>1907</v>
      </c>
    </row>
    <row r="215" spans="1:48" x14ac:dyDescent="0.3">
      <c r="A215">
        <v>2023</v>
      </c>
      <c r="B215">
        <v>307</v>
      </c>
      <c r="C215">
        <v>12100200239</v>
      </c>
      <c r="D215" s="5">
        <v>93</v>
      </c>
      <c r="E215" s="8" t="s">
        <v>533</v>
      </c>
      <c r="F215">
        <v>12100200239</v>
      </c>
      <c r="G215" s="8" t="s">
        <v>534</v>
      </c>
      <c r="H215" t="s">
        <v>47</v>
      </c>
      <c r="I215" s="11">
        <v>0</v>
      </c>
      <c r="J215" s="11">
        <v>0</v>
      </c>
      <c r="K215" s="11">
        <v>23893855.300000001</v>
      </c>
      <c r="L215" s="11">
        <v>23893855.300000001</v>
      </c>
      <c r="M215" s="11">
        <v>0</v>
      </c>
      <c r="N215" s="11">
        <v>23893855.300000001</v>
      </c>
      <c r="O215" s="11">
        <v>23893855.300000001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23893855.300000001</v>
      </c>
      <c r="X215" s="11">
        <v>23893855.300000001</v>
      </c>
      <c r="Y215" s="17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23893855.300000001</v>
      </c>
      <c r="AG215" s="11">
        <v>23893855.300000001</v>
      </c>
      <c r="AH215" s="12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t="s">
        <v>535</v>
      </c>
      <c r="AS215" s="4" t="str">
        <f t="shared" si="43"/>
        <v xml:space="preserve">Superávit IVA Telefonia Movil </v>
      </c>
      <c r="AT215" t="str">
        <f t="shared" si="41"/>
        <v>93Superávit IVA Telefonia Movil 0</v>
      </c>
      <c r="AU215" t="str">
        <f>+_xlfn.XLOOKUP(AT215,CRUCE!K:K,CRUCE!M:M)</f>
        <v>READY</v>
      </c>
      <c r="AV215" t="s">
        <v>1907</v>
      </c>
    </row>
    <row r="216" spans="1:48" x14ac:dyDescent="0.3">
      <c r="A216">
        <v>2023</v>
      </c>
      <c r="B216">
        <v>307</v>
      </c>
      <c r="C216">
        <v>12100200242</v>
      </c>
      <c r="D216" s="5">
        <v>94</v>
      </c>
      <c r="E216" s="8" t="s">
        <v>1170</v>
      </c>
      <c r="F216">
        <v>12100200242</v>
      </c>
      <c r="G216" s="8" t="s">
        <v>1171</v>
      </c>
      <c r="H216" t="s">
        <v>47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7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2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t="s">
        <v>529</v>
      </c>
      <c r="AS216" s="4" t="str">
        <f t="shared" si="43"/>
        <v xml:space="preserve">Superávit Impuesto al Registro Turismo 4% </v>
      </c>
      <c r="AT216" t="str">
        <f t="shared" si="41"/>
        <v>94Superávit Impuesto al Registro Turismo 4% 0</v>
      </c>
      <c r="AU216" t="e">
        <f>+_xlfn.XLOOKUP(AT216,CRUCE!K:K,CRUCE!M:M)</f>
        <v>#N/A</v>
      </c>
      <c r="AV216" t="s">
        <v>1907</v>
      </c>
    </row>
    <row r="217" spans="1:48" x14ac:dyDescent="0.3">
      <c r="A217">
        <v>2023</v>
      </c>
      <c r="B217">
        <v>307</v>
      </c>
      <c r="C217">
        <v>12100200243</v>
      </c>
      <c r="D217" s="5">
        <v>207</v>
      </c>
      <c r="E217" s="8" t="s">
        <v>1172</v>
      </c>
      <c r="F217">
        <v>12100200243</v>
      </c>
      <c r="G217" s="8" t="s">
        <v>1173</v>
      </c>
      <c r="H217" t="s">
        <v>47</v>
      </c>
      <c r="I217" s="11">
        <v>0</v>
      </c>
      <c r="J217" s="11">
        <v>0</v>
      </c>
      <c r="K217" s="11">
        <v>60254577</v>
      </c>
      <c r="L217" s="11">
        <v>0</v>
      </c>
      <c r="M217" s="11">
        <v>60254577</v>
      </c>
      <c r="N217" s="11">
        <v>60254577</v>
      </c>
      <c r="O217" s="11">
        <v>0</v>
      </c>
      <c r="P217" s="11">
        <v>60254577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60254577</v>
      </c>
      <c r="X217" s="11">
        <v>0</v>
      </c>
      <c r="Y217" s="17">
        <v>60254577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60254577</v>
      </c>
      <c r="AG217" s="11">
        <v>0</v>
      </c>
      <c r="AH217" s="12">
        <v>60254577</v>
      </c>
      <c r="AI217" s="11">
        <v>60254577</v>
      </c>
      <c r="AJ217" s="11">
        <v>60254577</v>
      </c>
      <c r="AK217" s="11">
        <v>60254577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t="s">
        <v>1174</v>
      </c>
      <c r="AS217" s="4" t="str">
        <f t="shared" si="43"/>
        <v xml:space="preserve">Superávit Convenio Invias Colombia Rural </v>
      </c>
      <c r="AT217" t="str">
        <f t="shared" si="41"/>
        <v>207Superávit Convenio Invias Colombia Rural 60254577</v>
      </c>
      <c r="AU217" t="str">
        <f>+_xlfn.XLOOKUP(AT217,CRUCE!K:K,CRUCE!M:M)</f>
        <v>READY</v>
      </c>
      <c r="AV217" t="s">
        <v>1907</v>
      </c>
    </row>
    <row r="218" spans="1:48" x14ac:dyDescent="0.3">
      <c r="A218">
        <v>2023</v>
      </c>
      <c r="B218">
        <v>307</v>
      </c>
      <c r="C218">
        <v>12100200244</v>
      </c>
      <c r="D218" s="5">
        <v>209</v>
      </c>
      <c r="E218" s="8" t="s">
        <v>1175</v>
      </c>
      <c r="F218">
        <v>12100200244</v>
      </c>
      <c r="G218" s="8" t="s">
        <v>1176</v>
      </c>
      <c r="H218" t="s">
        <v>47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7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2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t="s">
        <v>1177</v>
      </c>
      <c r="AS218" s="4" t="str">
        <f t="shared" si="43"/>
        <v>Superávit estampilla Pro-Desarrollo (20%) Pensiones</v>
      </c>
      <c r="AT218" t="str">
        <f t="shared" si="41"/>
        <v>209Superávit estampilla Pro-Desarrollo (20%) Pensiones0</v>
      </c>
      <c r="AU218" t="str">
        <f>+_xlfn.XLOOKUP(AT218,CRUCE!K:K,CRUCE!M:M)</f>
        <v>READY</v>
      </c>
      <c r="AV218" t="s">
        <v>1907</v>
      </c>
    </row>
    <row r="219" spans="1:48" x14ac:dyDescent="0.3">
      <c r="A219">
        <v>2023</v>
      </c>
      <c r="B219">
        <v>307</v>
      </c>
      <c r="C219">
        <v>12100200245</v>
      </c>
      <c r="D219" s="5">
        <v>210</v>
      </c>
      <c r="E219" s="8" t="s">
        <v>1178</v>
      </c>
      <c r="F219">
        <v>12100200245</v>
      </c>
      <c r="G219" s="8" t="s">
        <v>1179</v>
      </c>
      <c r="H219" t="s">
        <v>47</v>
      </c>
      <c r="I219" s="11">
        <v>0</v>
      </c>
      <c r="J219" s="11">
        <v>0</v>
      </c>
      <c r="K219" s="11">
        <v>705559500.57000005</v>
      </c>
      <c r="L219" s="11">
        <v>0</v>
      </c>
      <c r="M219" s="11">
        <v>705559500.57000005</v>
      </c>
      <c r="N219" s="11">
        <v>705559500.57000005</v>
      </c>
      <c r="O219" s="11">
        <v>0</v>
      </c>
      <c r="P219" s="11">
        <v>705559500.57000005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705559500.57000005</v>
      </c>
      <c r="X219" s="11">
        <v>0</v>
      </c>
      <c r="Y219" s="17">
        <v>705559500.57000005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705559500.57000005</v>
      </c>
      <c r="AG219" s="11">
        <v>0</v>
      </c>
      <c r="AH219" s="12">
        <v>705559500.57000005</v>
      </c>
      <c r="AI219" s="11">
        <v>705559500.57000005</v>
      </c>
      <c r="AJ219" s="11">
        <v>705559500.57000005</v>
      </c>
      <c r="AK219" s="11">
        <v>705559500.57000005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t="s">
        <v>1180</v>
      </c>
      <c r="AS219" s="4" t="str">
        <f t="shared" si="43"/>
        <v>Superávit estampilla Pro-Desarrollo (30%) Proyecta</v>
      </c>
      <c r="AT219" t="str">
        <f t="shared" si="41"/>
        <v>210Superávit estampilla Pro-Desarrollo (30%) Proyecta705559500,57</v>
      </c>
      <c r="AU219" t="str">
        <f>+_xlfn.XLOOKUP(AT219,CRUCE!K:K,CRUCE!M:M)</f>
        <v>READY</v>
      </c>
      <c r="AV219" t="s">
        <v>1907</v>
      </c>
    </row>
    <row r="220" spans="1:48" x14ac:dyDescent="0.3">
      <c r="A220">
        <v>2023</v>
      </c>
      <c r="B220">
        <v>307</v>
      </c>
      <c r="C220">
        <v>12100200246</v>
      </c>
      <c r="D220" s="5">
        <v>211</v>
      </c>
      <c r="E220" s="8" t="s">
        <v>1181</v>
      </c>
      <c r="F220">
        <v>12100200246</v>
      </c>
      <c r="G220" s="8" t="s">
        <v>1182</v>
      </c>
      <c r="H220" t="s">
        <v>47</v>
      </c>
      <c r="I220" s="11">
        <v>0</v>
      </c>
      <c r="J220" s="11">
        <v>0</v>
      </c>
      <c r="K220" s="11">
        <v>45325599.490000002</v>
      </c>
      <c r="L220" s="11">
        <v>0</v>
      </c>
      <c r="M220" s="11">
        <v>45325599.490000002</v>
      </c>
      <c r="N220" s="11">
        <v>45325599.490000002</v>
      </c>
      <c r="O220" s="11">
        <v>0</v>
      </c>
      <c r="P220" s="11">
        <v>45325599.490000002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45325599.490000002</v>
      </c>
      <c r="X220" s="11">
        <v>0</v>
      </c>
      <c r="Y220" s="17">
        <v>45325599.490000002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45325599.490000002</v>
      </c>
      <c r="AG220" s="11">
        <v>0</v>
      </c>
      <c r="AH220" s="12">
        <v>45325599.490000002</v>
      </c>
      <c r="AI220" s="11">
        <v>45325599.490000002</v>
      </c>
      <c r="AJ220" s="11">
        <v>45325599.490000002</v>
      </c>
      <c r="AK220" s="11">
        <v>45325599.490000002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t="s">
        <v>1183</v>
      </c>
      <c r="AS220" s="4" t="str">
        <f t="shared" si="43"/>
        <v>Superávit estampilla Procultura 20% Pensiones</v>
      </c>
      <c r="AT220" t="str">
        <f t="shared" si="41"/>
        <v>211Superávit estampilla Procultura 20% Pensiones45325599,49</v>
      </c>
      <c r="AU220" t="str">
        <f>+_xlfn.XLOOKUP(AT220,CRUCE!K:K,CRUCE!M:M)</f>
        <v>READY</v>
      </c>
      <c r="AV220" t="s">
        <v>1907</v>
      </c>
    </row>
    <row r="221" spans="1:48" x14ac:dyDescent="0.3">
      <c r="A221">
        <v>2023</v>
      </c>
      <c r="B221">
        <v>307</v>
      </c>
      <c r="C221">
        <v>12100200247</v>
      </c>
      <c r="D221" s="5">
        <v>216</v>
      </c>
      <c r="E221" s="8" t="s">
        <v>1184</v>
      </c>
      <c r="F221">
        <v>12100200247</v>
      </c>
      <c r="G221" s="8" t="s">
        <v>1185</v>
      </c>
      <c r="H221" t="s">
        <v>47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7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2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t="s">
        <v>1186</v>
      </c>
      <c r="AS221" s="4" t="str">
        <f t="shared" si="43"/>
        <v>Superávit estampilla Pro-adulto mayor (20%) Pensión</v>
      </c>
      <c r="AT221" t="str">
        <f t="shared" si="41"/>
        <v>216Superávit estampilla Pro-adulto mayor (20%) Pensión0</v>
      </c>
      <c r="AU221" t="str">
        <f>+_xlfn.XLOOKUP(AT221,CRUCE!K:K,CRUCE!M:M)</f>
        <v>READY</v>
      </c>
      <c r="AV221" t="s">
        <v>1907</v>
      </c>
    </row>
    <row r="222" spans="1:48" x14ac:dyDescent="0.3">
      <c r="A222">
        <v>2023</v>
      </c>
      <c r="B222">
        <v>307</v>
      </c>
      <c r="C222">
        <v>12100200248</v>
      </c>
      <c r="D222" s="5">
        <v>122</v>
      </c>
      <c r="E222" s="8" t="s">
        <v>1187</v>
      </c>
      <c r="F222">
        <v>12100200248</v>
      </c>
      <c r="G222" s="8" t="s">
        <v>1188</v>
      </c>
      <c r="H222" t="s">
        <v>47</v>
      </c>
      <c r="I222" s="11">
        <v>0</v>
      </c>
      <c r="J222" s="11">
        <v>0</v>
      </c>
      <c r="K222" s="11">
        <v>6685727072.4099998</v>
      </c>
      <c r="L222" s="11">
        <v>0</v>
      </c>
      <c r="M222" s="11">
        <v>6685727072.4099998</v>
      </c>
      <c r="N222" s="11">
        <v>6685727072.4099998</v>
      </c>
      <c r="O222" s="11">
        <v>0</v>
      </c>
      <c r="P222" s="11">
        <v>6685727072.4099998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6707052472.4099998</v>
      </c>
      <c r="X222" s="11">
        <v>0</v>
      </c>
      <c r="Y222" s="17">
        <v>6707052472.4099998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6707052472.4099998</v>
      </c>
      <c r="AG222" s="11">
        <v>0</v>
      </c>
      <c r="AH222" s="12">
        <v>6707052472.4099998</v>
      </c>
      <c r="AI222" s="11">
        <v>6707052472.4099998</v>
      </c>
      <c r="AJ222" s="11">
        <v>6707052472.4099998</v>
      </c>
      <c r="AK222" s="11">
        <v>6707052472.4099998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t="s">
        <v>514</v>
      </c>
      <c r="AS222" s="4" t="str">
        <f t="shared" si="43"/>
        <v>Superávit Desahorro FONPET</v>
      </c>
      <c r="AT222" t="str">
        <f t="shared" si="41"/>
        <v>122Superávit Desahorro FONPET6707052472,41</v>
      </c>
      <c r="AU222" t="str">
        <f>+_xlfn.XLOOKUP(AT222,CRUCE!K:K,CRUCE!M:M)</f>
        <v>READY</v>
      </c>
      <c r="AV222" t="s">
        <v>1907</v>
      </c>
    </row>
    <row r="223" spans="1:48" x14ac:dyDescent="0.3">
      <c r="A223">
        <v>2023</v>
      </c>
      <c r="B223">
        <v>307</v>
      </c>
      <c r="C223">
        <v>12100200249</v>
      </c>
      <c r="D223" s="5">
        <v>129</v>
      </c>
      <c r="E223" s="8" t="s">
        <v>1189</v>
      </c>
      <c r="F223">
        <v>12100200249</v>
      </c>
      <c r="G223" s="8" t="s">
        <v>1190</v>
      </c>
      <c r="H223" t="s">
        <v>47</v>
      </c>
      <c r="I223" s="11">
        <v>0</v>
      </c>
      <c r="J223" s="11">
        <v>0</v>
      </c>
      <c r="K223" s="11">
        <v>334489381.63999999</v>
      </c>
      <c r="L223" s="11">
        <v>0</v>
      </c>
      <c r="M223" s="11">
        <v>334489381.63999999</v>
      </c>
      <c r="N223" s="11">
        <v>334489381.63999999</v>
      </c>
      <c r="O223" s="11">
        <v>0</v>
      </c>
      <c r="P223" s="11">
        <v>334489381.63999999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334489381.63999999</v>
      </c>
      <c r="X223" s="11">
        <v>0</v>
      </c>
      <c r="Y223" s="17">
        <v>334489381.63999999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334489381.63999999</v>
      </c>
      <c r="AG223" s="11">
        <v>0</v>
      </c>
      <c r="AH223" s="12">
        <v>334489381.63999999</v>
      </c>
      <c r="AI223" s="11">
        <v>334489381.63999999</v>
      </c>
      <c r="AJ223" s="11">
        <v>334489381.63999999</v>
      </c>
      <c r="AK223" s="11">
        <v>334489381.63999999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t="s">
        <v>527</v>
      </c>
      <c r="AS223" s="4" t="str">
        <f t="shared" si="43"/>
        <v>Superávit Impuesto al Registro Proyecta</v>
      </c>
      <c r="AT223" t="str">
        <f t="shared" si="41"/>
        <v>129Superávit Impuesto al Registro Proyecta334489381,64</v>
      </c>
      <c r="AU223" t="str">
        <f>+_xlfn.XLOOKUP(AT223,CRUCE!K:K,CRUCE!M:M)</f>
        <v>READY</v>
      </c>
      <c r="AV223" t="s">
        <v>1907</v>
      </c>
    </row>
    <row r="224" spans="1:48" x14ac:dyDescent="0.3">
      <c r="A224">
        <v>2023</v>
      </c>
      <c r="B224">
        <v>307</v>
      </c>
      <c r="C224">
        <v>12100200251</v>
      </c>
      <c r="D224" s="5">
        <v>213</v>
      </c>
      <c r="E224" s="8" t="s">
        <v>1191</v>
      </c>
      <c r="F224">
        <v>12100200251</v>
      </c>
      <c r="G224" s="8" t="s">
        <v>1192</v>
      </c>
      <c r="H224" t="s">
        <v>47</v>
      </c>
      <c r="I224" s="11">
        <v>0</v>
      </c>
      <c r="J224" s="11">
        <v>0</v>
      </c>
      <c r="K224" s="11">
        <v>73048930.180000007</v>
      </c>
      <c r="L224" s="11">
        <v>0</v>
      </c>
      <c r="M224" s="11">
        <v>73048930.180000007</v>
      </c>
      <c r="N224" s="11">
        <v>73048930.180000007</v>
      </c>
      <c r="O224" s="11">
        <v>0</v>
      </c>
      <c r="P224" s="11">
        <v>73048930.180000007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73048930.180000007</v>
      </c>
      <c r="X224" s="11">
        <v>0</v>
      </c>
      <c r="Y224" s="17">
        <v>73048930.180000007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73048930.180000007</v>
      </c>
      <c r="AG224" s="11">
        <v>0</v>
      </c>
      <c r="AH224" s="12">
        <v>73048930.180000007</v>
      </c>
      <c r="AI224" s="11">
        <v>73048930.180000007</v>
      </c>
      <c r="AJ224" s="11">
        <v>73048930.180000007</v>
      </c>
      <c r="AK224" s="11">
        <v>73048930.180000007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t="s">
        <v>1193</v>
      </c>
      <c r="AS224" s="4" t="str">
        <f t="shared" si="43"/>
        <v>Superávit estampilla Procultura 10% Bibliotecas</v>
      </c>
      <c r="AT224" t="str">
        <f t="shared" si="41"/>
        <v>213Superávit estampilla Procultura 10% Bibliotecas73048930,18</v>
      </c>
      <c r="AU224" t="str">
        <f>+_xlfn.XLOOKUP(AT224,CRUCE!K:K,CRUCE!M:M)</f>
        <v>READY</v>
      </c>
      <c r="AV224" t="s">
        <v>1907</v>
      </c>
    </row>
    <row r="225" spans="1:48" x14ac:dyDescent="0.3">
      <c r="A225">
        <v>2023</v>
      </c>
      <c r="B225">
        <v>307</v>
      </c>
      <c r="C225">
        <v>12100200252</v>
      </c>
      <c r="D225" s="5">
        <v>212</v>
      </c>
      <c r="E225" s="8" t="s">
        <v>1194</v>
      </c>
      <c r="F225">
        <v>12100200252</v>
      </c>
      <c r="G225" s="8" t="s">
        <v>1195</v>
      </c>
      <c r="H225" t="s">
        <v>47</v>
      </c>
      <c r="I225" s="11">
        <v>0</v>
      </c>
      <c r="J225" s="11">
        <v>0</v>
      </c>
      <c r="K225" s="11">
        <v>99878270.549999997</v>
      </c>
      <c r="L225" s="11">
        <v>0</v>
      </c>
      <c r="M225" s="11">
        <v>99878270.549999997</v>
      </c>
      <c r="N225" s="11">
        <v>99878270.549999997</v>
      </c>
      <c r="O225" s="11">
        <v>0</v>
      </c>
      <c r="P225" s="11">
        <v>99878270.549999997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99878270.549999997</v>
      </c>
      <c r="X225" s="11">
        <v>0</v>
      </c>
      <c r="Y225" s="17">
        <v>99878270.549999997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99878270.549999997</v>
      </c>
      <c r="AG225" s="11">
        <v>0</v>
      </c>
      <c r="AH225" s="12">
        <v>99878270.549999997</v>
      </c>
      <c r="AI225" s="11">
        <v>99878270.549999997</v>
      </c>
      <c r="AJ225" s="11">
        <v>99878270.549999997</v>
      </c>
      <c r="AK225" s="11">
        <v>99878270.549999997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t="s">
        <v>1196</v>
      </c>
      <c r="AS225" s="4" t="str">
        <f t="shared" si="43"/>
        <v>Superávit estampilla Procultura 10% Seguridad Social</v>
      </c>
      <c r="AT225" t="str">
        <f t="shared" si="41"/>
        <v>212Superávit estampilla Procultura 10% Seguridad Social99878270,55</v>
      </c>
      <c r="AU225" t="str">
        <f>+_xlfn.XLOOKUP(AT225,CRUCE!K:K,CRUCE!M:M)</f>
        <v>READY</v>
      </c>
      <c r="AV225" t="s">
        <v>1907</v>
      </c>
    </row>
    <row r="226" spans="1:48" x14ac:dyDescent="0.3">
      <c r="A226">
        <v>2023</v>
      </c>
      <c r="B226">
        <v>307</v>
      </c>
      <c r="C226">
        <v>12100200253</v>
      </c>
      <c r="D226" s="5">
        <v>214</v>
      </c>
      <c r="E226" s="8" t="s">
        <v>1197</v>
      </c>
      <c r="F226">
        <v>12100200253</v>
      </c>
      <c r="G226" s="8" t="s">
        <v>1198</v>
      </c>
      <c r="H226" t="s">
        <v>47</v>
      </c>
      <c r="I226" s="11">
        <v>0</v>
      </c>
      <c r="J226" s="11">
        <v>0</v>
      </c>
      <c r="K226" s="11">
        <v>405865979.32999998</v>
      </c>
      <c r="L226" s="11">
        <v>0</v>
      </c>
      <c r="M226" s="11">
        <v>405865979.32999998</v>
      </c>
      <c r="N226" s="11">
        <v>405865979.32999998</v>
      </c>
      <c r="O226" s="11">
        <v>0</v>
      </c>
      <c r="P226" s="11">
        <v>405865979.32999998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405865979.32999998</v>
      </c>
      <c r="X226" s="11">
        <v>0</v>
      </c>
      <c r="Y226" s="17">
        <v>405865979.32999998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405865979.32999998</v>
      </c>
      <c r="AG226" s="11">
        <v>0</v>
      </c>
      <c r="AH226" s="12">
        <v>405865979.32999998</v>
      </c>
      <c r="AI226" s="11">
        <v>405865979.32999998</v>
      </c>
      <c r="AJ226" s="11">
        <v>405865979.32999998</v>
      </c>
      <c r="AK226" s="11">
        <v>405865979.32999998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t="s">
        <v>1199</v>
      </c>
      <c r="AS226" s="4" t="str">
        <f t="shared" si="43"/>
        <v>Superávit estampilla Procultura 50% Concertación</v>
      </c>
      <c r="AT226" t="str">
        <f t="shared" si="41"/>
        <v>214Superávit estampilla Procultura 50% Concertación405865979,33</v>
      </c>
      <c r="AU226" t="str">
        <f>+_xlfn.XLOOKUP(AT226,CRUCE!K:K,CRUCE!M:M)</f>
        <v>READY</v>
      </c>
      <c r="AV226" t="s">
        <v>1907</v>
      </c>
    </row>
    <row r="227" spans="1:48" x14ac:dyDescent="0.3">
      <c r="A227">
        <v>2023</v>
      </c>
      <c r="B227">
        <v>307</v>
      </c>
      <c r="C227">
        <v>12100200254</v>
      </c>
      <c r="D227" s="5">
        <v>215</v>
      </c>
      <c r="E227" s="8" t="s">
        <v>1200</v>
      </c>
      <c r="F227">
        <v>12100200254</v>
      </c>
      <c r="G227" s="8" t="s">
        <v>1201</v>
      </c>
      <c r="H227" t="s">
        <v>47</v>
      </c>
      <c r="I227" s="11">
        <v>0</v>
      </c>
      <c r="J227" s="11">
        <v>0</v>
      </c>
      <c r="K227" s="11">
        <v>71938618.980000004</v>
      </c>
      <c r="L227" s="11">
        <v>0</v>
      </c>
      <c r="M227" s="11">
        <v>71938618.980000004</v>
      </c>
      <c r="N227" s="11">
        <v>71938618.980000004</v>
      </c>
      <c r="O227" s="11">
        <v>0</v>
      </c>
      <c r="P227" s="11">
        <v>71938618.980000004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71938618.980000004</v>
      </c>
      <c r="X227" s="11">
        <v>0</v>
      </c>
      <c r="Y227" s="17">
        <v>71938618.980000004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71938618.980000004</v>
      </c>
      <c r="AG227" s="11">
        <v>0</v>
      </c>
      <c r="AH227" s="12">
        <v>71938618.980000004</v>
      </c>
      <c r="AI227" s="11">
        <v>71938618.980000004</v>
      </c>
      <c r="AJ227" s="11">
        <v>71938618.980000004</v>
      </c>
      <c r="AK227" s="11">
        <v>71938618.980000004</v>
      </c>
      <c r="AL227" s="11">
        <v>0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t="s">
        <v>1202</v>
      </c>
      <c r="AS227" s="4" t="str">
        <f t="shared" si="43"/>
        <v>Superávit estampilla Procultura 10% Estimulos</v>
      </c>
      <c r="AT227" t="str">
        <f t="shared" si="41"/>
        <v>215Superávit estampilla Procultura 10% Estimulos71938618,98</v>
      </c>
      <c r="AU227" t="str">
        <f>+_xlfn.XLOOKUP(AT227,CRUCE!K:K,CRUCE!M:M)</f>
        <v>READY</v>
      </c>
      <c r="AV227" t="s">
        <v>1907</v>
      </c>
    </row>
    <row r="228" spans="1:48" x14ac:dyDescent="0.3">
      <c r="A228">
        <v>2023</v>
      </c>
      <c r="B228">
        <v>307</v>
      </c>
      <c r="C228">
        <v>12100200258</v>
      </c>
      <c r="D228" s="5">
        <v>227</v>
      </c>
      <c r="E228" s="8" t="s">
        <v>1388</v>
      </c>
      <c r="F228">
        <v>12100200258</v>
      </c>
      <c r="G228" s="8" t="s">
        <v>1389</v>
      </c>
      <c r="H228" t="s">
        <v>47</v>
      </c>
      <c r="I228" s="11">
        <v>0</v>
      </c>
      <c r="J228" s="11">
        <v>0</v>
      </c>
      <c r="K228" s="11">
        <v>19788720416</v>
      </c>
      <c r="L228" s="11">
        <v>0</v>
      </c>
      <c r="M228" s="11">
        <v>19788720416</v>
      </c>
      <c r="N228" s="11">
        <v>19788720416</v>
      </c>
      <c r="O228" s="11">
        <v>0</v>
      </c>
      <c r="P228" s="11">
        <v>19788720416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19788720416</v>
      </c>
      <c r="X228" s="11">
        <v>0</v>
      </c>
      <c r="Y228" s="17">
        <v>19788720416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19788720416</v>
      </c>
      <c r="AG228" s="11">
        <v>0</v>
      </c>
      <c r="AH228" s="12">
        <v>19788720416</v>
      </c>
      <c r="AI228" s="11">
        <v>19788720416</v>
      </c>
      <c r="AJ228" s="11">
        <v>19788720416</v>
      </c>
      <c r="AK228" s="11">
        <v>19788720416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t="s">
        <v>1390</v>
      </c>
      <c r="AS228" s="4" t="str">
        <f>+G228</f>
        <v>Superávit Convenio Invias 1274/22 Puntos Críticos</v>
      </c>
      <c r="AT228" t="str">
        <f t="shared" si="41"/>
        <v>227Superávit Convenio Invias 1274/22 Puntos Críticos19788720416</v>
      </c>
      <c r="AU228" t="str">
        <f>+_xlfn.XLOOKUP(AT228,CRUCE!K:K,CRUCE!M:M)</f>
        <v>READY</v>
      </c>
      <c r="AV228" t="s">
        <v>1907</v>
      </c>
    </row>
    <row r="229" spans="1:48" x14ac:dyDescent="0.3">
      <c r="A229">
        <v>2023</v>
      </c>
      <c r="B229">
        <v>307</v>
      </c>
      <c r="C229">
        <v>12100200259</v>
      </c>
      <c r="D229" s="5">
        <v>228</v>
      </c>
      <c r="E229" s="8" t="s">
        <v>1391</v>
      </c>
      <c r="F229">
        <v>12100200259</v>
      </c>
      <c r="G229" s="8" t="s">
        <v>1392</v>
      </c>
      <c r="H229" t="s">
        <v>47</v>
      </c>
      <c r="I229" s="11">
        <v>0</v>
      </c>
      <c r="J229" s="11">
        <v>0</v>
      </c>
      <c r="K229" s="11">
        <v>9115200000</v>
      </c>
      <c r="L229" s="11">
        <v>0</v>
      </c>
      <c r="M229" s="11">
        <v>9115200000</v>
      </c>
      <c r="N229" s="11">
        <v>9115200000</v>
      </c>
      <c r="O229" s="11">
        <v>0</v>
      </c>
      <c r="P229" s="11">
        <v>9115200000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9115200000</v>
      </c>
      <c r="X229" s="11">
        <v>0</v>
      </c>
      <c r="Y229" s="17">
        <v>9115200000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9115200000</v>
      </c>
      <c r="AG229" s="11">
        <v>0</v>
      </c>
      <c r="AH229" s="12">
        <v>9115200000</v>
      </c>
      <c r="AI229" s="11">
        <v>9115200000</v>
      </c>
      <c r="AJ229" s="11">
        <v>9115200000</v>
      </c>
      <c r="AK229" s="11">
        <v>9115200000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t="s">
        <v>1393</v>
      </c>
      <c r="AS229" s="4" t="str">
        <f>+G229</f>
        <v>Superávit convenio invias 1609 de 2020 vías terciarias</v>
      </c>
      <c r="AT229" t="str">
        <f t="shared" si="41"/>
        <v>228Superávit convenio invias 1609 de 2020 vías terciarias9115200000</v>
      </c>
      <c r="AU229" t="str">
        <f>+_xlfn.XLOOKUP(AT229,CRUCE!K:K,CRUCE!M:M)</f>
        <v>READY</v>
      </c>
      <c r="AV229" t="s">
        <v>1907</v>
      </c>
    </row>
    <row r="230" spans="1:48" x14ac:dyDescent="0.3">
      <c r="A230">
        <v>2023</v>
      </c>
      <c r="B230">
        <v>307</v>
      </c>
      <c r="C230">
        <v>12100200260</v>
      </c>
      <c r="D230" s="5">
        <v>230</v>
      </c>
      <c r="E230" s="8" t="s">
        <v>1394</v>
      </c>
      <c r="F230">
        <v>12100200260</v>
      </c>
      <c r="G230" s="8" t="s">
        <v>1395</v>
      </c>
      <c r="H230" t="s">
        <v>47</v>
      </c>
      <c r="I230" s="11">
        <v>0</v>
      </c>
      <c r="J230" s="11">
        <v>0</v>
      </c>
      <c r="K230" s="11">
        <v>15612200000</v>
      </c>
      <c r="L230" s="11">
        <v>0</v>
      </c>
      <c r="M230" s="11">
        <v>15612200000</v>
      </c>
      <c r="N230" s="11">
        <v>15612200000</v>
      </c>
      <c r="O230" s="11">
        <v>0</v>
      </c>
      <c r="P230" s="11">
        <v>15612200000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15612200000</v>
      </c>
      <c r="X230" s="11">
        <v>0</v>
      </c>
      <c r="Y230" s="17">
        <v>15612200000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15612200000</v>
      </c>
      <c r="AG230" s="11">
        <v>0</v>
      </c>
      <c r="AH230" s="12">
        <v>15612200000</v>
      </c>
      <c r="AI230" s="11">
        <v>15612200000</v>
      </c>
      <c r="AJ230" s="11">
        <v>15612200000</v>
      </c>
      <c r="AK230" s="11">
        <v>15612200000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t="s">
        <v>1396</v>
      </c>
      <c r="AS230" s="4" t="str">
        <f>+G230</f>
        <v>Superávit Resolucion 1293 de 2022 Minsalud Laboratorio de Salud Pública</v>
      </c>
      <c r="AT230" t="str">
        <f t="shared" si="41"/>
        <v>230Superávit Resolucion 1293 de 2022 Minsalud Laboratorio de Salud Pública15612200000</v>
      </c>
      <c r="AU230" t="str">
        <f>+_xlfn.XLOOKUP(AT230,CRUCE!K:K,CRUCE!M:M)</f>
        <v>READY</v>
      </c>
      <c r="AV230" t="s">
        <v>1907</v>
      </c>
    </row>
    <row r="231" spans="1:48" x14ac:dyDescent="0.3">
      <c r="A231">
        <v>2023</v>
      </c>
      <c r="B231">
        <v>307</v>
      </c>
      <c r="C231">
        <v>12100200261</v>
      </c>
      <c r="D231" s="5">
        <v>229</v>
      </c>
      <c r="E231" s="8" t="s">
        <v>1397</v>
      </c>
      <c r="F231">
        <v>12100200261</v>
      </c>
      <c r="G231" s="8" t="s">
        <v>1398</v>
      </c>
      <c r="H231" t="s">
        <v>47</v>
      </c>
      <c r="I231" s="11">
        <v>0</v>
      </c>
      <c r="J231" s="11">
        <v>0</v>
      </c>
      <c r="K231" s="11">
        <v>151323517</v>
      </c>
      <c r="L231" s="11">
        <v>0</v>
      </c>
      <c r="M231" s="11">
        <v>151323517</v>
      </c>
      <c r="N231" s="11">
        <v>151323517</v>
      </c>
      <c r="O231" s="11">
        <v>0</v>
      </c>
      <c r="P231" s="11">
        <v>151323517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151323517</v>
      </c>
      <c r="X231" s="11">
        <v>0</v>
      </c>
      <c r="Y231" s="17">
        <v>151323517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151323517</v>
      </c>
      <c r="AG231" s="11">
        <v>0</v>
      </c>
      <c r="AH231" s="12">
        <v>151323517</v>
      </c>
      <c r="AI231" s="11">
        <v>151323517</v>
      </c>
      <c r="AJ231" s="11">
        <v>151323517</v>
      </c>
      <c r="AK231" s="11">
        <v>151323517</v>
      </c>
      <c r="AL231" s="11">
        <v>0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t="s">
        <v>1399</v>
      </c>
      <c r="AS231" s="4" t="str">
        <f>+G231</f>
        <v>Superávit convenio Invias 1645 de 2021 Salento Arrayanel</v>
      </c>
      <c r="AT231" t="str">
        <f t="shared" si="41"/>
        <v>229Superávit convenio Invias 1645 de 2021 Salento Arrayanel151323517</v>
      </c>
      <c r="AU231" t="str">
        <f>+_xlfn.XLOOKUP(AT231,CRUCE!K:K,CRUCE!M:M)</f>
        <v>READY</v>
      </c>
      <c r="AV231" t="s">
        <v>1907</v>
      </c>
    </row>
    <row r="232" spans="1:48" x14ac:dyDescent="0.3">
      <c r="A232">
        <v>2023</v>
      </c>
      <c r="B232">
        <v>307</v>
      </c>
      <c r="C232">
        <v>12100200262</v>
      </c>
      <c r="D232" s="5">
        <v>231</v>
      </c>
      <c r="E232" s="8" t="s">
        <v>1400</v>
      </c>
      <c r="F232">
        <v>12100200262</v>
      </c>
      <c r="G232" s="8" t="s">
        <v>1401</v>
      </c>
      <c r="H232" t="s">
        <v>47</v>
      </c>
      <c r="I232" s="11">
        <v>0</v>
      </c>
      <c r="J232" s="11">
        <v>0</v>
      </c>
      <c r="K232" s="11">
        <v>1462010</v>
      </c>
      <c r="L232" s="11">
        <v>0</v>
      </c>
      <c r="M232" s="11">
        <v>1462010</v>
      </c>
      <c r="N232" s="11">
        <v>1462010</v>
      </c>
      <c r="O232" s="11">
        <v>0</v>
      </c>
      <c r="P232" s="11">
        <v>1462010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1462010</v>
      </c>
      <c r="X232" s="11">
        <v>0</v>
      </c>
      <c r="Y232" s="17">
        <v>1462010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1462010</v>
      </c>
      <c r="AG232" s="11">
        <v>0</v>
      </c>
      <c r="AH232" s="12">
        <v>1462010</v>
      </c>
      <c r="AI232" s="11">
        <v>1462010</v>
      </c>
      <c r="AJ232" s="11">
        <v>1462010</v>
      </c>
      <c r="AK232" s="11">
        <v>1462010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t="s">
        <v>1402</v>
      </c>
      <c r="AS232" s="4" t="str">
        <f>+G232</f>
        <v xml:space="preserve">Superávit Monopolio Deporte Alcohol Potable </v>
      </c>
      <c r="AT232" t="str">
        <f t="shared" si="41"/>
        <v>231Superávit Monopolio Deporte Alcohol Potable 1462010</v>
      </c>
      <c r="AU232" t="str">
        <f>+_xlfn.XLOOKUP(AT232,CRUCE!K:K,CRUCE!M:M)</f>
        <v>READY</v>
      </c>
      <c r="AV232" t="s">
        <v>1907</v>
      </c>
    </row>
    <row r="233" spans="1:48" hidden="1" x14ac:dyDescent="0.3">
      <c r="A233">
        <v>2023</v>
      </c>
      <c r="B233">
        <v>307</v>
      </c>
      <c r="C233">
        <v>1212</v>
      </c>
      <c r="D233" s="5" t="s">
        <v>44</v>
      </c>
      <c r="E233" s="8" t="s">
        <v>539</v>
      </c>
      <c r="F233">
        <v>1212</v>
      </c>
      <c r="G233" s="8" t="s">
        <v>540</v>
      </c>
      <c r="H233" t="s">
        <v>47</v>
      </c>
      <c r="I233" s="11">
        <v>7989593333</v>
      </c>
      <c r="J233" s="11">
        <v>7989593333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7989593333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9595462561</v>
      </c>
      <c r="X233" s="11">
        <v>21325400</v>
      </c>
      <c r="Y233" s="17">
        <v>9574137161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9595462561</v>
      </c>
      <c r="AG233" s="11">
        <v>21325400</v>
      </c>
      <c r="AH233" s="12">
        <v>9574137161</v>
      </c>
      <c r="AI233" s="11">
        <v>9574137161</v>
      </c>
      <c r="AJ233" s="11">
        <v>-21325400</v>
      </c>
      <c r="AK233" s="11">
        <v>-21325400</v>
      </c>
      <c r="AL233" s="11">
        <v>9595462561</v>
      </c>
      <c r="AM233" s="11">
        <v>9595462561</v>
      </c>
      <c r="AN233" s="11">
        <v>0</v>
      </c>
      <c r="AO233" s="11">
        <v>9595462561</v>
      </c>
      <c r="AP233" s="11">
        <v>0</v>
      </c>
      <c r="AQ233" s="11">
        <v>0</v>
      </c>
      <c r="AR233" t="s">
        <v>48</v>
      </c>
      <c r="AS233"/>
    </row>
    <row r="234" spans="1:48" hidden="1" x14ac:dyDescent="0.3">
      <c r="A234">
        <v>2023</v>
      </c>
      <c r="B234">
        <v>307</v>
      </c>
      <c r="C234">
        <v>121203</v>
      </c>
      <c r="D234" s="5" t="s">
        <v>44</v>
      </c>
      <c r="E234" s="8" t="s">
        <v>1403</v>
      </c>
      <c r="F234">
        <v>121203</v>
      </c>
      <c r="G234" s="8" t="s">
        <v>1404</v>
      </c>
      <c r="H234" t="s">
        <v>47</v>
      </c>
      <c r="I234" s="11">
        <v>7989593333</v>
      </c>
      <c r="J234" s="11">
        <v>7989593333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7989593333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9595462561</v>
      </c>
      <c r="X234" s="11">
        <v>21325400</v>
      </c>
      <c r="Y234" s="17">
        <v>9574137161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9595462561</v>
      </c>
      <c r="AG234" s="11">
        <v>21325400</v>
      </c>
      <c r="AH234" s="12">
        <v>9574137161</v>
      </c>
      <c r="AI234" s="11">
        <v>9574137161</v>
      </c>
      <c r="AJ234" s="11">
        <v>-21325400</v>
      </c>
      <c r="AK234" s="11">
        <v>-21325400</v>
      </c>
      <c r="AL234" s="11">
        <v>9595462561</v>
      </c>
      <c r="AM234" s="11">
        <v>9595462561</v>
      </c>
      <c r="AN234" s="11">
        <v>0</v>
      </c>
      <c r="AO234" s="11">
        <v>9595462561</v>
      </c>
      <c r="AP234" s="11">
        <v>0</v>
      </c>
      <c r="AQ234" s="11">
        <v>0</v>
      </c>
      <c r="AR234" t="s">
        <v>48</v>
      </c>
      <c r="AS234"/>
    </row>
    <row r="235" spans="1:48" x14ac:dyDescent="0.3">
      <c r="A235">
        <v>2023</v>
      </c>
      <c r="B235">
        <v>307</v>
      </c>
      <c r="C235">
        <v>121203001</v>
      </c>
      <c r="D235" s="5">
        <v>135</v>
      </c>
      <c r="E235" s="8" t="s">
        <v>1405</v>
      </c>
      <c r="F235">
        <v>121203001</v>
      </c>
      <c r="G235" s="8" t="s">
        <v>544</v>
      </c>
      <c r="H235" t="s">
        <v>47</v>
      </c>
      <c r="I235" s="11">
        <v>7989593333</v>
      </c>
      <c r="J235" s="11">
        <v>7989593333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7989593333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9595462561</v>
      </c>
      <c r="X235" s="11">
        <v>21325400</v>
      </c>
      <c r="Y235" s="17">
        <v>9574137161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9595462561</v>
      </c>
      <c r="AG235" s="11">
        <v>21325400</v>
      </c>
      <c r="AH235" s="12">
        <v>9574137161</v>
      </c>
      <c r="AI235" s="11">
        <v>9574137161</v>
      </c>
      <c r="AJ235" s="11">
        <v>-21325400</v>
      </c>
      <c r="AK235" s="11">
        <v>-21325400</v>
      </c>
      <c r="AL235" s="11">
        <v>9595462561</v>
      </c>
      <c r="AM235" s="11">
        <v>9595462561</v>
      </c>
      <c r="AN235" s="11">
        <v>0</v>
      </c>
      <c r="AO235" s="11">
        <v>9595462561</v>
      </c>
      <c r="AP235" s="11">
        <v>0</v>
      </c>
      <c r="AQ235" s="11">
        <v>0</v>
      </c>
      <c r="AR235" t="s">
        <v>1140</v>
      </c>
      <c r="AS235" s="4" t="str">
        <f>+G235</f>
        <v>Para el pago del pasivo pensional corriente</v>
      </c>
      <c r="AT235" t="str">
        <f>+D235&amp;AS235&amp;Y235</f>
        <v>135Para el pago del pasivo pensional corriente9574137161</v>
      </c>
      <c r="AU235" t="str">
        <f>+_xlfn.XLOOKUP(AT235,CRUCE!K:K,CRUCE!M:M)</f>
        <v>READY</v>
      </c>
      <c r="AV235" t="s">
        <v>1907</v>
      </c>
    </row>
    <row r="236" spans="1:48" hidden="1" x14ac:dyDescent="0.3">
      <c r="A236">
        <v>2023</v>
      </c>
      <c r="B236">
        <v>307</v>
      </c>
      <c r="C236">
        <v>1213</v>
      </c>
      <c r="D236" s="5" t="s">
        <v>44</v>
      </c>
      <c r="E236" s="8" t="s">
        <v>545</v>
      </c>
      <c r="F236">
        <v>1213</v>
      </c>
      <c r="G236" s="8" t="s">
        <v>546</v>
      </c>
      <c r="H236" t="s">
        <v>47</v>
      </c>
      <c r="I236" s="11">
        <v>10000000</v>
      </c>
      <c r="J236" s="11">
        <v>10000000</v>
      </c>
      <c r="K236" s="11">
        <v>408270300.94999999</v>
      </c>
      <c r="L236" s="11">
        <v>0</v>
      </c>
      <c r="M236" s="11">
        <v>408270300.94999999</v>
      </c>
      <c r="N236" s="11">
        <v>408270300.94999999</v>
      </c>
      <c r="O236" s="11">
        <v>0</v>
      </c>
      <c r="P236" s="11">
        <v>418270300.94999999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1634969893.9300001</v>
      </c>
      <c r="X236" s="11">
        <v>611500635.86000001</v>
      </c>
      <c r="Y236" s="17">
        <v>1023469258.0700001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1634969893.9300001</v>
      </c>
      <c r="AG236" s="11">
        <v>611500635.86000001</v>
      </c>
      <c r="AH236" s="12">
        <v>1023469258.0700001</v>
      </c>
      <c r="AI236" s="11">
        <v>1023469258.0700001</v>
      </c>
      <c r="AJ236" s="11">
        <v>0</v>
      </c>
      <c r="AK236" s="11">
        <v>0</v>
      </c>
      <c r="AL236" s="11">
        <v>1023469258.0700001</v>
      </c>
      <c r="AM236" s="11">
        <v>1226699592.98</v>
      </c>
      <c r="AN236" s="11">
        <v>203230334.91</v>
      </c>
      <c r="AO236" s="11">
        <v>1226699592.98</v>
      </c>
      <c r="AP236" s="11">
        <v>0</v>
      </c>
      <c r="AQ236" s="11">
        <v>203230334.91</v>
      </c>
      <c r="AR236" t="s">
        <v>48</v>
      </c>
      <c r="AS236"/>
    </row>
    <row r="237" spans="1:48" x14ac:dyDescent="0.3">
      <c r="A237">
        <v>2023</v>
      </c>
      <c r="B237">
        <v>307</v>
      </c>
      <c r="C237">
        <v>121301</v>
      </c>
      <c r="D237" s="5">
        <v>6</v>
      </c>
      <c r="E237" s="8" t="s">
        <v>549</v>
      </c>
      <c r="F237">
        <v>121301</v>
      </c>
      <c r="G237" s="8" t="s">
        <v>459</v>
      </c>
      <c r="H237" t="s">
        <v>47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592382428.37</v>
      </c>
      <c r="X237" s="11">
        <v>500326364.66000003</v>
      </c>
      <c r="Y237" s="17">
        <v>92056063.709999993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592382428.37</v>
      </c>
      <c r="AG237" s="11">
        <v>500326364.66000003</v>
      </c>
      <c r="AH237" s="12">
        <v>92056063.709999993</v>
      </c>
      <c r="AI237" s="11">
        <v>92056063.709999993</v>
      </c>
      <c r="AJ237" s="11">
        <v>-408270300.94999999</v>
      </c>
      <c r="AK237" s="11">
        <v>-408270300.94999999</v>
      </c>
      <c r="AL237" s="11">
        <v>500326364.66000003</v>
      </c>
      <c r="AM237" s="11">
        <v>592382428.37</v>
      </c>
      <c r="AN237" s="11">
        <v>92056063.709999993</v>
      </c>
      <c r="AO237" s="11">
        <v>592382428.37</v>
      </c>
      <c r="AP237" s="11">
        <v>0</v>
      </c>
      <c r="AQ237" s="11">
        <v>92056063.709999993</v>
      </c>
      <c r="AR237" t="s">
        <v>120</v>
      </c>
      <c r="AS237" s="4" t="str">
        <f t="shared" ref="AS237:AS240" si="44">+G237</f>
        <v>Reintegros</v>
      </c>
      <c r="AT237" t="str">
        <f t="shared" ref="AT237:AT241" si="45">+D237&amp;AS237&amp;Y237</f>
        <v>6Reintegros92056063,71</v>
      </c>
      <c r="AU237" t="str">
        <f>+_xlfn.XLOOKUP(AT237,CRUCE!K:K,CRUCE!M:M)</f>
        <v>READY</v>
      </c>
      <c r="AV237" t="s">
        <v>1907</v>
      </c>
    </row>
    <row r="238" spans="1:48" x14ac:dyDescent="0.3">
      <c r="A238">
        <v>2023</v>
      </c>
      <c r="B238">
        <v>307</v>
      </c>
      <c r="C238">
        <v>121301</v>
      </c>
      <c r="D238" s="5">
        <v>135</v>
      </c>
      <c r="E238" s="8" t="s">
        <v>1204</v>
      </c>
      <c r="F238">
        <v>121301</v>
      </c>
      <c r="G238" s="8" t="s">
        <v>459</v>
      </c>
      <c r="H238" t="s">
        <v>47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7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2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t="s">
        <v>1140</v>
      </c>
      <c r="AS238" s="4" t="str">
        <f t="shared" si="44"/>
        <v>Reintegros</v>
      </c>
      <c r="AT238" t="str">
        <f t="shared" si="45"/>
        <v>135Reintegros0</v>
      </c>
      <c r="AU238" t="str">
        <f>+_xlfn.XLOOKUP(AT238,CRUCE!K:K,CRUCE!M:M)</f>
        <v>READY</v>
      </c>
      <c r="AV238" t="s">
        <v>1907</v>
      </c>
    </row>
    <row r="239" spans="1:48" x14ac:dyDescent="0.3">
      <c r="A239">
        <v>2023</v>
      </c>
      <c r="B239">
        <v>307</v>
      </c>
      <c r="C239">
        <v>121301</v>
      </c>
      <c r="D239" s="5">
        <v>20</v>
      </c>
      <c r="E239" s="8" t="s">
        <v>552</v>
      </c>
      <c r="F239">
        <v>121301</v>
      </c>
      <c r="G239" s="8" t="s">
        <v>459</v>
      </c>
      <c r="H239" t="s">
        <v>47</v>
      </c>
      <c r="I239" s="11">
        <v>10000000</v>
      </c>
      <c r="J239" s="11">
        <v>10000000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10000000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624317164.61000001</v>
      </c>
      <c r="X239" s="11">
        <v>111174271.2</v>
      </c>
      <c r="Y239" s="17">
        <v>513142893.41000003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624317164.61000001</v>
      </c>
      <c r="AG239" s="11">
        <v>111174271.2</v>
      </c>
      <c r="AH239" s="12">
        <v>513142893.41000003</v>
      </c>
      <c r="AI239" s="11">
        <v>513142893.41000003</v>
      </c>
      <c r="AJ239" s="11">
        <v>0</v>
      </c>
      <c r="AK239" s="11">
        <v>0</v>
      </c>
      <c r="AL239" s="11">
        <v>513142893.41000003</v>
      </c>
      <c r="AM239" s="11">
        <v>624317164.61000001</v>
      </c>
      <c r="AN239" s="11">
        <v>111174271.2</v>
      </c>
      <c r="AO239" s="11">
        <v>624317164.61000001</v>
      </c>
      <c r="AP239" s="11">
        <v>0</v>
      </c>
      <c r="AQ239" s="11">
        <v>111174271.2</v>
      </c>
      <c r="AR239" t="s">
        <v>57</v>
      </c>
      <c r="AS239" s="4" t="str">
        <f t="shared" si="44"/>
        <v>Reintegros</v>
      </c>
      <c r="AT239" t="str">
        <f t="shared" si="45"/>
        <v>20Reintegros513142893,41</v>
      </c>
      <c r="AU239" t="str">
        <f>+_xlfn.XLOOKUP(AT239,CRUCE!K:K,CRUCE!M:M)</f>
        <v>READY</v>
      </c>
      <c r="AV239" t="s">
        <v>1907</v>
      </c>
    </row>
    <row r="240" spans="1:48" x14ac:dyDescent="0.3">
      <c r="A240">
        <v>2023</v>
      </c>
      <c r="B240">
        <v>307</v>
      </c>
      <c r="C240">
        <v>121301</v>
      </c>
      <c r="D240" s="5">
        <v>202</v>
      </c>
      <c r="E240" s="8" t="s">
        <v>1205</v>
      </c>
      <c r="F240">
        <v>121301</v>
      </c>
      <c r="G240" s="8" t="s">
        <v>459</v>
      </c>
      <c r="H240" t="s">
        <v>47</v>
      </c>
      <c r="I240" s="11">
        <v>0</v>
      </c>
      <c r="J240" s="11">
        <v>0</v>
      </c>
      <c r="K240" s="11">
        <v>408270300.94999999</v>
      </c>
      <c r="L240" s="11">
        <v>0</v>
      </c>
      <c r="M240" s="11">
        <v>408270300.94999999</v>
      </c>
      <c r="N240" s="11">
        <v>408270300.94999999</v>
      </c>
      <c r="O240" s="11">
        <v>0</v>
      </c>
      <c r="P240" s="11">
        <v>408270300.94999999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408270300.94999999</v>
      </c>
      <c r="X240" s="11">
        <v>0</v>
      </c>
      <c r="Y240" s="17">
        <v>408270300.94999999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408270300.94999999</v>
      </c>
      <c r="AG240" s="11">
        <v>0</v>
      </c>
      <c r="AH240" s="12">
        <v>408270300.94999999</v>
      </c>
      <c r="AI240" s="11">
        <v>408270300.94999999</v>
      </c>
      <c r="AJ240" s="11">
        <v>408270300.94999999</v>
      </c>
      <c r="AK240" s="11">
        <v>408270300.94999999</v>
      </c>
      <c r="AL240" s="11">
        <v>0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t="s">
        <v>467</v>
      </c>
      <c r="AS240" s="4" t="str">
        <f t="shared" si="44"/>
        <v>Reintegros</v>
      </c>
      <c r="AT240" t="str">
        <f t="shared" si="45"/>
        <v>202Reintegros408270300,95</v>
      </c>
      <c r="AU240" t="str">
        <f>+_xlfn.XLOOKUP(AT240,CRUCE!K:K,CRUCE!M:M)</f>
        <v>READY</v>
      </c>
      <c r="AV240" t="s">
        <v>1907</v>
      </c>
    </row>
    <row r="241" spans="1:48" x14ac:dyDescent="0.3">
      <c r="A241">
        <v>2023</v>
      </c>
      <c r="B241">
        <v>307</v>
      </c>
      <c r="C241">
        <v>121301</v>
      </c>
      <c r="D241" s="5">
        <v>52</v>
      </c>
      <c r="E241" s="8" t="s">
        <v>1406</v>
      </c>
      <c r="F241">
        <v>121301</v>
      </c>
      <c r="G241" s="8" t="s">
        <v>459</v>
      </c>
      <c r="H241" t="s">
        <v>47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10000000</v>
      </c>
      <c r="X241" s="11">
        <v>0</v>
      </c>
      <c r="Y241" s="17">
        <v>10000000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10000000</v>
      </c>
      <c r="AG241" s="11">
        <v>0</v>
      </c>
      <c r="AH241" s="12">
        <v>10000000</v>
      </c>
      <c r="AI241" s="11">
        <v>10000000</v>
      </c>
      <c r="AJ241" s="11">
        <v>0</v>
      </c>
      <c r="AK241" s="11">
        <v>0</v>
      </c>
      <c r="AL241" s="11">
        <v>10000000</v>
      </c>
      <c r="AM241" s="11">
        <v>10000000</v>
      </c>
      <c r="AN241" s="11">
        <v>0</v>
      </c>
      <c r="AO241" s="11">
        <v>10000000</v>
      </c>
      <c r="AP241" s="11">
        <v>0</v>
      </c>
      <c r="AQ241" s="11">
        <v>0</v>
      </c>
      <c r="AR241" t="s">
        <v>69</v>
      </c>
      <c r="AS241" s="4" t="str">
        <f>+G241</f>
        <v>Reintegros</v>
      </c>
      <c r="AT241" t="str">
        <f t="shared" si="45"/>
        <v>52Reintegros10000000</v>
      </c>
      <c r="AU241" t="str">
        <f>+_xlfn.XLOOKUP(AT241,CRUCE!K:K,CRUCE!M:M)</f>
        <v>READY</v>
      </c>
      <c r="AV241" t="s">
        <v>1907</v>
      </c>
    </row>
    <row r="242" spans="1:48" hidden="1" x14ac:dyDescent="0.3">
      <c r="A242">
        <v>2023</v>
      </c>
      <c r="B242">
        <v>314</v>
      </c>
      <c r="C242">
        <v>1</v>
      </c>
      <c r="D242" s="5" t="s">
        <v>44</v>
      </c>
      <c r="E242" s="8" t="s">
        <v>557</v>
      </c>
      <c r="F242">
        <v>1</v>
      </c>
      <c r="G242" s="8" t="s">
        <v>46</v>
      </c>
      <c r="H242" t="s">
        <v>558</v>
      </c>
      <c r="I242" s="11">
        <v>196054000000</v>
      </c>
      <c r="J242" s="11">
        <v>196054000000</v>
      </c>
      <c r="K242" s="11">
        <v>21754623056.919998</v>
      </c>
      <c r="L242" s="11">
        <v>19511216570</v>
      </c>
      <c r="M242" s="11">
        <v>2243406486.9200001</v>
      </c>
      <c r="N242" s="11">
        <v>21754623056.919998</v>
      </c>
      <c r="O242" s="11">
        <v>19511216570</v>
      </c>
      <c r="P242" s="11">
        <v>198297406486.92001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201340833418.82001</v>
      </c>
      <c r="X242" s="11">
        <v>3134565906.9000001</v>
      </c>
      <c r="Y242" s="17">
        <v>198206267511.92001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201340833418.82001</v>
      </c>
      <c r="AG242" s="11">
        <v>3134565906.9000001</v>
      </c>
      <c r="AH242" s="12">
        <v>198206267511.92001</v>
      </c>
      <c r="AI242" s="11">
        <v>198206267511.92001</v>
      </c>
      <c r="AJ242" s="11">
        <v>14881305079.200001</v>
      </c>
      <c r="AK242" s="11">
        <v>14881305079.200001</v>
      </c>
      <c r="AL242" s="11">
        <v>183325366253.62</v>
      </c>
      <c r="AM242" s="11">
        <v>183861955024.62</v>
      </c>
      <c r="AN242" s="11">
        <v>536588771</v>
      </c>
      <c r="AO242" s="11">
        <v>183861955024.62</v>
      </c>
      <c r="AP242" s="11">
        <v>0</v>
      </c>
      <c r="AQ242" s="11">
        <v>536588771</v>
      </c>
      <c r="AR242" t="s">
        <v>48</v>
      </c>
      <c r="AS242"/>
    </row>
    <row r="243" spans="1:48" hidden="1" x14ac:dyDescent="0.3">
      <c r="A243">
        <v>2023</v>
      </c>
      <c r="B243">
        <v>314</v>
      </c>
      <c r="C243">
        <v>11</v>
      </c>
      <c r="D243" s="5" t="s">
        <v>44</v>
      </c>
      <c r="E243" s="8" t="s">
        <v>559</v>
      </c>
      <c r="F243">
        <v>11</v>
      </c>
      <c r="G243" s="8" t="s">
        <v>50</v>
      </c>
      <c r="H243" t="s">
        <v>558</v>
      </c>
      <c r="I243" s="11">
        <v>195959000000</v>
      </c>
      <c r="J243" s="11">
        <v>195959000000</v>
      </c>
      <c r="K243" s="11">
        <v>18285164317.5</v>
      </c>
      <c r="L243" s="11">
        <v>18851216570</v>
      </c>
      <c r="M243" s="11">
        <v>-566052252.5</v>
      </c>
      <c r="N243" s="11">
        <v>18285164317.5</v>
      </c>
      <c r="O243" s="11">
        <v>18851216570</v>
      </c>
      <c r="P243" s="11">
        <v>195392947747.5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198264018386.5</v>
      </c>
      <c r="X243" s="11">
        <v>2962209614</v>
      </c>
      <c r="Y243" s="17">
        <v>195301808772.5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198264018386.5</v>
      </c>
      <c r="AG243" s="11">
        <v>2962209614</v>
      </c>
      <c r="AH243" s="12">
        <v>195301808772.5</v>
      </c>
      <c r="AI243" s="11">
        <v>195301808772.5</v>
      </c>
      <c r="AJ243" s="11">
        <v>13109794348</v>
      </c>
      <c r="AK243" s="11">
        <v>13109794348</v>
      </c>
      <c r="AL243" s="11">
        <v>182192014424.5</v>
      </c>
      <c r="AM243" s="11">
        <v>182556650723.5</v>
      </c>
      <c r="AN243" s="11">
        <v>364636299</v>
      </c>
      <c r="AO243" s="11">
        <v>182556650723.5</v>
      </c>
      <c r="AP243" s="11">
        <v>0</v>
      </c>
      <c r="AQ243" s="11">
        <v>364636299</v>
      </c>
      <c r="AR243" t="s">
        <v>48</v>
      </c>
      <c r="AS243"/>
    </row>
    <row r="244" spans="1:48" hidden="1" x14ac:dyDescent="0.3">
      <c r="A244">
        <v>2023</v>
      </c>
      <c r="B244">
        <v>314</v>
      </c>
      <c r="C244">
        <v>1102</v>
      </c>
      <c r="D244" s="5" t="s">
        <v>44</v>
      </c>
      <c r="E244" s="8" t="s">
        <v>560</v>
      </c>
      <c r="F244">
        <v>1102</v>
      </c>
      <c r="G244" s="8" t="s">
        <v>145</v>
      </c>
      <c r="H244" t="s">
        <v>558</v>
      </c>
      <c r="I244" s="11">
        <v>195959000000</v>
      </c>
      <c r="J244" s="11">
        <v>195959000000</v>
      </c>
      <c r="K244" s="11">
        <v>18285164317.5</v>
      </c>
      <c r="L244" s="11">
        <v>18851216570</v>
      </c>
      <c r="M244" s="11">
        <v>-566052252.5</v>
      </c>
      <c r="N244" s="11">
        <v>18285164317.5</v>
      </c>
      <c r="O244" s="11">
        <v>18851216570</v>
      </c>
      <c r="P244" s="11">
        <v>195392947747.5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198264018386.5</v>
      </c>
      <c r="X244" s="11">
        <v>2962209614</v>
      </c>
      <c r="Y244" s="17">
        <v>195301808772.5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198264018386.5</v>
      </c>
      <c r="AG244" s="11">
        <v>2962209614</v>
      </c>
      <c r="AH244" s="12">
        <v>195301808772.5</v>
      </c>
      <c r="AI244" s="11">
        <v>195301808772.5</v>
      </c>
      <c r="AJ244" s="11">
        <v>13109794348</v>
      </c>
      <c r="AK244" s="11">
        <v>13109794348</v>
      </c>
      <c r="AL244" s="11">
        <v>182192014424.5</v>
      </c>
      <c r="AM244" s="11">
        <v>182556650723.5</v>
      </c>
      <c r="AN244" s="11">
        <v>364636299</v>
      </c>
      <c r="AO244" s="11">
        <v>182556650723.5</v>
      </c>
      <c r="AP244" s="11">
        <v>0</v>
      </c>
      <c r="AQ244" s="11">
        <v>364636299</v>
      </c>
      <c r="AR244" t="s">
        <v>48</v>
      </c>
      <c r="AS244"/>
    </row>
    <row r="245" spans="1:48" hidden="1" x14ac:dyDescent="0.3">
      <c r="A245">
        <v>2023</v>
      </c>
      <c r="B245">
        <v>314</v>
      </c>
      <c r="C245">
        <v>110206</v>
      </c>
      <c r="D245" s="5" t="s">
        <v>44</v>
      </c>
      <c r="E245" s="8" t="s">
        <v>561</v>
      </c>
      <c r="F245">
        <v>110206</v>
      </c>
      <c r="G245" s="8" t="s">
        <v>242</v>
      </c>
      <c r="H245" t="s">
        <v>558</v>
      </c>
      <c r="I245" s="11">
        <v>195959000000</v>
      </c>
      <c r="J245" s="11">
        <v>195959000000</v>
      </c>
      <c r="K245" s="11">
        <v>18285164317.5</v>
      </c>
      <c r="L245" s="11">
        <v>18851216570</v>
      </c>
      <c r="M245" s="11">
        <v>-566052252.5</v>
      </c>
      <c r="N245" s="11">
        <v>18285164317.5</v>
      </c>
      <c r="O245" s="11">
        <v>18851216570</v>
      </c>
      <c r="P245" s="11">
        <v>195392947747.5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198264018386.5</v>
      </c>
      <c r="X245" s="11">
        <v>2962209614</v>
      </c>
      <c r="Y245" s="17">
        <v>195301808772.5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198264018386.5</v>
      </c>
      <c r="AG245" s="11">
        <v>2962209614</v>
      </c>
      <c r="AH245" s="12">
        <v>195301808772.5</v>
      </c>
      <c r="AI245" s="11">
        <v>195301808772.5</v>
      </c>
      <c r="AJ245" s="11">
        <v>13109794348</v>
      </c>
      <c r="AK245" s="11">
        <v>13109794348</v>
      </c>
      <c r="AL245" s="11">
        <v>182192014424.5</v>
      </c>
      <c r="AM245" s="11">
        <v>182556650723.5</v>
      </c>
      <c r="AN245" s="11">
        <v>364636299</v>
      </c>
      <c r="AO245" s="11">
        <v>182556650723.5</v>
      </c>
      <c r="AP245" s="11">
        <v>0</v>
      </c>
      <c r="AQ245" s="11">
        <v>364636299</v>
      </c>
      <c r="AR245" t="s">
        <v>48</v>
      </c>
      <c r="AS245"/>
    </row>
    <row r="246" spans="1:48" hidden="1" x14ac:dyDescent="0.3">
      <c r="A246">
        <v>2023</v>
      </c>
      <c r="B246">
        <v>314</v>
      </c>
      <c r="C246">
        <v>110206001</v>
      </c>
      <c r="D246" s="5" t="s">
        <v>44</v>
      </c>
      <c r="E246" s="8" t="s">
        <v>562</v>
      </c>
      <c r="F246">
        <v>110206001</v>
      </c>
      <c r="G246" s="8" t="s">
        <v>244</v>
      </c>
      <c r="H246" t="s">
        <v>558</v>
      </c>
      <c r="I246" s="11">
        <v>186723000000</v>
      </c>
      <c r="J246" s="11">
        <v>186723000000</v>
      </c>
      <c r="K246" s="11">
        <v>13826321742</v>
      </c>
      <c r="L246" s="11">
        <v>18851216570</v>
      </c>
      <c r="M246" s="11">
        <v>-5024894828</v>
      </c>
      <c r="N246" s="11">
        <v>13826321742</v>
      </c>
      <c r="O246" s="11">
        <v>18851216570</v>
      </c>
      <c r="P246" s="11">
        <v>181698105172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184608877890</v>
      </c>
      <c r="X246" s="11">
        <v>2910772718</v>
      </c>
      <c r="Y246" s="17">
        <v>181698105172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184608877890</v>
      </c>
      <c r="AG246" s="11">
        <v>2910772718</v>
      </c>
      <c r="AH246" s="12">
        <v>181698105172</v>
      </c>
      <c r="AI246" s="11">
        <v>181698105172</v>
      </c>
      <c r="AJ246" s="11">
        <v>13109794348</v>
      </c>
      <c r="AK246" s="11">
        <v>13109794348</v>
      </c>
      <c r="AL246" s="11">
        <v>168588310824</v>
      </c>
      <c r="AM246" s="11">
        <v>168901510227</v>
      </c>
      <c r="AN246" s="11">
        <v>313199403</v>
      </c>
      <c r="AO246" s="11">
        <v>168901510227</v>
      </c>
      <c r="AP246" s="11">
        <v>0</v>
      </c>
      <c r="AQ246" s="11">
        <v>313199403</v>
      </c>
      <c r="AR246" t="s">
        <v>48</v>
      </c>
      <c r="AS246"/>
    </row>
    <row r="247" spans="1:48" hidden="1" x14ac:dyDescent="0.3">
      <c r="A247">
        <v>2023</v>
      </c>
      <c r="B247">
        <v>314</v>
      </c>
      <c r="C247">
        <v>11020600101</v>
      </c>
      <c r="D247" s="5" t="s">
        <v>44</v>
      </c>
      <c r="E247" s="8" t="s">
        <v>563</v>
      </c>
      <c r="F247">
        <v>11020600101</v>
      </c>
      <c r="G247" s="8" t="s">
        <v>564</v>
      </c>
      <c r="H247" t="s">
        <v>558</v>
      </c>
      <c r="I247" s="11">
        <v>186723000000</v>
      </c>
      <c r="J247" s="11">
        <v>186723000000</v>
      </c>
      <c r="K247" s="11">
        <v>13826321742</v>
      </c>
      <c r="L247" s="11">
        <v>18851216570</v>
      </c>
      <c r="M247" s="11">
        <v>-5024894828</v>
      </c>
      <c r="N247" s="11">
        <v>13826321742</v>
      </c>
      <c r="O247" s="11">
        <v>18851216570</v>
      </c>
      <c r="P247" s="11">
        <v>181698105172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184608877890</v>
      </c>
      <c r="X247" s="11">
        <v>2910772718</v>
      </c>
      <c r="Y247" s="17">
        <v>181698105172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184608877890</v>
      </c>
      <c r="AG247" s="11">
        <v>2910772718</v>
      </c>
      <c r="AH247" s="12">
        <v>181698105172</v>
      </c>
      <c r="AI247" s="11">
        <v>181698105172</v>
      </c>
      <c r="AJ247" s="11">
        <v>13109794348</v>
      </c>
      <c r="AK247" s="11">
        <v>13109794348</v>
      </c>
      <c r="AL247" s="11">
        <v>168588310824</v>
      </c>
      <c r="AM247" s="11">
        <v>168901510227</v>
      </c>
      <c r="AN247" s="11">
        <v>313199403</v>
      </c>
      <c r="AO247" s="11">
        <v>168901510227</v>
      </c>
      <c r="AP247" s="11">
        <v>0</v>
      </c>
      <c r="AQ247" s="11">
        <v>313199403</v>
      </c>
      <c r="AR247" t="s">
        <v>48</v>
      </c>
      <c r="AS247"/>
    </row>
    <row r="248" spans="1:48" x14ac:dyDescent="0.3">
      <c r="A248">
        <v>2023</v>
      </c>
      <c r="B248">
        <v>314</v>
      </c>
      <c r="C248">
        <v>1102060010101</v>
      </c>
      <c r="D248" s="5">
        <v>25</v>
      </c>
      <c r="E248" s="8" t="s">
        <v>565</v>
      </c>
      <c r="F248">
        <v>1102060010101</v>
      </c>
      <c r="G248" s="8" t="s">
        <v>566</v>
      </c>
      <c r="H248" t="s">
        <v>558</v>
      </c>
      <c r="I248" s="11">
        <v>156853000000</v>
      </c>
      <c r="J248" s="11">
        <v>156853000000</v>
      </c>
      <c r="K248" s="11">
        <v>12869855852</v>
      </c>
      <c r="L248" s="11">
        <v>1134545028</v>
      </c>
      <c r="M248" s="11">
        <v>11735310824</v>
      </c>
      <c r="N248" s="11">
        <v>12869855852</v>
      </c>
      <c r="O248" s="11">
        <v>1134545028</v>
      </c>
      <c r="P248" s="11">
        <v>168588310824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168901510227</v>
      </c>
      <c r="X248" s="11">
        <v>313199403</v>
      </c>
      <c r="Y248" s="17">
        <v>168588310824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168901510227</v>
      </c>
      <c r="AG248" s="11">
        <v>313199403</v>
      </c>
      <c r="AH248" s="12">
        <v>168588310824</v>
      </c>
      <c r="AI248" s="11">
        <v>168588310824</v>
      </c>
      <c r="AJ248" s="11">
        <v>0</v>
      </c>
      <c r="AK248" s="11">
        <v>0</v>
      </c>
      <c r="AL248" s="11">
        <v>168588310824</v>
      </c>
      <c r="AM248" s="11">
        <v>168901510227</v>
      </c>
      <c r="AN248" s="11">
        <v>313199403</v>
      </c>
      <c r="AO248" s="11">
        <v>168901510227</v>
      </c>
      <c r="AP248" s="11">
        <v>0</v>
      </c>
      <c r="AQ248" s="11">
        <v>313199403</v>
      </c>
      <c r="AR248" t="s">
        <v>567</v>
      </c>
      <c r="AS248" s="4" t="str">
        <f t="shared" ref="AS248:AS249" si="46">+G248</f>
        <v>Prestación de servicio educativo</v>
      </c>
      <c r="AT248" t="str">
        <f t="shared" ref="AT248:AT249" si="47">+D248&amp;AS248&amp;Y248</f>
        <v>25Prestación de servicio educativo168588310824</v>
      </c>
      <c r="AU248" t="str">
        <f>+_xlfn.XLOOKUP(AT248,CRUCE!K:K,CRUCE!M:M)</f>
        <v>READY</v>
      </c>
      <c r="AV248" t="s">
        <v>1907</v>
      </c>
    </row>
    <row r="249" spans="1:48" x14ac:dyDescent="0.3">
      <c r="A249">
        <v>2023</v>
      </c>
      <c r="B249">
        <v>314</v>
      </c>
      <c r="C249">
        <v>1102060010101</v>
      </c>
      <c r="D249" s="5">
        <v>26</v>
      </c>
      <c r="E249" s="8" t="s">
        <v>568</v>
      </c>
      <c r="F249">
        <v>1102060010101</v>
      </c>
      <c r="G249" s="8" t="s">
        <v>566</v>
      </c>
      <c r="H249" t="s">
        <v>558</v>
      </c>
      <c r="I249" s="11">
        <v>29870000000</v>
      </c>
      <c r="J249" s="11">
        <v>29870000000</v>
      </c>
      <c r="K249" s="11">
        <v>956465890</v>
      </c>
      <c r="L249" s="11">
        <v>17716671542</v>
      </c>
      <c r="M249" s="11">
        <v>-16760205652</v>
      </c>
      <c r="N249" s="11">
        <v>956465890</v>
      </c>
      <c r="O249" s="11">
        <v>17716671542</v>
      </c>
      <c r="P249" s="11">
        <v>13109794348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15707367663</v>
      </c>
      <c r="X249" s="11">
        <v>2597573315</v>
      </c>
      <c r="Y249" s="17">
        <v>13109794348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15707367663</v>
      </c>
      <c r="AG249" s="11">
        <v>2597573315</v>
      </c>
      <c r="AH249" s="12">
        <v>13109794348</v>
      </c>
      <c r="AI249" s="11">
        <v>13109794348</v>
      </c>
      <c r="AJ249" s="11">
        <v>13109794348</v>
      </c>
      <c r="AK249" s="11">
        <v>13109794348</v>
      </c>
      <c r="AL249" s="11">
        <v>0</v>
      </c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t="s">
        <v>569</v>
      </c>
      <c r="AS249" s="4" t="str">
        <f t="shared" si="46"/>
        <v>Prestación de servicio educativo</v>
      </c>
      <c r="AT249" t="str">
        <f t="shared" si="47"/>
        <v>26Prestación de servicio educativo13109794348</v>
      </c>
      <c r="AU249" t="str">
        <f>+_xlfn.XLOOKUP(AT249,CRUCE!K:K,CRUCE!M:M)</f>
        <v>READY</v>
      </c>
      <c r="AV249" t="s">
        <v>1907</v>
      </c>
    </row>
    <row r="250" spans="1:48" hidden="1" x14ac:dyDescent="0.3">
      <c r="A250">
        <v>2023</v>
      </c>
      <c r="B250">
        <v>314</v>
      </c>
      <c r="C250">
        <v>110206006</v>
      </c>
      <c r="D250" s="5" t="s">
        <v>44</v>
      </c>
      <c r="E250" s="8" t="s">
        <v>570</v>
      </c>
      <c r="F250">
        <v>110206006</v>
      </c>
      <c r="G250" s="8" t="s">
        <v>267</v>
      </c>
      <c r="H250" t="s">
        <v>558</v>
      </c>
      <c r="I250" s="11">
        <v>9236000000</v>
      </c>
      <c r="J250" s="11">
        <v>9236000000</v>
      </c>
      <c r="K250" s="11">
        <v>4458842575.5</v>
      </c>
      <c r="L250" s="11">
        <v>0</v>
      </c>
      <c r="M250" s="11">
        <v>4458842575.5</v>
      </c>
      <c r="N250" s="11">
        <v>4458842575.5</v>
      </c>
      <c r="O250" s="11">
        <v>0</v>
      </c>
      <c r="P250" s="11">
        <v>13694842575.5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13655140496.5</v>
      </c>
      <c r="X250" s="11">
        <v>51436896</v>
      </c>
      <c r="Y250" s="17">
        <v>13603703600.5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13655140496.5</v>
      </c>
      <c r="AG250" s="11">
        <v>51436896</v>
      </c>
      <c r="AH250" s="12">
        <v>13603703600.5</v>
      </c>
      <c r="AI250" s="11">
        <v>13603703600.5</v>
      </c>
      <c r="AJ250" s="11">
        <v>0</v>
      </c>
      <c r="AK250" s="11">
        <v>0</v>
      </c>
      <c r="AL250" s="11">
        <v>13603703600.5</v>
      </c>
      <c r="AM250" s="11">
        <v>13655140496.5</v>
      </c>
      <c r="AN250" s="11">
        <v>51436896</v>
      </c>
      <c r="AO250" s="11">
        <v>13655140496.5</v>
      </c>
      <c r="AP250" s="11">
        <v>0</v>
      </c>
      <c r="AQ250" s="11">
        <v>51436896</v>
      </c>
      <c r="AR250" t="s">
        <v>48</v>
      </c>
      <c r="AS250"/>
    </row>
    <row r="251" spans="1:48" hidden="1" x14ac:dyDescent="0.3">
      <c r="A251">
        <v>2023</v>
      </c>
      <c r="B251">
        <v>314</v>
      </c>
      <c r="C251">
        <v>11020600606</v>
      </c>
      <c r="D251" s="5" t="s">
        <v>44</v>
      </c>
      <c r="E251" s="8" t="s">
        <v>571</v>
      </c>
      <c r="F251">
        <v>11020600606</v>
      </c>
      <c r="G251" s="8" t="s">
        <v>269</v>
      </c>
      <c r="H251" t="s">
        <v>558</v>
      </c>
      <c r="I251" s="11">
        <v>9236000000</v>
      </c>
      <c r="J251" s="11">
        <v>9236000000</v>
      </c>
      <c r="K251" s="11">
        <v>4458842575.5</v>
      </c>
      <c r="L251" s="11">
        <v>0</v>
      </c>
      <c r="M251" s="11">
        <v>4458842575.5</v>
      </c>
      <c r="N251" s="11">
        <v>4458842575.5</v>
      </c>
      <c r="O251" s="11">
        <v>0</v>
      </c>
      <c r="P251" s="11">
        <v>13694842575.5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13655140496.5</v>
      </c>
      <c r="X251" s="11">
        <v>51436896</v>
      </c>
      <c r="Y251" s="17">
        <v>13603703600.5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13655140496.5</v>
      </c>
      <c r="AG251" s="11">
        <v>51436896</v>
      </c>
      <c r="AH251" s="12">
        <v>13603703600.5</v>
      </c>
      <c r="AI251" s="11">
        <v>13603703600.5</v>
      </c>
      <c r="AJ251" s="11">
        <v>0</v>
      </c>
      <c r="AK251" s="11">
        <v>0</v>
      </c>
      <c r="AL251" s="11">
        <v>13603703600.5</v>
      </c>
      <c r="AM251" s="11">
        <v>13655140496.5</v>
      </c>
      <c r="AN251" s="11">
        <v>51436896</v>
      </c>
      <c r="AO251" s="11">
        <v>13655140496.5</v>
      </c>
      <c r="AP251" s="11">
        <v>0</v>
      </c>
      <c r="AQ251" s="11">
        <v>51436896</v>
      </c>
      <c r="AR251" t="s">
        <v>48</v>
      </c>
      <c r="AS251"/>
    </row>
    <row r="252" spans="1:48" hidden="1" x14ac:dyDescent="0.3">
      <c r="A252">
        <v>2023</v>
      </c>
      <c r="B252">
        <v>314</v>
      </c>
      <c r="C252">
        <v>1102060060600</v>
      </c>
      <c r="D252" s="5" t="s">
        <v>44</v>
      </c>
      <c r="E252" s="8" t="s">
        <v>572</v>
      </c>
      <c r="F252">
        <v>1102060060600</v>
      </c>
      <c r="G252" s="8" t="s">
        <v>269</v>
      </c>
      <c r="H252" t="s">
        <v>558</v>
      </c>
      <c r="I252" s="11">
        <v>9236000000</v>
      </c>
      <c r="J252" s="11">
        <v>9236000000</v>
      </c>
      <c r="K252" s="11">
        <v>4458842575.5</v>
      </c>
      <c r="L252" s="11">
        <v>0</v>
      </c>
      <c r="M252" s="11">
        <v>4458842575.5</v>
      </c>
      <c r="N252" s="11">
        <v>4458842575.5</v>
      </c>
      <c r="O252" s="11">
        <v>0</v>
      </c>
      <c r="P252" s="11">
        <v>13694842575.5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13655140496.5</v>
      </c>
      <c r="X252" s="11">
        <v>51436896</v>
      </c>
      <c r="Y252" s="17">
        <v>13603703600.5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13655140496.5</v>
      </c>
      <c r="AG252" s="11">
        <v>51436896</v>
      </c>
      <c r="AH252" s="12">
        <v>13603703600.5</v>
      </c>
      <c r="AI252" s="11">
        <v>13603703600.5</v>
      </c>
      <c r="AJ252" s="11">
        <v>0</v>
      </c>
      <c r="AK252" s="11">
        <v>0</v>
      </c>
      <c r="AL252" s="11">
        <v>13603703600.5</v>
      </c>
      <c r="AM252" s="11">
        <v>13655140496.5</v>
      </c>
      <c r="AN252" s="11">
        <v>51436896</v>
      </c>
      <c r="AO252" s="11">
        <v>13655140496.5</v>
      </c>
      <c r="AP252" s="11">
        <v>0</v>
      </c>
      <c r="AQ252" s="11">
        <v>51436896</v>
      </c>
      <c r="AR252" t="s">
        <v>48</v>
      </c>
      <c r="AS252"/>
    </row>
    <row r="253" spans="1:48" hidden="1" x14ac:dyDescent="0.3">
      <c r="A253">
        <v>2023</v>
      </c>
      <c r="B253">
        <v>314</v>
      </c>
      <c r="C253">
        <v>110206006060000</v>
      </c>
      <c r="D253" s="5" t="s">
        <v>44</v>
      </c>
      <c r="E253" s="8" t="s">
        <v>573</v>
      </c>
      <c r="F253">
        <v>110206006060000</v>
      </c>
      <c r="G253" s="8" t="s">
        <v>269</v>
      </c>
      <c r="H253" t="s">
        <v>558</v>
      </c>
      <c r="I253" s="11">
        <v>9236000000</v>
      </c>
      <c r="J253" s="11">
        <v>9236000000</v>
      </c>
      <c r="K253" s="11">
        <v>4458842575.5</v>
      </c>
      <c r="L253" s="11">
        <v>0</v>
      </c>
      <c r="M253" s="11">
        <v>4458842575.5</v>
      </c>
      <c r="N253" s="11">
        <v>4458842575.5</v>
      </c>
      <c r="O253" s="11">
        <v>0</v>
      </c>
      <c r="P253" s="11">
        <v>13694842575.5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13655140496.5</v>
      </c>
      <c r="X253" s="11">
        <v>51436896</v>
      </c>
      <c r="Y253" s="17">
        <v>13603703600.5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13655140496.5</v>
      </c>
      <c r="AG253" s="11">
        <v>51436896</v>
      </c>
      <c r="AH253" s="12">
        <v>13603703600.5</v>
      </c>
      <c r="AI253" s="11">
        <v>13603703600.5</v>
      </c>
      <c r="AJ253" s="11">
        <v>0</v>
      </c>
      <c r="AK253" s="11">
        <v>0</v>
      </c>
      <c r="AL253" s="11">
        <v>13603703600.5</v>
      </c>
      <c r="AM253" s="11">
        <v>13655140496.5</v>
      </c>
      <c r="AN253" s="11">
        <v>51436896</v>
      </c>
      <c r="AO253" s="11">
        <v>13655140496.5</v>
      </c>
      <c r="AP253" s="11">
        <v>0</v>
      </c>
      <c r="AQ253" s="11">
        <v>51436896</v>
      </c>
      <c r="AR253" t="s">
        <v>48</v>
      </c>
      <c r="AS253"/>
    </row>
    <row r="254" spans="1:48" hidden="1" x14ac:dyDescent="0.3">
      <c r="A254">
        <v>2023</v>
      </c>
      <c r="B254">
        <v>314</v>
      </c>
      <c r="C254">
        <v>1.1020600606E+17</v>
      </c>
      <c r="D254" s="5" t="s">
        <v>44</v>
      </c>
      <c r="E254" s="8" t="s">
        <v>1209</v>
      </c>
      <c r="F254">
        <v>1.1020600606E+17</v>
      </c>
      <c r="G254" s="8" t="s">
        <v>269</v>
      </c>
      <c r="H254" t="s">
        <v>558</v>
      </c>
      <c r="I254" s="11">
        <v>9236000000</v>
      </c>
      <c r="J254" s="11">
        <v>9236000000</v>
      </c>
      <c r="K254" s="11">
        <v>4458842575.5</v>
      </c>
      <c r="L254" s="11">
        <v>0</v>
      </c>
      <c r="M254" s="11">
        <v>4458842575.5</v>
      </c>
      <c r="N254" s="11">
        <v>4458842575.5</v>
      </c>
      <c r="O254" s="11">
        <v>0</v>
      </c>
      <c r="P254" s="11">
        <v>13694842575.5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13655140496.5</v>
      </c>
      <c r="X254" s="11">
        <v>51436896</v>
      </c>
      <c r="Y254" s="17">
        <v>13603703600.5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13655140496.5</v>
      </c>
      <c r="AG254" s="11">
        <v>51436896</v>
      </c>
      <c r="AH254" s="12">
        <v>13603703600.5</v>
      </c>
      <c r="AI254" s="11">
        <v>13603703600.5</v>
      </c>
      <c r="AJ254" s="11">
        <v>0</v>
      </c>
      <c r="AK254" s="11">
        <v>0</v>
      </c>
      <c r="AL254" s="11">
        <v>13603703600.5</v>
      </c>
      <c r="AM254" s="11">
        <v>13655140496.5</v>
      </c>
      <c r="AN254" s="11">
        <v>51436896</v>
      </c>
      <c r="AO254" s="11">
        <v>13655140496.5</v>
      </c>
      <c r="AP254" s="11">
        <v>0</v>
      </c>
      <c r="AQ254" s="11">
        <v>51436896</v>
      </c>
      <c r="AR254" t="s">
        <v>48</v>
      </c>
      <c r="AS254"/>
    </row>
    <row r="255" spans="1:48" hidden="1" x14ac:dyDescent="0.3">
      <c r="A255">
        <v>2023</v>
      </c>
      <c r="B255">
        <v>314</v>
      </c>
      <c r="C255">
        <v>1.1020600606E+20</v>
      </c>
      <c r="D255" s="5" t="s">
        <v>44</v>
      </c>
      <c r="E255" s="8" t="s">
        <v>1210</v>
      </c>
      <c r="F255">
        <v>1.1020600606E+20</v>
      </c>
      <c r="G255" s="8" t="s">
        <v>269</v>
      </c>
      <c r="H255" t="s">
        <v>558</v>
      </c>
      <c r="I255" s="11">
        <v>9236000000</v>
      </c>
      <c r="J255" s="11">
        <v>9236000000</v>
      </c>
      <c r="K255" s="11">
        <v>4458842575.5</v>
      </c>
      <c r="L255" s="11">
        <v>0</v>
      </c>
      <c r="M255" s="11">
        <v>4458842575.5</v>
      </c>
      <c r="N255" s="11">
        <v>4458842575.5</v>
      </c>
      <c r="O255" s="11">
        <v>0</v>
      </c>
      <c r="P255" s="11">
        <v>13694842575.5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13655140496.5</v>
      </c>
      <c r="X255" s="11">
        <v>51436896</v>
      </c>
      <c r="Y255" s="17">
        <v>13603703600.5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13655140496.5</v>
      </c>
      <c r="AG255" s="11">
        <v>51436896</v>
      </c>
      <c r="AH255" s="12">
        <v>13603703600.5</v>
      </c>
      <c r="AI255" s="11">
        <v>13603703600.5</v>
      </c>
      <c r="AJ255" s="11">
        <v>0</v>
      </c>
      <c r="AK255" s="11">
        <v>0</v>
      </c>
      <c r="AL255" s="11">
        <v>13603703600.5</v>
      </c>
      <c r="AM255" s="11">
        <v>13655140496.5</v>
      </c>
      <c r="AN255" s="11">
        <v>51436896</v>
      </c>
      <c r="AO255" s="11">
        <v>13655140496.5</v>
      </c>
      <c r="AP255" s="11">
        <v>0</v>
      </c>
      <c r="AQ255" s="11">
        <v>51436896</v>
      </c>
      <c r="AR255" t="s">
        <v>48</v>
      </c>
      <c r="AS255"/>
    </row>
    <row r="256" spans="1:48" x14ac:dyDescent="0.3">
      <c r="A256">
        <v>2023</v>
      </c>
      <c r="B256">
        <v>314</v>
      </c>
      <c r="C256">
        <v>1.1020600605999999E+35</v>
      </c>
      <c r="D256" s="5">
        <v>81</v>
      </c>
      <c r="E256" s="8" t="s">
        <v>579</v>
      </c>
      <c r="F256">
        <v>1.1020600605999999E+35</v>
      </c>
      <c r="G256" s="8" t="s">
        <v>580</v>
      </c>
      <c r="H256" t="s">
        <v>558</v>
      </c>
      <c r="I256" s="11">
        <v>9236000000</v>
      </c>
      <c r="J256" s="11">
        <v>9236000000</v>
      </c>
      <c r="K256" s="11">
        <v>3338891461</v>
      </c>
      <c r="L256" s="11">
        <v>0</v>
      </c>
      <c r="M256" s="11">
        <v>3338891461</v>
      </c>
      <c r="N256" s="11">
        <v>3338891461</v>
      </c>
      <c r="O256" s="11">
        <v>0</v>
      </c>
      <c r="P256" s="11">
        <v>12574891461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12574891461</v>
      </c>
      <c r="X256" s="11">
        <v>0</v>
      </c>
      <c r="Y256" s="17">
        <v>12574891461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12574891461</v>
      </c>
      <c r="AG256" s="11">
        <v>0</v>
      </c>
      <c r="AH256" s="12">
        <v>12574891461</v>
      </c>
      <c r="AI256" s="11">
        <v>12574891461</v>
      </c>
      <c r="AJ256" s="11">
        <v>0</v>
      </c>
      <c r="AK256" s="11">
        <v>0</v>
      </c>
      <c r="AL256" s="11">
        <v>12574891461</v>
      </c>
      <c r="AM256" s="11">
        <v>12574891461</v>
      </c>
      <c r="AN256" s="11">
        <v>0</v>
      </c>
      <c r="AO256" s="11">
        <v>12574891461</v>
      </c>
      <c r="AP256" s="11">
        <v>0</v>
      </c>
      <c r="AQ256" s="11">
        <v>0</v>
      </c>
      <c r="AR256" t="s">
        <v>581</v>
      </c>
      <c r="AS256" s="4" t="str">
        <f>+G256</f>
        <v>U.A.E. de Alimentación Escolar - Alimentos para Aprender (UAPA)</v>
      </c>
      <c r="AT256" t="str">
        <f t="shared" ref="AT256:AT267" si="48">+D256&amp;AS256&amp;Y256</f>
        <v>81U.A.E. de Alimentación Escolar - Alimentos para Aprender (UAPA)12574891461</v>
      </c>
      <c r="AU256" t="str">
        <f>+_xlfn.XLOOKUP(AT256,CRUCE!K:K,CRUCE!M:M)</f>
        <v>READY</v>
      </c>
      <c r="AV256" t="s">
        <v>1907</v>
      </c>
    </row>
    <row r="257" spans="1:48" x14ac:dyDescent="0.3">
      <c r="A257">
        <v>2023</v>
      </c>
      <c r="B257">
        <v>314</v>
      </c>
      <c r="C257">
        <v>1.1020600605999999E+35</v>
      </c>
      <c r="D257" s="5">
        <v>172</v>
      </c>
      <c r="E257" s="8" t="s">
        <v>582</v>
      </c>
      <c r="F257">
        <v>1.1020600605999999E+35</v>
      </c>
      <c r="G257" s="8" t="s">
        <v>327</v>
      </c>
      <c r="H257" t="s">
        <v>558</v>
      </c>
      <c r="I257" s="11">
        <v>0</v>
      </c>
      <c r="J257" s="11">
        <v>0</v>
      </c>
      <c r="K257" s="11">
        <v>16758900</v>
      </c>
      <c r="L257" s="11">
        <v>0</v>
      </c>
      <c r="M257" s="11">
        <v>16758900</v>
      </c>
      <c r="N257" s="11">
        <v>16758900</v>
      </c>
      <c r="O257" s="11">
        <v>0</v>
      </c>
      <c r="P257" s="11">
        <v>16758900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16758900</v>
      </c>
      <c r="X257" s="11">
        <v>0</v>
      </c>
      <c r="Y257" s="17">
        <v>16758900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v>16758900</v>
      </c>
      <c r="AG257" s="11">
        <v>0</v>
      </c>
      <c r="AH257" s="12">
        <v>16758900</v>
      </c>
      <c r="AI257" s="11">
        <v>16758900</v>
      </c>
      <c r="AJ257" s="11">
        <v>0</v>
      </c>
      <c r="AK257" s="11">
        <v>0</v>
      </c>
      <c r="AL257" s="11">
        <v>16758900</v>
      </c>
      <c r="AM257" s="11">
        <v>16758900</v>
      </c>
      <c r="AN257" s="11">
        <v>0</v>
      </c>
      <c r="AO257" s="11">
        <v>16758900</v>
      </c>
      <c r="AP257" s="11">
        <v>0</v>
      </c>
      <c r="AQ257" s="11">
        <v>0</v>
      </c>
      <c r="AR257" t="s">
        <v>583</v>
      </c>
      <c r="AS257" s="4" t="str">
        <f>+G257</f>
        <v>Buenavista - Quindío</v>
      </c>
      <c r="AT257" t="str">
        <f t="shared" si="48"/>
        <v>172Buenavista - Quindío16758900</v>
      </c>
      <c r="AU257" t="str">
        <f>+_xlfn.XLOOKUP(AT257,CRUCE!K:K,CRUCE!M:M)</f>
        <v>READY</v>
      </c>
      <c r="AV257" t="s">
        <v>1907</v>
      </c>
    </row>
    <row r="258" spans="1:48" x14ac:dyDescent="0.3">
      <c r="A258">
        <v>2023</v>
      </c>
      <c r="B258">
        <v>314</v>
      </c>
      <c r="C258">
        <v>1.1020600605999999E+35</v>
      </c>
      <c r="D258" s="5">
        <v>172</v>
      </c>
      <c r="E258" s="8" t="s">
        <v>584</v>
      </c>
      <c r="F258">
        <v>1.1020600605999999E+35</v>
      </c>
      <c r="G258" s="8" t="s">
        <v>585</v>
      </c>
      <c r="H258" t="s">
        <v>558</v>
      </c>
      <c r="I258" s="11">
        <v>0</v>
      </c>
      <c r="J258" s="11">
        <v>0</v>
      </c>
      <c r="K258" s="11">
        <v>285040711</v>
      </c>
      <c r="L258" s="11">
        <v>0</v>
      </c>
      <c r="M258" s="11">
        <v>285040711</v>
      </c>
      <c r="N258" s="11">
        <v>285040711</v>
      </c>
      <c r="O258" s="11">
        <v>0</v>
      </c>
      <c r="P258" s="11">
        <v>285040711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336477607</v>
      </c>
      <c r="X258" s="11">
        <v>51436896</v>
      </c>
      <c r="Y258" s="17">
        <v>285040711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336477607</v>
      </c>
      <c r="AG258" s="11">
        <v>51436896</v>
      </c>
      <c r="AH258" s="12">
        <v>285040711</v>
      </c>
      <c r="AI258" s="11">
        <v>285040711</v>
      </c>
      <c r="AJ258" s="11">
        <v>0</v>
      </c>
      <c r="AK258" s="11">
        <v>0</v>
      </c>
      <c r="AL258" s="11">
        <v>285040711</v>
      </c>
      <c r="AM258" s="11">
        <v>336477607</v>
      </c>
      <c r="AN258" s="11">
        <v>51436896</v>
      </c>
      <c r="AO258" s="11">
        <v>336477607</v>
      </c>
      <c r="AP258" s="11">
        <v>0</v>
      </c>
      <c r="AQ258" s="11">
        <v>51436896</v>
      </c>
      <c r="AR258" t="s">
        <v>583</v>
      </c>
      <c r="AS258" s="4" t="str">
        <f t="shared" ref="AS258:AS267" si="49">+G258</f>
        <v>Calarcá</v>
      </c>
      <c r="AT258" t="str">
        <f t="shared" si="48"/>
        <v>172Calarcá285040711</v>
      </c>
      <c r="AU258" t="str">
        <f>+_xlfn.XLOOKUP(AT258,CRUCE!K:K,CRUCE!M:M)</f>
        <v>READY</v>
      </c>
      <c r="AV258" t="s">
        <v>1907</v>
      </c>
    </row>
    <row r="259" spans="1:48" x14ac:dyDescent="0.3">
      <c r="A259">
        <v>2023</v>
      </c>
      <c r="B259">
        <v>314</v>
      </c>
      <c r="C259">
        <v>1.1020600605999999E+35</v>
      </c>
      <c r="D259" s="5">
        <v>172</v>
      </c>
      <c r="E259" s="8" t="s">
        <v>586</v>
      </c>
      <c r="F259">
        <v>1.1020600605999999E+35</v>
      </c>
      <c r="G259" s="8" t="s">
        <v>329</v>
      </c>
      <c r="H259" t="s">
        <v>558</v>
      </c>
      <c r="I259" s="11">
        <v>0</v>
      </c>
      <c r="J259" s="11">
        <v>0</v>
      </c>
      <c r="K259" s="11">
        <v>92310777</v>
      </c>
      <c r="L259" s="11">
        <v>0</v>
      </c>
      <c r="M259" s="11">
        <v>92310777</v>
      </c>
      <c r="N259" s="11">
        <v>92310777</v>
      </c>
      <c r="O259" s="11">
        <v>0</v>
      </c>
      <c r="P259" s="11">
        <v>92310777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92310777</v>
      </c>
      <c r="X259" s="11">
        <v>0</v>
      </c>
      <c r="Y259" s="17">
        <v>92310777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92310777</v>
      </c>
      <c r="AG259" s="11">
        <v>0</v>
      </c>
      <c r="AH259" s="12">
        <v>92310777</v>
      </c>
      <c r="AI259" s="11">
        <v>92310777</v>
      </c>
      <c r="AJ259" s="11">
        <v>0</v>
      </c>
      <c r="AK259" s="11">
        <v>0</v>
      </c>
      <c r="AL259" s="11">
        <v>92310777</v>
      </c>
      <c r="AM259" s="11">
        <v>92310777</v>
      </c>
      <c r="AN259" s="11">
        <v>0</v>
      </c>
      <c r="AO259" s="11">
        <v>92310777</v>
      </c>
      <c r="AP259" s="11">
        <v>0</v>
      </c>
      <c r="AQ259" s="11">
        <v>0</v>
      </c>
      <c r="AR259" t="s">
        <v>583</v>
      </c>
      <c r="AS259" s="4" t="str">
        <f t="shared" si="49"/>
        <v>Circasia</v>
      </c>
      <c r="AT259" t="str">
        <f t="shared" si="48"/>
        <v>172Circasia92310777</v>
      </c>
      <c r="AU259" t="str">
        <f>+_xlfn.XLOOKUP(AT259,CRUCE!K:K,CRUCE!M:M)</f>
        <v>READY</v>
      </c>
      <c r="AV259" t="s">
        <v>1907</v>
      </c>
    </row>
    <row r="260" spans="1:48" x14ac:dyDescent="0.3">
      <c r="A260">
        <v>2023</v>
      </c>
      <c r="B260">
        <v>314</v>
      </c>
      <c r="C260">
        <v>1.1020600605999999E+35</v>
      </c>
      <c r="D260" s="5">
        <v>172</v>
      </c>
      <c r="E260" s="8" t="s">
        <v>587</v>
      </c>
      <c r="F260">
        <v>1.1020600605999999E+35</v>
      </c>
      <c r="G260" s="8" t="s">
        <v>588</v>
      </c>
      <c r="H260" t="s">
        <v>558</v>
      </c>
      <c r="I260" s="11">
        <v>0</v>
      </c>
      <c r="J260" s="11">
        <v>0</v>
      </c>
      <c r="K260" s="11">
        <v>27794558</v>
      </c>
      <c r="L260" s="11">
        <v>0</v>
      </c>
      <c r="M260" s="11">
        <v>27794558</v>
      </c>
      <c r="N260" s="11">
        <v>27794558</v>
      </c>
      <c r="O260" s="11">
        <v>0</v>
      </c>
      <c r="P260" s="11">
        <v>27794558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27794558</v>
      </c>
      <c r="X260" s="11">
        <v>0</v>
      </c>
      <c r="Y260" s="17">
        <v>27794558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27794558</v>
      </c>
      <c r="AG260" s="11">
        <v>0</v>
      </c>
      <c r="AH260" s="12">
        <v>27794558</v>
      </c>
      <c r="AI260" s="11">
        <v>27794558</v>
      </c>
      <c r="AJ260" s="11">
        <v>0</v>
      </c>
      <c r="AK260" s="11">
        <v>0</v>
      </c>
      <c r="AL260" s="11">
        <v>27794558</v>
      </c>
      <c r="AM260" s="11">
        <v>27794558</v>
      </c>
      <c r="AN260" s="11">
        <v>0</v>
      </c>
      <c r="AO260" s="11">
        <v>27794558</v>
      </c>
      <c r="AP260" s="11">
        <v>0</v>
      </c>
      <c r="AQ260" s="11">
        <v>0</v>
      </c>
      <c r="AR260" t="s">
        <v>583</v>
      </c>
      <c r="AS260" s="4" t="str">
        <f t="shared" si="49"/>
        <v>Córdoba - Quindío</v>
      </c>
      <c r="AT260" t="str">
        <f t="shared" si="48"/>
        <v>172Córdoba - Quindío27794558</v>
      </c>
      <c r="AU260" t="str">
        <f>+_xlfn.XLOOKUP(AT260,CRUCE!K:K,CRUCE!M:M)</f>
        <v>READY</v>
      </c>
      <c r="AV260" t="s">
        <v>1907</v>
      </c>
    </row>
    <row r="261" spans="1:48" x14ac:dyDescent="0.3">
      <c r="A261">
        <v>2023</v>
      </c>
      <c r="B261">
        <v>314</v>
      </c>
      <c r="C261">
        <v>1.1020600605999999E+35</v>
      </c>
      <c r="D261" s="5">
        <v>172</v>
      </c>
      <c r="E261" s="8" t="s">
        <v>589</v>
      </c>
      <c r="F261">
        <v>1.1020600605999999E+35</v>
      </c>
      <c r="G261" s="8" t="s">
        <v>331</v>
      </c>
      <c r="H261" t="s">
        <v>558</v>
      </c>
      <c r="I261" s="11">
        <v>0</v>
      </c>
      <c r="J261" s="11">
        <v>0</v>
      </c>
      <c r="K261" s="11">
        <v>47076454.799999997</v>
      </c>
      <c r="L261" s="11">
        <v>0</v>
      </c>
      <c r="M261" s="11">
        <v>47076454.799999997</v>
      </c>
      <c r="N261" s="11">
        <v>47076454.799999997</v>
      </c>
      <c r="O261" s="11">
        <v>0</v>
      </c>
      <c r="P261" s="11">
        <v>47076454.799999997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47076454.799999997</v>
      </c>
      <c r="X261" s="11">
        <v>0</v>
      </c>
      <c r="Y261" s="17">
        <v>47076454.799999997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47076454.799999997</v>
      </c>
      <c r="AG261" s="11">
        <v>0</v>
      </c>
      <c r="AH261" s="12">
        <v>47076454.799999997</v>
      </c>
      <c r="AI261" s="11">
        <v>47076454.799999997</v>
      </c>
      <c r="AJ261" s="11">
        <v>0</v>
      </c>
      <c r="AK261" s="11">
        <v>0</v>
      </c>
      <c r="AL261" s="11">
        <v>47076454.799999997</v>
      </c>
      <c r="AM261" s="11">
        <v>47076454.799999997</v>
      </c>
      <c r="AN261" s="11">
        <v>0</v>
      </c>
      <c r="AO261" s="11">
        <v>47076454.799999997</v>
      </c>
      <c r="AP261" s="11">
        <v>0</v>
      </c>
      <c r="AQ261" s="11">
        <v>0</v>
      </c>
      <c r="AR261" t="s">
        <v>583</v>
      </c>
      <c r="AS261" s="4" t="str">
        <f t="shared" si="49"/>
        <v>Filandia</v>
      </c>
      <c r="AT261" t="str">
        <f t="shared" si="48"/>
        <v>172Filandia47076454,8</v>
      </c>
      <c r="AU261" t="str">
        <f>+_xlfn.XLOOKUP(AT261,CRUCE!K:K,CRUCE!M:M)</f>
        <v>READY</v>
      </c>
      <c r="AV261" t="s">
        <v>1907</v>
      </c>
    </row>
    <row r="262" spans="1:48" x14ac:dyDescent="0.3">
      <c r="A262">
        <v>2023</v>
      </c>
      <c r="B262">
        <v>314</v>
      </c>
      <c r="C262">
        <v>1.1020600605999999E+35</v>
      </c>
      <c r="D262" s="5">
        <v>172</v>
      </c>
      <c r="E262" s="8" t="s">
        <v>590</v>
      </c>
      <c r="F262">
        <v>1.1020600605999999E+35</v>
      </c>
      <c r="G262" s="8" t="s">
        <v>333</v>
      </c>
      <c r="H262" t="s">
        <v>558</v>
      </c>
      <c r="I262" s="11">
        <v>0</v>
      </c>
      <c r="J262" s="11">
        <v>0</v>
      </c>
      <c r="K262" s="11">
        <v>49472872.399999999</v>
      </c>
      <c r="L262" s="11">
        <v>0</v>
      </c>
      <c r="M262" s="11">
        <v>49472872.399999999</v>
      </c>
      <c r="N262" s="11">
        <v>49472872.399999999</v>
      </c>
      <c r="O262" s="11">
        <v>0</v>
      </c>
      <c r="P262" s="11">
        <v>49472872.399999999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49472872.399999999</v>
      </c>
      <c r="X262" s="11">
        <v>0</v>
      </c>
      <c r="Y262" s="17">
        <v>49472872.399999999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49472872.399999999</v>
      </c>
      <c r="AG262" s="11">
        <v>0</v>
      </c>
      <c r="AH262" s="12">
        <v>49472872.399999999</v>
      </c>
      <c r="AI262" s="11">
        <v>49472872.399999999</v>
      </c>
      <c r="AJ262" s="11">
        <v>0</v>
      </c>
      <c r="AK262" s="11">
        <v>0</v>
      </c>
      <c r="AL262" s="11">
        <v>49472872.399999999</v>
      </c>
      <c r="AM262" s="11">
        <v>49472872.399999999</v>
      </c>
      <c r="AN262" s="11">
        <v>0</v>
      </c>
      <c r="AO262" s="11">
        <v>49472872.399999999</v>
      </c>
      <c r="AP262" s="11">
        <v>0</v>
      </c>
      <c r="AQ262" s="11">
        <v>0</v>
      </c>
      <c r="AR262" t="s">
        <v>583</v>
      </c>
      <c r="AS262" s="4" t="str">
        <f t="shared" si="49"/>
        <v>Génova</v>
      </c>
      <c r="AT262" t="str">
        <f t="shared" si="48"/>
        <v>172Génova49472872,4</v>
      </c>
      <c r="AU262" t="str">
        <f>+_xlfn.XLOOKUP(AT262,CRUCE!K:K,CRUCE!M:M)</f>
        <v>READY</v>
      </c>
      <c r="AV262" t="s">
        <v>1907</v>
      </c>
    </row>
    <row r="263" spans="1:48" x14ac:dyDescent="0.3">
      <c r="A263">
        <v>2023</v>
      </c>
      <c r="B263">
        <v>314</v>
      </c>
      <c r="C263">
        <v>1.1020600605999999E+35</v>
      </c>
      <c r="D263" s="5">
        <v>172</v>
      </c>
      <c r="E263" s="8" t="s">
        <v>591</v>
      </c>
      <c r="F263">
        <v>1.1020600605999999E+35</v>
      </c>
      <c r="G263" s="8" t="s">
        <v>592</v>
      </c>
      <c r="H263" t="s">
        <v>558</v>
      </c>
      <c r="I263" s="11">
        <v>0</v>
      </c>
      <c r="J263" s="11">
        <v>0</v>
      </c>
      <c r="K263" s="11">
        <v>198369010.5</v>
      </c>
      <c r="L263" s="11">
        <v>0</v>
      </c>
      <c r="M263" s="11">
        <v>198369010.5</v>
      </c>
      <c r="N263" s="11">
        <v>198369010.5</v>
      </c>
      <c r="O263" s="11">
        <v>0</v>
      </c>
      <c r="P263" s="11">
        <v>198369010.5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198369010.5</v>
      </c>
      <c r="X263" s="11">
        <v>0</v>
      </c>
      <c r="Y263" s="17">
        <v>198369010.5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198369010.5</v>
      </c>
      <c r="AG263" s="11">
        <v>0</v>
      </c>
      <c r="AH263" s="12">
        <v>198369010.5</v>
      </c>
      <c r="AI263" s="11">
        <v>198369010.5</v>
      </c>
      <c r="AJ263" s="11">
        <v>0</v>
      </c>
      <c r="AK263" s="11">
        <v>0</v>
      </c>
      <c r="AL263" s="11">
        <v>198369010.5</v>
      </c>
      <c r="AM263" s="11">
        <v>198369010.5</v>
      </c>
      <c r="AN263" s="11">
        <v>0</v>
      </c>
      <c r="AO263" s="11">
        <v>198369010.5</v>
      </c>
      <c r="AP263" s="11">
        <v>0</v>
      </c>
      <c r="AQ263" s="11">
        <v>0</v>
      </c>
      <c r="AR263" t="s">
        <v>583</v>
      </c>
      <c r="AS263" s="4" t="str">
        <f t="shared" si="49"/>
        <v>La Tebaida</v>
      </c>
      <c r="AT263" t="str">
        <f t="shared" si="48"/>
        <v>172La Tebaida198369010,5</v>
      </c>
      <c r="AU263" t="str">
        <f>+_xlfn.XLOOKUP(AT263,CRUCE!K:K,CRUCE!M:M)</f>
        <v>READY</v>
      </c>
      <c r="AV263" t="s">
        <v>1907</v>
      </c>
    </row>
    <row r="264" spans="1:48" x14ac:dyDescent="0.3">
      <c r="A264">
        <v>2023</v>
      </c>
      <c r="B264">
        <v>314</v>
      </c>
      <c r="C264">
        <v>1.1020600605999999E+35</v>
      </c>
      <c r="D264" s="5">
        <v>172</v>
      </c>
      <c r="E264" s="8" t="s">
        <v>593</v>
      </c>
      <c r="F264">
        <v>1.1020600605999999E+35</v>
      </c>
      <c r="G264" s="8" t="s">
        <v>335</v>
      </c>
      <c r="H264" t="s">
        <v>558</v>
      </c>
      <c r="I264" s="11">
        <v>0</v>
      </c>
      <c r="J264" s="11">
        <v>0</v>
      </c>
      <c r="K264" s="11">
        <v>214613632.80000001</v>
      </c>
      <c r="L264" s="11">
        <v>0</v>
      </c>
      <c r="M264" s="11">
        <v>214613632.80000001</v>
      </c>
      <c r="N264" s="11">
        <v>214613632.80000001</v>
      </c>
      <c r="O264" s="11">
        <v>0</v>
      </c>
      <c r="P264" s="11">
        <v>214613632.80000001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214613633</v>
      </c>
      <c r="X264" s="11">
        <v>0</v>
      </c>
      <c r="Y264" s="17">
        <v>214613633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214613633</v>
      </c>
      <c r="AG264" s="11">
        <v>0</v>
      </c>
      <c r="AH264" s="12">
        <v>214613633</v>
      </c>
      <c r="AI264" s="11">
        <v>214613633</v>
      </c>
      <c r="AJ264" s="11">
        <v>0</v>
      </c>
      <c r="AK264" s="11">
        <v>0</v>
      </c>
      <c r="AL264" s="11">
        <v>214613633</v>
      </c>
      <c r="AM264" s="11">
        <v>214613633</v>
      </c>
      <c r="AN264" s="11">
        <v>0</v>
      </c>
      <c r="AO264" s="11">
        <v>214613633</v>
      </c>
      <c r="AP264" s="11">
        <v>0</v>
      </c>
      <c r="AQ264" s="11">
        <v>0</v>
      </c>
      <c r="AR264" t="s">
        <v>583</v>
      </c>
      <c r="AS264" s="4" t="str">
        <f t="shared" si="49"/>
        <v>Montenegro</v>
      </c>
      <c r="AT264" t="str">
        <f t="shared" si="48"/>
        <v>172Montenegro214613633</v>
      </c>
      <c r="AU264" t="str">
        <f>+_xlfn.XLOOKUP(AT264,CRUCE!K:K,CRUCE!M:M)</f>
        <v>READY</v>
      </c>
      <c r="AV264" t="s">
        <v>1907</v>
      </c>
    </row>
    <row r="265" spans="1:48" x14ac:dyDescent="0.3">
      <c r="A265">
        <v>2023</v>
      </c>
      <c r="B265">
        <v>314</v>
      </c>
      <c r="C265">
        <v>1.1020600605999999E+35</v>
      </c>
      <c r="D265" s="5">
        <v>172</v>
      </c>
      <c r="E265" s="8" t="s">
        <v>594</v>
      </c>
      <c r="F265">
        <v>1.1020600605999999E+35</v>
      </c>
      <c r="G265" s="8" t="s">
        <v>595</v>
      </c>
      <c r="H265" t="s">
        <v>558</v>
      </c>
      <c r="I265" s="11">
        <v>0</v>
      </c>
      <c r="J265" s="11">
        <v>0</v>
      </c>
      <c r="K265" s="11">
        <v>32273098.399999999</v>
      </c>
      <c r="L265" s="11">
        <v>0</v>
      </c>
      <c r="M265" s="11">
        <v>32273098.399999999</v>
      </c>
      <c r="N265" s="11">
        <v>32273098.399999999</v>
      </c>
      <c r="O265" s="11">
        <v>0</v>
      </c>
      <c r="P265" s="11">
        <v>32273098.399999999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32273098.399999999</v>
      </c>
      <c r="X265" s="11">
        <v>0</v>
      </c>
      <c r="Y265" s="17">
        <v>32273098.399999999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32273098.399999999</v>
      </c>
      <c r="AG265" s="11">
        <v>0</v>
      </c>
      <c r="AH265" s="12">
        <v>32273098.399999999</v>
      </c>
      <c r="AI265" s="11">
        <v>32273098.399999999</v>
      </c>
      <c r="AJ265" s="11">
        <v>0</v>
      </c>
      <c r="AK265" s="11">
        <v>0</v>
      </c>
      <c r="AL265" s="11">
        <v>32273098.399999999</v>
      </c>
      <c r="AM265" s="11">
        <v>32273098.399999999</v>
      </c>
      <c r="AN265" s="11">
        <v>0</v>
      </c>
      <c r="AO265" s="11">
        <v>32273098.399999999</v>
      </c>
      <c r="AP265" s="11">
        <v>0</v>
      </c>
      <c r="AQ265" s="11">
        <v>0</v>
      </c>
      <c r="AR265" t="s">
        <v>583</v>
      </c>
      <c r="AS265" s="4" t="str">
        <f t="shared" si="49"/>
        <v>Pijao</v>
      </c>
      <c r="AT265" t="str">
        <f t="shared" si="48"/>
        <v>172Pijao32273098,4</v>
      </c>
      <c r="AU265" t="str">
        <f>+_xlfn.XLOOKUP(AT265,CRUCE!K:K,CRUCE!M:M)</f>
        <v>READY</v>
      </c>
      <c r="AV265" t="s">
        <v>1907</v>
      </c>
    </row>
    <row r="266" spans="1:48" x14ac:dyDescent="0.3">
      <c r="A266">
        <v>2023</v>
      </c>
      <c r="B266">
        <v>314</v>
      </c>
      <c r="C266">
        <v>1.1020600605999999E+35</v>
      </c>
      <c r="D266" s="5">
        <v>172</v>
      </c>
      <c r="E266" s="8" t="s">
        <v>596</v>
      </c>
      <c r="F266">
        <v>1.1020600605999999E+35</v>
      </c>
      <c r="G266" s="8" t="s">
        <v>337</v>
      </c>
      <c r="H266" t="s">
        <v>558</v>
      </c>
      <c r="I266" s="11">
        <v>0</v>
      </c>
      <c r="J266" s="11">
        <v>0</v>
      </c>
      <c r="K266" s="11">
        <v>131569773.2</v>
      </c>
      <c r="L266" s="11">
        <v>0</v>
      </c>
      <c r="M266" s="11">
        <v>131569773.2</v>
      </c>
      <c r="N266" s="11">
        <v>131569773.2</v>
      </c>
      <c r="O266" s="11">
        <v>0</v>
      </c>
      <c r="P266" s="11">
        <v>131569773.2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40430798</v>
      </c>
      <c r="X266" s="11">
        <v>0</v>
      </c>
      <c r="Y266" s="17">
        <v>40430798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40430798</v>
      </c>
      <c r="AG266" s="11">
        <v>0</v>
      </c>
      <c r="AH266" s="12">
        <v>40430798</v>
      </c>
      <c r="AI266" s="11">
        <v>40430798</v>
      </c>
      <c r="AJ266" s="11">
        <v>0</v>
      </c>
      <c r="AK266" s="11">
        <v>0</v>
      </c>
      <c r="AL266" s="11">
        <v>40430798</v>
      </c>
      <c r="AM266" s="11">
        <v>40430798</v>
      </c>
      <c r="AN266" s="11">
        <v>0</v>
      </c>
      <c r="AO266" s="11">
        <v>40430798</v>
      </c>
      <c r="AP266" s="11">
        <v>0</v>
      </c>
      <c r="AQ266" s="11">
        <v>0</v>
      </c>
      <c r="AR266" t="s">
        <v>583</v>
      </c>
      <c r="AS266" s="4" t="str">
        <f t="shared" si="49"/>
        <v>Quimbaya</v>
      </c>
      <c r="AT266" t="str">
        <f t="shared" si="48"/>
        <v>172Quimbaya40430798</v>
      </c>
      <c r="AU266" t="str">
        <f>+_xlfn.XLOOKUP(AT266,CRUCE!K:K,CRUCE!M:M)</f>
        <v>READY</v>
      </c>
      <c r="AV266" t="s">
        <v>1907</v>
      </c>
    </row>
    <row r="267" spans="1:48" x14ac:dyDescent="0.3">
      <c r="A267">
        <v>2023</v>
      </c>
      <c r="B267">
        <v>314</v>
      </c>
      <c r="C267">
        <v>1.1020600605999999E+35</v>
      </c>
      <c r="D267" s="5">
        <v>172</v>
      </c>
      <c r="E267" s="8" t="s">
        <v>597</v>
      </c>
      <c r="F267">
        <v>1.1020600605999999E+35</v>
      </c>
      <c r="G267" s="8" t="s">
        <v>598</v>
      </c>
      <c r="H267" t="s">
        <v>558</v>
      </c>
      <c r="I267" s="11">
        <v>0</v>
      </c>
      <c r="J267" s="11">
        <v>0</v>
      </c>
      <c r="K267" s="11">
        <v>24671326.399999999</v>
      </c>
      <c r="L267" s="11">
        <v>0</v>
      </c>
      <c r="M267" s="11">
        <v>24671326.399999999</v>
      </c>
      <c r="N267" s="11">
        <v>24671326.399999999</v>
      </c>
      <c r="O267" s="11">
        <v>0</v>
      </c>
      <c r="P267" s="11">
        <v>24671326.399999999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24671326.399999999</v>
      </c>
      <c r="X267" s="11">
        <v>0</v>
      </c>
      <c r="Y267" s="17">
        <v>24671326.399999999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24671326.399999999</v>
      </c>
      <c r="AG267" s="11">
        <v>0</v>
      </c>
      <c r="AH267" s="12">
        <v>24671326.399999999</v>
      </c>
      <c r="AI267" s="11">
        <v>24671326.399999999</v>
      </c>
      <c r="AJ267" s="11">
        <v>0</v>
      </c>
      <c r="AK267" s="11">
        <v>0</v>
      </c>
      <c r="AL267" s="11">
        <v>24671326.399999999</v>
      </c>
      <c r="AM267" s="11">
        <v>24671326.399999999</v>
      </c>
      <c r="AN267" s="11">
        <v>0</v>
      </c>
      <c r="AO267" s="11">
        <v>24671326.399999999</v>
      </c>
      <c r="AP267" s="11">
        <v>0</v>
      </c>
      <c r="AQ267" s="11">
        <v>0</v>
      </c>
      <c r="AR267" t="s">
        <v>583</v>
      </c>
      <c r="AS267" s="4" t="str">
        <f t="shared" si="49"/>
        <v>Salento</v>
      </c>
      <c r="AT267" t="str">
        <f t="shared" si="48"/>
        <v>172Salento24671326,4</v>
      </c>
      <c r="AU267" t="str">
        <f>+_xlfn.XLOOKUP(AT267,CRUCE!K:K,CRUCE!M:M)</f>
        <v>READY</v>
      </c>
      <c r="AV267" t="s">
        <v>1907</v>
      </c>
    </row>
    <row r="268" spans="1:48" hidden="1" x14ac:dyDescent="0.3">
      <c r="A268">
        <v>2023</v>
      </c>
      <c r="B268">
        <v>314</v>
      </c>
      <c r="C268">
        <v>12</v>
      </c>
      <c r="D268" s="5" t="s">
        <v>44</v>
      </c>
      <c r="E268" s="8" t="s">
        <v>1407</v>
      </c>
      <c r="F268">
        <v>12</v>
      </c>
      <c r="G268" s="8" t="s">
        <v>367</v>
      </c>
      <c r="H268" t="s">
        <v>558</v>
      </c>
      <c r="I268" s="11">
        <v>95000000</v>
      </c>
      <c r="J268" s="11">
        <v>95000000</v>
      </c>
      <c r="K268" s="11">
        <v>3469458739.4200001</v>
      </c>
      <c r="L268" s="11">
        <v>660000000</v>
      </c>
      <c r="M268" s="11">
        <v>2809458739.4200001</v>
      </c>
      <c r="N268" s="11">
        <v>3469458739.4200001</v>
      </c>
      <c r="O268" s="11">
        <v>660000000</v>
      </c>
      <c r="P268" s="11">
        <v>2904458739.4200001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3076815032.3200002</v>
      </c>
      <c r="X268" s="11">
        <v>172356292.90000001</v>
      </c>
      <c r="Y268" s="17">
        <v>2904458739.4200001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11">
        <v>3076815032.3200002</v>
      </c>
      <c r="AG268" s="11">
        <v>172356292.90000001</v>
      </c>
      <c r="AH268" s="12">
        <v>2904458739.4200001</v>
      </c>
      <c r="AI268" s="11">
        <v>2904458739.4200001</v>
      </c>
      <c r="AJ268" s="11">
        <v>1771510731.2</v>
      </c>
      <c r="AK268" s="11">
        <v>1771510731.2</v>
      </c>
      <c r="AL268" s="11">
        <v>1133351829.1199999</v>
      </c>
      <c r="AM268" s="11">
        <v>1305304301.1199999</v>
      </c>
      <c r="AN268" s="11">
        <v>171952472</v>
      </c>
      <c r="AO268" s="11">
        <v>1305304301.1199999</v>
      </c>
      <c r="AP268" s="11">
        <v>0</v>
      </c>
      <c r="AQ268" s="11">
        <v>171952472</v>
      </c>
      <c r="AR268" t="s">
        <v>48</v>
      </c>
      <c r="AS268"/>
    </row>
    <row r="269" spans="1:48" hidden="1" x14ac:dyDescent="0.3">
      <c r="A269">
        <v>2023</v>
      </c>
      <c r="B269">
        <v>314</v>
      </c>
      <c r="C269">
        <v>1205</v>
      </c>
      <c r="D269" s="5" t="s">
        <v>44</v>
      </c>
      <c r="E269" s="8" t="s">
        <v>600</v>
      </c>
      <c r="F269">
        <v>1205</v>
      </c>
      <c r="G269" s="8" t="s">
        <v>379</v>
      </c>
      <c r="H269" t="s">
        <v>558</v>
      </c>
      <c r="I269" s="11">
        <v>15000000</v>
      </c>
      <c r="J269" s="11">
        <v>15000000</v>
      </c>
      <c r="K269" s="11">
        <v>917335447.22000003</v>
      </c>
      <c r="L269" s="11">
        <v>10000000</v>
      </c>
      <c r="M269" s="11">
        <v>907335447.22000003</v>
      </c>
      <c r="N269" s="11">
        <v>917335447.22000003</v>
      </c>
      <c r="O269" s="11">
        <v>10000000</v>
      </c>
      <c r="P269" s="11">
        <v>922335447.22000003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1094620115.1199999</v>
      </c>
      <c r="X269" s="11">
        <v>172284667.90000001</v>
      </c>
      <c r="Y269" s="17">
        <v>922335447.22000003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1094620115.1199999</v>
      </c>
      <c r="AG269" s="11">
        <v>172284667.90000001</v>
      </c>
      <c r="AH269" s="12">
        <v>922335447.22000003</v>
      </c>
      <c r="AI269" s="11">
        <v>922335447.22000003</v>
      </c>
      <c r="AJ269" s="11">
        <v>0</v>
      </c>
      <c r="AK269" s="11">
        <v>0</v>
      </c>
      <c r="AL269" s="11">
        <v>922739268.12</v>
      </c>
      <c r="AM269" s="11">
        <v>1094620115.1199999</v>
      </c>
      <c r="AN269" s="11">
        <v>171880847</v>
      </c>
      <c r="AO269" s="11">
        <v>1094620115.1199999</v>
      </c>
      <c r="AP269" s="11">
        <v>0</v>
      </c>
      <c r="AQ269" s="11">
        <v>171880847</v>
      </c>
      <c r="AR269" t="s">
        <v>48</v>
      </c>
      <c r="AS269"/>
    </row>
    <row r="270" spans="1:48" hidden="1" x14ac:dyDescent="0.3">
      <c r="A270">
        <v>2023</v>
      </c>
      <c r="B270">
        <v>314</v>
      </c>
      <c r="C270">
        <v>120502</v>
      </c>
      <c r="D270" s="5" t="s">
        <v>44</v>
      </c>
      <c r="E270" s="8" t="s">
        <v>601</v>
      </c>
      <c r="F270">
        <v>120502</v>
      </c>
      <c r="G270" s="8" t="s">
        <v>381</v>
      </c>
      <c r="H270" t="s">
        <v>558</v>
      </c>
      <c r="I270" s="11">
        <v>15000000</v>
      </c>
      <c r="J270" s="11">
        <v>15000000</v>
      </c>
      <c r="K270" s="11">
        <v>917335447.22000003</v>
      </c>
      <c r="L270" s="11">
        <v>10000000</v>
      </c>
      <c r="M270" s="11">
        <v>907335447.22000003</v>
      </c>
      <c r="N270" s="11">
        <v>917335447.22000003</v>
      </c>
      <c r="O270" s="11">
        <v>10000000</v>
      </c>
      <c r="P270" s="11">
        <v>922335447.22000003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1094620115.1199999</v>
      </c>
      <c r="X270" s="11">
        <v>172284667.90000001</v>
      </c>
      <c r="Y270" s="17">
        <v>922335447.22000003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1094620115.1199999</v>
      </c>
      <c r="AG270" s="11">
        <v>172284667.90000001</v>
      </c>
      <c r="AH270" s="12">
        <v>922335447.22000003</v>
      </c>
      <c r="AI270" s="11">
        <v>922335447.22000003</v>
      </c>
      <c r="AJ270" s="11">
        <v>0</v>
      </c>
      <c r="AK270" s="11">
        <v>0</v>
      </c>
      <c r="AL270" s="11">
        <v>922739268.12</v>
      </c>
      <c r="AM270" s="11">
        <v>1094620115.1199999</v>
      </c>
      <c r="AN270" s="11">
        <v>171880847</v>
      </c>
      <c r="AO270" s="11">
        <v>1094620115.1199999</v>
      </c>
      <c r="AP270" s="11">
        <v>0</v>
      </c>
      <c r="AQ270" s="11">
        <v>171880847</v>
      </c>
      <c r="AR270" t="s">
        <v>48</v>
      </c>
      <c r="AS270"/>
    </row>
    <row r="271" spans="1:48" hidden="1" x14ac:dyDescent="0.3">
      <c r="A271">
        <v>2023</v>
      </c>
      <c r="B271">
        <v>314</v>
      </c>
      <c r="C271">
        <v>120502001</v>
      </c>
      <c r="D271" s="5" t="s">
        <v>44</v>
      </c>
      <c r="E271" s="8" t="s">
        <v>602</v>
      </c>
      <c r="F271">
        <v>120502001</v>
      </c>
      <c r="G271" s="8" t="s">
        <v>46</v>
      </c>
      <c r="H271" t="s">
        <v>558</v>
      </c>
      <c r="I271" s="11">
        <v>15000000</v>
      </c>
      <c r="J271" s="11">
        <v>15000000</v>
      </c>
      <c r="K271" s="11">
        <v>917335447.22000003</v>
      </c>
      <c r="L271" s="11">
        <v>10000000</v>
      </c>
      <c r="M271" s="11">
        <v>907335447.22000003</v>
      </c>
      <c r="N271" s="11">
        <v>917335447.22000003</v>
      </c>
      <c r="O271" s="11">
        <v>10000000</v>
      </c>
      <c r="P271" s="11">
        <v>922335447.22000003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1094620115.1199999</v>
      </c>
      <c r="X271" s="11">
        <v>172284667.90000001</v>
      </c>
      <c r="Y271" s="17">
        <v>922335447.22000003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1094620115.1199999</v>
      </c>
      <c r="AG271" s="11">
        <v>172284667.90000001</v>
      </c>
      <c r="AH271" s="12">
        <v>922335447.22000003</v>
      </c>
      <c r="AI271" s="11">
        <v>922335447.22000003</v>
      </c>
      <c r="AJ271" s="11">
        <v>0</v>
      </c>
      <c r="AK271" s="11">
        <v>0</v>
      </c>
      <c r="AL271" s="11">
        <v>922739268.12</v>
      </c>
      <c r="AM271" s="11">
        <v>1094620115.1199999</v>
      </c>
      <c r="AN271" s="11">
        <v>171880847</v>
      </c>
      <c r="AO271" s="11">
        <v>1094620115.1199999</v>
      </c>
      <c r="AP271" s="11">
        <v>0</v>
      </c>
      <c r="AQ271" s="11">
        <v>171880847</v>
      </c>
      <c r="AR271" t="s">
        <v>48</v>
      </c>
      <c r="AS271"/>
    </row>
    <row r="272" spans="1:48" hidden="1" x14ac:dyDescent="0.3">
      <c r="A272">
        <v>2023</v>
      </c>
      <c r="B272">
        <v>314</v>
      </c>
      <c r="C272">
        <v>12050200101</v>
      </c>
      <c r="D272" s="5" t="s">
        <v>44</v>
      </c>
      <c r="E272" s="8" t="s">
        <v>603</v>
      </c>
      <c r="F272">
        <v>12050200101</v>
      </c>
      <c r="G272" s="8" t="s">
        <v>50</v>
      </c>
      <c r="H272" t="s">
        <v>558</v>
      </c>
      <c r="I272" s="11">
        <v>15000000</v>
      </c>
      <c r="J272" s="11">
        <v>15000000</v>
      </c>
      <c r="K272" s="11">
        <v>917335447.22000003</v>
      </c>
      <c r="L272" s="11">
        <v>10000000</v>
      </c>
      <c r="M272" s="11">
        <v>907335447.22000003</v>
      </c>
      <c r="N272" s="11">
        <v>917335447.22000003</v>
      </c>
      <c r="O272" s="11">
        <v>10000000</v>
      </c>
      <c r="P272" s="11">
        <v>922335447.22000003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1094620115.1199999</v>
      </c>
      <c r="X272" s="11">
        <v>172284667.90000001</v>
      </c>
      <c r="Y272" s="17">
        <v>922335447.22000003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1094620115.1199999</v>
      </c>
      <c r="AG272" s="11">
        <v>172284667.90000001</v>
      </c>
      <c r="AH272" s="12">
        <v>922335447.22000003</v>
      </c>
      <c r="AI272" s="11">
        <v>922335447.22000003</v>
      </c>
      <c r="AJ272" s="11">
        <v>0</v>
      </c>
      <c r="AK272" s="11">
        <v>0</v>
      </c>
      <c r="AL272" s="11">
        <v>922739268.12</v>
      </c>
      <c r="AM272" s="11">
        <v>1094620115.1199999</v>
      </c>
      <c r="AN272" s="11">
        <v>171880847</v>
      </c>
      <c r="AO272" s="11">
        <v>1094620115.1199999</v>
      </c>
      <c r="AP272" s="11">
        <v>0</v>
      </c>
      <c r="AQ272" s="11">
        <v>171880847</v>
      </c>
      <c r="AR272" t="s">
        <v>48</v>
      </c>
      <c r="AS272"/>
    </row>
    <row r="273" spans="1:48" hidden="1" x14ac:dyDescent="0.3">
      <c r="A273">
        <v>2023</v>
      </c>
      <c r="B273">
        <v>314</v>
      </c>
      <c r="C273">
        <v>1205020010102</v>
      </c>
      <c r="D273" s="5" t="s">
        <v>44</v>
      </c>
      <c r="E273" s="8" t="s">
        <v>604</v>
      </c>
      <c r="F273">
        <v>1205020010102</v>
      </c>
      <c r="G273" s="8" t="s">
        <v>145</v>
      </c>
      <c r="H273" t="s">
        <v>558</v>
      </c>
      <c r="I273" s="11">
        <v>15000000</v>
      </c>
      <c r="J273" s="11">
        <v>15000000</v>
      </c>
      <c r="K273" s="11">
        <v>917335447.22000003</v>
      </c>
      <c r="L273" s="11">
        <v>10000000</v>
      </c>
      <c r="M273" s="11">
        <v>907335447.22000003</v>
      </c>
      <c r="N273" s="11">
        <v>917335447.22000003</v>
      </c>
      <c r="O273" s="11">
        <v>10000000</v>
      </c>
      <c r="P273" s="11">
        <v>922335447.22000003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1094620115.1199999</v>
      </c>
      <c r="X273" s="11">
        <v>172284667.90000001</v>
      </c>
      <c r="Y273" s="17">
        <v>922335447.22000003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1094620115.1199999</v>
      </c>
      <c r="AG273" s="11">
        <v>172284667.90000001</v>
      </c>
      <c r="AH273" s="12">
        <v>922335447.22000003</v>
      </c>
      <c r="AI273" s="11">
        <v>922335447.22000003</v>
      </c>
      <c r="AJ273" s="11">
        <v>0</v>
      </c>
      <c r="AK273" s="11">
        <v>0</v>
      </c>
      <c r="AL273" s="11">
        <v>922739268.12</v>
      </c>
      <c r="AM273" s="11">
        <v>1094620115.1199999</v>
      </c>
      <c r="AN273" s="11">
        <v>171880847</v>
      </c>
      <c r="AO273" s="11">
        <v>1094620115.1199999</v>
      </c>
      <c r="AP273" s="11">
        <v>0</v>
      </c>
      <c r="AQ273" s="11">
        <v>171880847</v>
      </c>
      <c r="AR273" t="s">
        <v>48</v>
      </c>
      <c r="AS273"/>
    </row>
    <row r="274" spans="1:48" hidden="1" x14ac:dyDescent="0.3">
      <c r="A274">
        <v>2023</v>
      </c>
      <c r="B274">
        <v>314</v>
      </c>
      <c r="C274">
        <v>120502001010206</v>
      </c>
      <c r="D274" s="5" t="s">
        <v>44</v>
      </c>
      <c r="E274" s="8" t="s">
        <v>605</v>
      </c>
      <c r="F274">
        <v>120502001010206</v>
      </c>
      <c r="G274" s="8" t="s">
        <v>242</v>
      </c>
      <c r="H274" t="s">
        <v>558</v>
      </c>
      <c r="I274" s="11">
        <v>15000000</v>
      </c>
      <c r="J274" s="11">
        <v>15000000</v>
      </c>
      <c r="K274" s="11">
        <v>917335447.22000003</v>
      </c>
      <c r="L274" s="11">
        <v>10000000</v>
      </c>
      <c r="M274" s="11">
        <v>907335447.22000003</v>
      </c>
      <c r="N274" s="11">
        <v>917335447.22000003</v>
      </c>
      <c r="O274" s="11">
        <v>10000000</v>
      </c>
      <c r="P274" s="11">
        <v>922335447.22000003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1094620115.1199999</v>
      </c>
      <c r="X274" s="11">
        <v>172284667.90000001</v>
      </c>
      <c r="Y274" s="17">
        <v>922335447.22000003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1094620115.1199999</v>
      </c>
      <c r="AG274" s="11">
        <v>172284667.90000001</v>
      </c>
      <c r="AH274" s="12">
        <v>922335447.22000003</v>
      </c>
      <c r="AI274" s="11">
        <v>922335447.22000003</v>
      </c>
      <c r="AJ274" s="11">
        <v>0</v>
      </c>
      <c r="AK274" s="11">
        <v>0</v>
      </c>
      <c r="AL274" s="11">
        <v>922739268.12</v>
      </c>
      <c r="AM274" s="11">
        <v>1094620115.1199999</v>
      </c>
      <c r="AN274" s="11">
        <v>171880847</v>
      </c>
      <c r="AO274" s="11">
        <v>1094620115.1199999</v>
      </c>
      <c r="AP274" s="11">
        <v>0</v>
      </c>
      <c r="AQ274" s="11">
        <v>171880847</v>
      </c>
      <c r="AR274" t="s">
        <v>48</v>
      </c>
      <c r="AS274"/>
    </row>
    <row r="275" spans="1:48" hidden="1" x14ac:dyDescent="0.3">
      <c r="A275">
        <v>2023</v>
      </c>
      <c r="B275">
        <v>314</v>
      </c>
      <c r="C275">
        <v>1.20502001010206E+17</v>
      </c>
      <c r="D275" s="5" t="s">
        <v>44</v>
      </c>
      <c r="E275" s="8" t="s">
        <v>1211</v>
      </c>
      <c r="F275">
        <v>1.20502001010206E+17</v>
      </c>
      <c r="G275" s="8" t="s">
        <v>244</v>
      </c>
      <c r="H275" t="s">
        <v>558</v>
      </c>
      <c r="I275" s="11">
        <v>15000000</v>
      </c>
      <c r="J275" s="11">
        <v>15000000</v>
      </c>
      <c r="K275" s="11">
        <v>710982292.37</v>
      </c>
      <c r="L275" s="11">
        <v>10000000</v>
      </c>
      <c r="M275" s="11">
        <v>700982292.37</v>
      </c>
      <c r="N275" s="11">
        <v>710982292.37</v>
      </c>
      <c r="O275" s="11">
        <v>10000000</v>
      </c>
      <c r="P275" s="11">
        <v>715982292.37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801111352.42999995</v>
      </c>
      <c r="X275" s="11">
        <v>85129060.060000002</v>
      </c>
      <c r="Y275" s="17">
        <v>715982292.37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801111352.42999995</v>
      </c>
      <c r="AG275" s="11">
        <v>85129060.060000002</v>
      </c>
      <c r="AH275" s="12">
        <v>715982292.37</v>
      </c>
      <c r="AI275" s="11">
        <v>715982292.37</v>
      </c>
      <c r="AJ275" s="11">
        <v>0</v>
      </c>
      <c r="AK275" s="11">
        <v>0</v>
      </c>
      <c r="AL275" s="11">
        <v>716386113.26999998</v>
      </c>
      <c r="AM275" s="11">
        <v>801111352.42999995</v>
      </c>
      <c r="AN275" s="11">
        <v>84725239.159999996</v>
      </c>
      <c r="AO275" s="11">
        <v>801111352.42999995</v>
      </c>
      <c r="AP275" s="11">
        <v>0</v>
      </c>
      <c r="AQ275" s="11">
        <v>84725239.159999996</v>
      </c>
      <c r="AR275" t="s">
        <v>48</v>
      </c>
      <c r="AS275"/>
    </row>
    <row r="276" spans="1:48" x14ac:dyDescent="0.3">
      <c r="A276">
        <v>2023</v>
      </c>
      <c r="B276">
        <v>314</v>
      </c>
      <c r="C276">
        <v>1.20502001010206E+20</v>
      </c>
      <c r="D276" s="5">
        <v>21</v>
      </c>
      <c r="E276" s="8" t="s">
        <v>1212</v>
      </c>
      <c r="F276">
        <v>1.20502001010206E+20</v>
      </c>
      <c r="G276" s="8" t="s">
        <v>608</v>
      </c>
      <c r="H276" t="s">
        <v>558</v>
      </c>
      <c r="I276" s="11">
        <v>5000000</v>
      </c>
      <c r="J276" s="11">
        <v>5000000</v>
      </c>
      <c r="K276" s="11">
        <v>710982292.37</v>
      </c>
      <c r="L276" s="11">
        <v>0</v>
      </c>
      <c r="M276" s="11">
        <v>710982292.37</v>
      </c>
      <c r="N276" s="11">
        <v>710982292.37</v>
      </c>
      <c r="O276" s="11">
        <v>0</v>
      </c>
      <c r="P276" s="11">
        <v>715982292.37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800707531.52999997</v>
      </c>
      <c r="X276" s="11">
        <v>84725239.159999996</v>
      </c>
      <c r="Y276" s="17">
        <v>715982292.37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800707531.52999997</v>
      </c>
      <c r="AG276" s="11">
        <v>84725239.159999996</v>
      </c>
      <c r="AH276" s="12">
        <v>715982292.37</v>
      </c>
      <c r="AI276" s="11">
        <v>715982292.37</v>
      </c>
      <c r="AJ276" s="11">
        <v>0</v>
      </c>
      <c r="AK276" s="11">
        <v>0</v>
      </c>
      <c r="AL276" s="11">
        <v>715982292.37</v>
      </c>
      <c r="AM276" s="11">
        <v>800707531.52999997</v>
      </c>
      <c r="AN276" s="11">
        <v>84725239.159999996</v>
      </c>
      <c r="AO276" s="11">
        <v>800707531.52999997</v>
      </c>
      <c r="AP276" s="11">
        <v>0</v>
      </c>
      <c r="AQ276" s="11">
        <v>84725239.159999996</v>
      </c>
      <c r="AR276" t="s">
        <v>609</v>
      </c>
      <c r="AS276" s="4" t="str">
        <f t="shared" ref="AS276:AS277" si="50">+G276</f>
        <v>Rendimientos Prestacion de Servicio educativo</v>
      </c>
      <c r="AT276" t="str">
        <f t="shared" ref="AT276:AT277" si="51">+D276&amp;AS276&amp;Y276</f>
        <v>21Rendimientos Prestacion de Servicio educativo715982292,37</v>
      </c>
      <c r="AU276" t="str">
        <f>+_xlfn.XLOOKUP(AT276,CRUCE!K:K,CRUCE!M:M)</f>
        <v>READY</v>
      </c>
      <c r="AV276" t="s">
        <v>1907</v>
      </c>
    </row>
    <row r="277" spans="1:48" x14ac:dyDescent="0.3">
      <c r="A277">
        <v>2023</v>
      </c>
      <c r="B277">
        <v>314</v>
      </c>
      <c r="C277">
        <v>1.20502001010206E+20</v>
      </c>
      <c r="D277" s="5">
        <v>81</v>
      </c>
      <c r="E277" s="8" t="s">
        <v>1213</v>
      </c>
      <c r="F277">
        <v>1.20502001010206E+20</v>
      </c>
      <c r="G277" s="8" t="s">
        <v>611</v>
      </c>
      <c r="H277" t="s">
        <v>558</v>
      </c>
      <c r="I277" s="11">
        <v>10000000</v>
      </c>
      <c r="J277" s="11">
        <v>10000000</v>
      </c>
      <c r="K277" s="11">
        <v>0</v>
      </c>
      <c r="L277" s="11">
        <v>10000000</v>
      </c>
      <c r="M277" s="11">
        <v>-10000000</v>
      </c>
      <c r="N277" s="11">
        <v>0</v>
      </c>
      <c r="O277" s="11">
        <v>10000000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403820.9</v>
      </c>
      <c r="X277" s="11">
        <v>403820.9</v>
      </c>
      <c r="Y277" s="17">
        <v>0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11">
        <v>403820.9</v>
      </c>
      <c r="AG277" s="11">
        <v>403820.9</v>
      </c>
      <c r="AH277" s="12">
        <v>0</v>
      </c>
      <c r="AI277" s="11">
        <v>0</v>
      </c>
      <c r="AJ277" s="11">
        <v>0</v>
      </c>
      <c r="AK277" s="11">
        <v>0</v>
      </c>
      <c r="AL277" s="11">
        <v>403820.9</v>
      </c>
      <c r="AM277" s="11">
        <v>403820.9</v>
      </c>
      <c r="AN277" s="11">
        <v>0</v>
      </c>
      <c r="AO277" s="11">
        <v>403820.9</v>
      </c>
      <c r="AP277" s="11">
        <v>0</v>
      </c>
      <c r="AQ277" s="11">
        <v>0</v>
      </c>
      <c r="AR277" t="s">
        <v>581</v>
      </c>
      <c r="AS277" s="4" t="str">
        <f t="shared" si="50"/>
        <v>Rendimientos PAE</v>
      </c>
      <c r="AT277" t="str">
        <f t="shared" si="51"/>
        <v>81Rendimientos PAE0</v>
      </c>
      <c r="AU277" t="str">
        <f>+_xlfn.XLOOKUP(AT277,CRUCE!K:K,CRUCE!M:M)</f>
        <v>READY</v>
      </c>
      <c r="AV277" t="s">
        <v>1907</v>
      </c>
    </row>
    <row r="278" spans="1:48" hidden="1" x14ac:dyDescent="0.3">
      <c r="A278">
        <v>2023</v>
      </c>
      <c r="B278">
        <v>314</v>
      </c>
      <c r="C278">
        <v>1.20502001010206E+17</v>
      </c>
      <c r="D278" s="5" t="s">
        <v>44</v>
      </c>
      <c r="E278" s="8" t="s">
        <v>1214</v>
      </c>
      <c r="F278">
        <v>1.20502001010206E+17</v>
      </c>
      <c r="G278" s="8" t="s">
        <v>267</v>
      </c>
      <c r="H278" t="s">
        <v>558</v>
      </c>
      <c r="I278" s="11">
        <v>0</v>
      </c>
      <c r="J278" s="11">
        <v>0</v>
      </c>
      <c r="K278" s="11">
        <v>206353154.84999999</v>
      </c>
      <c r="L278" s="11">
        <v>0</v>
      </c>
      <c r="M278" s="11">
        <v>206353154.84999999</v>
      </c>
      <c r="N278" s="11">
        <v>206353154.84999999</v>
      </c>
      <c r="O278" s="11">
        <v>0</v>
      </c>
      <c r="P278" s="11">
        <v>206353154.84999999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293508762.69</v>
      </c>
      <c r="X278" s="11">
        <v>87155607.840000004</v>
      </c>
      <c r="Y278" s="17">
        <v>206353154.84999999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293508762.69</v>
      </c>
      <c r="AG278" s="11">
        <v>87155607.840000004</v>
      </c>
      <c r="AH278" s="12">
        <v>206353154.84999999</v>
      </c>
      <c r="AI278" s="11">
        <v>206353154.84999999</v>
      </c>
      <c r="AJ278" s="11">
        <v>0</v>
      </c>
      <c r="AK278" s="11">
        <v>0</v>
      </c>
      <c r="AL278" s="11">
        <v>206353154.84999999</v>
      </c>
      <c r="AM278" s="11">
        <v>293508762.69</v>
      </c>
      <c r="AN278" s="11">
        <v>87155607.840000004</v>
      </c>
      <c r="AO278" s="11">
        <v>293508762.69</v>
      </c>
      <c r="AP278" s="11">
        <v>0</v>
      </c>
      <c r="AQ278" s="11">
        <v>87155607.840000004</v>
      </c>
      <c r="AR278" t="s">
        <v>48</v>
      </c>
      <c r="AS278"/>
    </row>
    <row r="279" spans="1:48" hidden="1" x14ac:dyDescent="0.3">
      <c r="A279">
        <v>2023</v>
      </c>
      <c r="B279">
        <v>314</v>
      </c>
      <c r="C279">
        <v>1.20502001010206E+20</v>
      </c>
      <c r="D279" s="5" t="s">
        <v>44</v>
      </c>
      <c r="E279" s="8" t="s">
        <v>1215</v>
      </c>
      <c r="F279">
        <v>1.20502001010206E+20</v>
      </c>
      <c r="G279" s="8" t="s">
        <v>269</v>
      </c>
      <c r="H279" t="s">
        <v>558</v>
      </c>
      <c r="I279" s="11">
        <v>0</v>
      </c>
      <c r="J279" s="11">
        <v>0</v>
      </c>
      <c r="K279" s="11">
        <v>206353154.84999999</v>
      </c>
      <c r="L279" s="11">
        <v>0</v>
      </c>
      <c r="M279" s="11">
        <v>206353154.84999999</v>
      </c>
      <c r="N279" s="11">
        <v>206353154.84999999</v>
      </c>
      <c r="O279" s="11">
        <v>0</v>
      </c>
      <c r="P279" s="11">
        <v>206353154.84999999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293508762.69</v>
      </c>
      <c r="X279" s="11">
        <v>87155607.840000004</v>
      </c>
      <c r="Y279" s="17">
        <v>206353154.84999999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293508762.69</v>
      </c>
      <c r="AG279" s="11">
        <v>87155607.840000004</v>
      </c>
      <c r="AH279" s="12">
        <v>206353154.84999999</v>
      </c>
      <c r="AI279" s="11">
        <v>206353154.84999999</v>
      </c>
      <c r="AJ279" s="11">
        <v>0</v>
      </c>
      <c r="AK279" s="11">
        <v>0</v>
      </c>
      <c r="AL279" s="11">
        <v>206353154.84999999</v>
      </c>
      <c r="AM279" s="11">
        <v>293508762.69</v>
      </c>
      <c r="AN279" s="11">
        <v>87155607.840000004</v>
      </c>
      <c r="AO279" s="11">
        <v>293508762.69</v>
      </c>
      <c r="AP279" s="11">
        <v>0</v>
      </c>
      <c r="AQ279" s="11">
        <v>87155607.840000004</v>
      </c>
      <c r="AR279" t="s">
        <v>48</v>
      </c>
      <c r="AS279"/>
    </row>
    <row r="280" spans="1:48" x14ac:dyDescent="0.3">
      <c r="A280">
        <v>2023</v>
      </c>
      <c r="B280">
        <v>314</v>
      </c>
      <c r="C280">
        <v>1.20502001010206E+35</v>
      </c>
      <c r="D280" s="5">
        <v>81</v>
      </c>
      <c r="E280" s="8" t="s">
        <v>618</v>
      </c>
      <c r="F280">
        <v>1.20502001010206E+35</v>
      </c>
      <c r="G280" s="8" t="s">
        <v>619</v>
      </c>
      <c r="H280" t="s">
        <v>558</v>
      </c>
      <c r="I280" s="11">
        <v>0</v>
      </c>
      <c r="J280" s="11">
        <v>0</v>
      </c>
      <c r="K280" s="11">
        <v>206353154.84999999</v>
      </c>
      <c r="L280" s="11">
        <v>0</v>
      </c>
      <c r="M280" s="11">
        <v>206353154.84999999</v>
      </c>
      <c r="N280" s="11">
        <v>206353154.84999999</v>
      </c>
      <c r="O280" s="11">
        <v>0</v>
      </c>
      <c r="P280" s="11">
        <v>206353154.84999999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293508762.69</v>
      </c>
      <c r="X280" s="11">
        <v>87155607.840000004</v>
      </c>
      <c r="Y280" s="17">
        <v>206353154.84999999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293508762.69</v>
      </c>
      <c r="AG280" s="11">
        <v>87155607.840000004</v>
      </c>
      <c r="AH280" s="12">
        <v>206353154.84999999</v>
      </c>
      <c r="AI280" s="11">
        <v>206353154.84999999</v>
      </c>
      <c r="AJ280" s="11">
        <v>0</v>
      </c>
      <c r="AK280" s="11">
        <v>0</v>
      </c>
      <c r="AL280" s="11">
        <v>206353154.84999999</v>
      </c>
      <c r="AM280" s="11">
        <v>293508762.69</v>
      </c>
      <c r="AN280" s="11">
        <v>87155607.840000004</v>
      </c>
      <c r="AO280" s="11">
        <v>293508762.69</v>
      </c>
      <c r="AP280" s="11">
        <v>0</v>
      </c>
      <c r="AQ280" s="11">
        <v>87155607.840000004</v>
      </c>
      <c r="AR280" t="s">
        <v>581</v>
      </c>
      <c r="AS280" s="4" t="str">
        <f>+G280</f>
        <v>Rendimientos Financieros PAE</v>
      </c>
      <c r="AT280" t="str">
        <f>+D280&amp;AS280&amp;Y280</f>
        <v>81Rendimientos Financieros PAE206353154,85</v>
      </c>
      <c r="AU280" t="str">
        <f>+_xlfn.XLOOKUP(AT280,CRUCE!K:K,CRUCE!M:M)</f>
        <v>READY</v>
      </c>
      <c r="AV280" t="s">
        <v>1907</v>
      </c>
    </row>
    <row r="281" spans="1:48" hidden="1" x14ac:dyDescent="0.3">
      <c r="A281">
        <v>2023</v>
      </c>
      <c r="B281">
        <v>314</v>
      </c>
      <c r="C281">
        <v>1210</v>
      </c>
      <c r="D281" s="5" t="s">
        <v>44</v>
      </c>
      <c r="E281" s="8" t="s">
        <v>1408</v>
      </c>
      <c r="F281">
        <v>1210</v>
      </c>
      <c r="G281" s="8" t="s">
        <v>474</v>
      </c>
      <c r="H281" t="s">
        <v>558</v>
      </c>
      <c r="I281" s="11">
        <v>0</v>
      </c>
      <c r="J281" s="11">
        <v>0</v>
      </c>
      <c r="K281" s="11">
        <v>2513685479.1999998</v>
      </c>
      <c r="L281" s="11">
        <v>650000000</v>
      </c>
      <c r="M281" s="11">
        <v>1863685479.2</v>
      </c>
      <c r="N281" s="11">
        <v>2513685479.1999998</v>
      </c>
      <c r="O281" s="11">
        <v>650000000</v>
      </c>
      <c r="P281" s="11">
        <v>1863685479.2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1863685479.2</v>
      </c>
      <c r="X281" s="11">
        <v>0</v>
      </c>
      <c r="Y281" s="17">
        <v>1863685479.2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1863685479.2</v>
      </c>
      <c r="AG281" s="11">
        <v>0</v>
      </c>
      <c r="AH281" s="12">
        <v>1863685479.2</v>
      </c>
      <c r="AI281" s="11">
        <v>1863685479.2</v>
      </c>
      <c r="AJ281" s="11">
        <v>1771510731.2</v>
      </c>
      <c r="AK281" s="11">
        <v>1771510731.2</v>
      </c>
      <c r="AL281" s="11">
        <v>92174748</v>
      </c>
      <c r="AM281" s="11">
        <v>92174748</v>
      </c>
      <c r="AN281" s="11">
        <v>0</v>
      </c>
      <c r="AO281" s="11">
        <v>92174748</v>
      </c>
      <c r="AP281" s="11">
        <v>0</v>
      </c>
      <c r="AQ281" s="11">
        <v>0</v>
      </c>
      <c r="AR281" t="s">
        <v>48</v>
      </c>
      <c r="AS281"/>
    </row>
    <row r="282" spans="1:48" x14ac:dyDescent="0.3">
      <c r="A282">
        <v>2023</v>
      </c>
      <c r="B282">
        <v>314</v>
      </c>
      <c r="C282">
        <v>121001</v>
      </c>
      <c r="D282" s="5">
        <v>236</v>
      </c>
      <c r="E282" s="8" t="s">
        <v>1409</v>
      </c>
      <c r="F282">
        <v>121001</v>
      </c>
      <c r="G282" s="8" t="s">
        <v>1410</v>
      </c>
      <c r="H282" t="s">
        <v>558</v>
      </c>
      <c r="I282" s="11">
        <v>0</v>
      </c>
      <c r="J282" s="11">
        <v>0</v>
      </c>
      <c r="K282" s="11">
        <v>706885427.62</v>
      </c>
      <c r="L282" s="11">
        <v>0</v>
      </c>
      <c r="M282" s="11">
        <v>706885427.62</v>
      </c>
      <c r="N282" s="11">
        <v>706885427.62</v>
      </c>
      <c r="O282" s="11">
        <v>0</v>
      </c>
      <c r="P282" s="11">
        <v>706885427.62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706885427.62</v>
      </c>
      <c r="X282" s="11">
        <v>0</v>
      </c>
      <c r="Y282" s="17">
        <v>706885427.62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706885427.62</v>
      </c>
      <c r="AG282" s="11">
        <v>0</v>
      </c>
      <c r="AH282" s="12">
        <v>706885427.62</v>
      </c>
      <c r="AI282" s="11">
        <v>706885427.62</v>
      </c>
      <c r="AJ282" s="11">
        <v>706885427.62</v>
      </c>
      <c r="AK282" s="11">
        <v>706885427.62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t="s">
        <v>1411</v>
      </c>
      <c r="AS282" s="4" t="str">
        <f t="shared" ref="AS282:AS283" si="52">+G282</f>
        <v>Cancelación Reservas</v>
      </c>
      <c r="AT282" t="str">
        <f t="shared" ref="AT282:AT283" si="53">+D282&amp;AS282&amp;Y282</f>
        <v>236Cancelación Reservas706885427,62</v>
      </c>
      <c r="AU282" t="str">
        <f>+_xlfn.XLOOKUP(AT282,CRUCE!K:K,CRUCE!M:M)</f>
        <v>READY</v>
      </c>
      <c r="AV282" t="s">
        <v>1907</v>
      </c>
    </row>
    <row r="283" spans="1:48" x14ac:dyDescent="0.3">
      <c r="A283">
        <v>2023</v>
      </c>
      <c r="B283">
        <v>314</v>
      </c>
      <c r="C283">
        <v>121001</v>
      </c>
      <c r="D283" s="5">
        <v>256</v>
      </c>
      <c r="E283" s="8" t="s">
        <v>1412</v>
      </c>
      <c r="F283">
        <v>121001</v>
      </c>
      <c r="G283" s="8" t="s">
        <v>1410</v>
      </c>
      <c r="H283" t="s">
        <v>558</v>
      </c>
      <c r="I283" s="11">
        <v>0</v>
      </c>
      <c r="J283" s="11">
        <v>0</v>
      </c>
      <c r="K283" s="11">
        <v>16008222.699999999</v>
      </c>
      <c r="L283" s="11">
        <v>0</v>
      </c>
      <c r="M283" s="11">
        <v>16008222.699999999</v>
      </c>
      <c r="N283" s="11">
        <v>16008222.699999999</v>
      </c>
      <c r="O283" s="11">
        <v>0</v>
      </c>
      <c r="P283" s="11">
        <v>16008222.699999999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16008222.699999999</v>
      </c>
      <c r="X283" s="11">
        <v>0</v>
      </c>
      <c r="Y283" s="17">
        <v>16008222.699999999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16008222.699999999</v>
      </c>
      <c r="AG283" s="11">
        <v>0</v>
      </c>
      <c r="AH283" s="12">
        <v>16008222.699999999</v>
      </c>
      <c r="AI283" s="11">
        <v>16008222.699999999</v>
      </c>
      <c r="AJ283" s="11">
        <v>16008222.699999999</v>
      </c>
      <c r="AK283" s="11">
        <v>16008222.699999999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t="s">
        <v>1413</v>
      </c>
      <c r="AS283" s="4" t="str">
        <f t="shared" si="52"/>
        <v>Cancelación Reservas</v>
      </c>
      <c r="AT283" t="str">
        <f t="shared" si="53"/>
        <v>256Cancelación Reservas16008222,7</v>
      </c>
      <c r="AU283" t="str">
        <f>+_xlfn.XLOOKUP(AT283,CRUCE!K:K,CRUCE!M:M)</f>
        <v>READY</v>
      </c>
      <c r="AV283" t="s">
        <v>1907</v>
      </c>
    </row>
    <row r="284" spans="1:48" hidden="1" x14ac:dyDescent="0.3">
      <c r="A284">
        <v>2023</v>
      </c>
      <c r="B284">
        <v>314</v>
      </c>
      <c r="C284">
        <v>121002</v>
      </c>
      <c r="D284" s="5" t="s">
        <v>44</v>
      </c>
      <c r="E284" s="8" t="s">
        <v>1414</v>
      </c>
      <c r="F284">
        <v>121002</v>
      </c>
      <c r="G284" s="8" t="s">
        <v>476</v>
      </c>
      <c r="H284" t="s">
        <v>558</v>
      </c>
      <c r="I284" s="11">
        <v>0</v>
      </c>
      <c r="J284" s="11">
        <v>0</v>
      </c>
      <c r="K284" s="11">
        <v>1790791828.8800001</v>
      </c>
      <c r="L284" s="11">
        <v>650000000</v>
      </c>
      <c r="M284" s="11">
        <v>1140791828.8800001</v>
      </c>
      <c r="N284" s="11">
        <v>1790791828.8800001</v>
      </c>
      <c r="O284" s="11">
        <v>650000000</v>
      </c>
      <c r="P284" s="11">
        <v>1140791828.8800001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1140791828.8800001</v>
      </c>
      <c r="X284" s="11">
        <v>0</v>
      </c>
      <c r="Y284" s="17">
        <v>1140791828.8800001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v>1140791828.8800001</v>
      </c>
      <c r="AG284" s="11">
        <v>0</v>
      </c>
      <c r="AH284" s="12">
        <v>1140791828.8800001</v>
      </c>
      <c r="AI284" s="11">
        <v>1140791828.8800001</v>
      </c>
      <c r="AJ284" s="11">
        <v>1048617080.88</v>
      </c>
      <c r="AK284" s="11">
        <v>1048617080.88</v>
      </c>
      <c r="AL284" s="11">
        <v>92174748</v>
      </c>
      <c r="AM284" s="11">
        <v>92174748</v>
      </c>
      <c r="AN284" s="11">
        <v>0</v>
      </c>
      <c r="AO284" s="11">
        <v>92174748</v>
      </c>
      <c r="AP284" s="11">
        <v>0</v>
      </c>
      <c r="AQ284" s="11">
        <v>0</v>
      </c>
      <c r="AR284" t="s">
        <v>48</v>
      </c>
      <c r="AS284"/>
    </row>
    <row r="285" spans="1:48" hidden="1" x14ac:dyDescent="0.3">
      <c r="A285">
        <v>2023</v>
      </c>
      <c r="B285">
        <v>314</v>
      </c>
      <c r="C285">
        <v>121002001</v>
      </c>
      <c r="D285" s="5" t="s">
        <v>44</v>
      </c>
      <c r="E285" s="8" t="s">
        <v>1415</v>
      </c>
      <c r="F285">
        <v>121002001</v>
      </c>
      <c r="G285" s="8" t="s">
        <v>478</v>
      </c>
      <c r="H285" t="s">
        <v>558</v>
      </c>
      <c r="I285" s="11">
        <v>0</v>
      </c>
      <c r="J285" s="11">
        <v>0</v>
      </c>
      <c r="K285" s="11">
        <v>650000000</v>
      </c>
      <c r="L285" s="11">
        <v>650000000</v>
      </c>
      <c r="M285" s="11">
        <v>0</v>
      </c>
      <c r="N285" s="11">
        <v>650000000</v>
      </c>
      <c r="O285" s="11">
        <v>650000000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7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2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t="s">
        <v>48</v>
      </c>
      <c r="AS285"/>
    </row>
    <row r="286" spans="1:48" x14ac:dyDescent="0.3">
      <c r="A286">
        <v>2023</v>
      </c>
      <c r="B286">
        <v>314</v>
      </c>
      <c r="C286">
        <v>12100200101</v>
      </c>
      <c r="D286" s="5">
        <v>88</v>
      </c>
      <c r="E286" s="8" t="s">
        <v>1416</v>
      </c>
      <c r="F286">
        <v>12100200101</v>
      </c>
      <c r="G286" s="8" t="s">
        <v>480</v>
      </c>
      <c r="H286" t="s">
        <v>558</v>
      </c>
      <c r="I286" s="11">
        <v>0</v>
      </c>
      <c r="J286" s="11">
        <v>0</v>
      </c>
      <c r="K286" s="11">
        <v>650000000</v>
      </c>
      <c r="L286" s="11">
        <v>650000000</v>
      </c>
      <c r="M286" s="11">
        <v>0</v>
      </c>
      <c r="N286" s="11">
        <v>650000000</v>
      </c>
      <c r="O286" s="11">
        <v>650000000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7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2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t="s">
        <v>471</v>
      </c>
      <c r="AS286" s="4" t="str">
        <f t="shared" ref="AS286" si="54">+G286</f>
        <v xml:space="preserve">Superávit Recurso Ordinario </v>
      </c>
      <c r="AT286" t="str">
        <f>+D286&amp;AS286&amp;Y286</f>
        <v>88Superávit Recurso Ordinario 0</v>
      </c>
      <c r="AU286" t="e">
        <f>+_xlfn.XLOOKUP(AT286,CRUCE!K:K,CRUCE!M:M)</f>
        <v>#N/A</v>
      </c>
      <c r="AV286" t="s">
        <v>1907</v>
      </c>
    </row>
    <row r="287" spans="1:48" hidden="1" x14ac:dyDescent="0.3">
      <c r="A287">
        <v>2023</v>
      </c>
      <c r="B287">
        <v>314</v>
      </c>
      <c r="C287">
        <v>121002002</v>
      </c>
      <c r="D287" s="5" t="s">
        <v>44</v>
      </c>
      <c r="E287" s="8" t="s">
        <v>1417</v>
      </c>
      <c r="F287">
        <v>121002002</v>
      </c>
      <c r="G287" s="8" t="s">
        <v>482</v>
      </c>
      <c r="H287" t="s">
        <v>558</v>
      </c>
      <c r="I287" s="11">
        <v>0</v>
      </c>
      <c r="J287" s="11">
        <v>0</v>
      </c>
      <c r="K287" s="11">
        <v>1140791828.8800001</v>
      </c>
      <c r="L287" s="11">
        <v>0</v>
      </c>
      <c r="M287" s="11">
        <v>1140791828.8800001</v>
      </c>
      <c r="N287" s="11">
        <v>1140791828.8800001</v>
      </c>
      <c r="O287" s="11">
        <v>0</v>
      </c>
      <c r="P287" s="11">
        <v>1140791828.8800001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1140791828.8800001</v>
      </c>
      <c r="X287" s="11">
        <v>0</v>
      </c>
      <c r="Y287" s="17">
        <v>1140791828.8800001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1140791828.8800001</v>
      </c>
      <c r="AG287" s="11">
        <v>0</v>
      </c>
      <c r="AH287" s="12">
        <v>1140791828.8800001</v>
      </c>
      <c r="AI287" s="11">
        <v>1140791828.8800001</v>
      </c>
      <c r="AJ287" s="11">
        <v>1048617080.88</v>
      </c>
      <c r="AK287" s="11">
        <v>1048617080.88</v>
      </c>
      <c r="AL287" s="11">
        <v>92174748</v>
      </c>
      <c r="AM287" s="11">
        <v>92174748</v>
      </c>
      <c r="AN287" s="11">
        <v>0</v>
      </c>
      <c r="AO287" s="11">
        <v>92174748</v>
      </c>
      <c r="AP287" s="11">
        <v>0</v>
      </c>
      <c r="AQ287" s="11">
        <v>0</v>
      </c>
      <c r="AR287" t="s">
        <v>48</v>
      </c>
      <c r="AS287"/>
    </row>
    <row r="288" spans="1:48" x14ac:dyDescent="0.3">
      <c r="A288">
        <v>2023</v>
      </c>
      <c r="B288">
        <v>314</v>
      </c>
      <c r="C288">
        <v>12100200205</v>
      </c>
      <c r="D288" s="5">
        <v>9</v>
      </c>
      <c r="E288" s="8" t="s">
        <v>623</v>
      </c>
      <c r="F288">
        <v>12100200205</v>
      </c>
      <c r="G288" s="8" t="s">
        <v>624</v>
      </c>
      <c r="H288" t="s">
        <v>558</v>
      </c>
      <c r="I288" s="11">
        <v>0</v>
      </c>
      <c r="J288" s="11">
        <v>0</v>
      </c>
      <c r="K288" s="11">
        <v>116366216.68000001</v>
      </c>
      <c r="L288" s="11">
        <v>0</v>
      </c>
      <c r="M288" s="11">
        <v>116366216.68000001</v>
      </c>
      <c r="N288" s="11">
        <v>116366216.68000001</v>
      </c>
      <c r="O288" s="11">
        <v>0</v>
      </c>
      <c r="P288" s="11">
        <v>116366216.68000001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116366216.68000001</v>
      </c>
      <c r="X288" s="11">
        <v>0</v>
      </c>
      <c r="Y288" s="17">
        <v>116366216.68000001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v>116366216.68000001</v>
      </c>
      <c r="AG288" s="11">
        <v>0</v>
      </c>
      <c r="AH288" s="12">
        <v>116366216.68000001</v>
      </c>
      <c r="AI288" s="11">
        <v>116366216.68000001</v>
      </c>
      <c r="AJ288" s="11">
        <v>116366216.68000001</v>
      </c>
      <c r="AK288" s="11">
        <v>116366216.68000001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t="s">
        <v>625</v>
      </c>
      <c r="AS288" s="4" t="str">
        <f t="shared" ref="AS288:AS291" si="55">+G288</f>
        <v>Superávit S.G.P. Educación</v>
      </c>
      <c r="AT288" t="str">
        <f t="shared" ref="AT288:AT291" si="56">+D288&amp;AS288&amp;Y288</f>
        <v>9Superávit S.G.P. Educación116366216,68</v>
      </c>
      <c r="AU288" t="str">
        <f>+_xlfn.XLOOKUP(AT288,CRUCE!K:K,CRUCE!M:M)</f>
        <v>READY</v>
      </c>
      <c r="AV288" t="s">
        <v>1907</v>
      </c>
    </row>
    <row r="289" spans="1:48" x14ac:dyDescent="0.3">
      <c r="A289">
        <v>2023</v>
      </c>
      <c r="B289">
        <v>314</v>
      </c>
      <c r="C289">
        <v>12100200210</v>
      </c>
      <c r="D289" s="5">
        <v>137</v>
      </c>
      <c r="E289" s="8" t="s">
        <v>626</v>
      </c>
      <c r="F289">
        <v>12100200210</v>
      </c>
      <c r="G289" s="8" t="s">
        <v>627</v>
      </c>
      <c r="H289" t="s">
        <v>558</v>
      </c>
      <c r="I289" s="11">
        <v>0</v>
      </c>
      <c r="J289" s="11">
        <v>0</v>
      </c>
      <c r="K289" s="11">
        <v>731851062.25</v>
      </c>
      <c r="L289" s="11">
        <v>0</v>
      </c>
      <c r="M289" s="11">
        <v>731851062.25</v>
      </c>
      <c r="N289" s="11">
        <v>731851062.25</v>
      </c>
      <c r="O289" s="11">
        <v>0</v>
      </c>
      <c r="P289" s="11">
        <v>731851062.25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731851062.25</v>
      </c>
      <c r="X289" s="11">
        <v>0</v>
      </c>
      <c r="Y289" s="17">
        <v>731851062.25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731851062.25</v>
      </c>
      <c r="AG289" s="11">
        <v>0</v>
      </c>
      <c r="AH289" s="12">
        <v>731851062.25</v>
      </c>
      <c r="AI289" s="11">
        <v>731851062.25</v>
      </c>
      <c r="AJ289" s="11">
        <v>639676314.25</v>
      </c>
      <c r="AK289" s="11">
        <v>639676314.25</v>
      </c>
      <c r="AL289" s="11">
        <v>92174748</v>
      </c>
      <c r="AM289" s="11">
        <v>92174748</v>
      </c>
      <c r="AN289" s="11">
        <v>0</v>
      </c>
      <c r="AO289" s="11">
        <v>92174748</v>
      </c>
      <c r="AP289" s="11">
        <v>0</v>
      </c>
      <c r="AQ289" s="11">
        <v>0</v>
      </c>
      <c r="AR289" t="s">
        <v>628</v>
      </c>
      <c r="AS289" s="4" t="str">
        <f t="shared" si="55"/>
        <v>Superávit PAE Educación</v>
      </c>
      <c r="AT289" t="str">
        <f t="shared" si="56"/>
        <v>137Superávit PAE Educación731851062,25</v>
      </c>
      <c r="AU289" t="str">
        <f>+_xlfn.XLOOKUP(AT289,CRUCE!K:K,CRUCE!M:M)</f>
        <v>READY</v>
      </c>
      <c r="AV289" t="s">
        <v>1907</v>
      </c>
    </row>
    <row r="290" spans="1:48" x14ac:dyDescent="0.3">
      <c r="A290">
        <v>2023</v>
      </c>
      <c r="B290">
        <v>314</v>
      </c>
      <c r="C290">
        <v>12100200211</v>
      </c>
      <c r="D290" s="5">
        <v>183</v>
      </c>
      <c r="E290" s="8" t="s">
        <v>1216</v>
      </c>
      <c r="F290">
        <v>12100200211</v>
      </c>
      <c r="G290" s="8" t="s">
        <v>1017</v>
      </c>
      <c r="H290" t="s">
        <v>558</v>
      </c>
      <c r="I290" s="11">
        <v>0</v>
      </c>
      <c r="J290" s="11">
        <v>0</v>
      </c>
      <c r="K290" s="11">
        <v>55159599.399999999</v>
      </c>
      <c r="L290" s="11">
        <v>0</v>
      </c>
      <c r="M290" s="11">
        <v>55159599.399999999</v>
      </c>
      <c r="N290" s="11">
        <v>55159599.399999999</v>
      </c>
      <c r="O290" s="11">
        <v>0</v>
      </c>
      <c r="P290" s="11">
        <v>55159599.399999999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55159599.399999999</v>
      </c>
      <c r="X290" s="11">
        <v>0</v>
      </c>
      <c r="Y290" s="17">
        <v>55159599.399999999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v>55159599.399999999</v>
      </c>
      <c r="AG290" s="11">
        <v>0</v>
      </c>
      <c r="AH290" s="12">
        <v>55159599.399999999</v>
      </c>
      <c r="AI290" s="11">
        <v>55159599.399999999</v>
      </c>
      <c r="AJ290" s="11">
        <v>55159599.399999999</v>
      </c>
      <c r="AK290" s="11">
        <v>55159599.399999999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t="s">
        <v>1018</v>
      </c>
      <c r="AS290" s="4" t="str">
        <f t="shared" si="55"/>
        <v>Superávit Cofinanciación Municipios Pae</v>
      </c>
      <c r="AT290" t="str">
        <f t="shared" si="56"/>
        <v>183Superávit Cofinanciación Municipios Pae55159599,4</v>
      </c>
      <c r="AU290" t="str">
        <f>+_xlfn.XLOOKUP(AT290,CRUCE!K:K,CRUCE!M:M)</f>
        <v>READY</v>
      </c>
      <c r="AV290" t="s">
        <v>1907</v>
      </c>
    </row>
    <row r="291" spans="1:48" x14ac:dyDescent="0.3">
      <c r="A291">
        <v>2023</v>
      </c>
      <c r="B291">
        <v>314</v>
      </c>
      <c r="C291">
        <v>12100200216</v>
      </c>
      <c r="D291" s="5">
        <v>189</v>
      </c>
      <c r="E291" s="8" t="s">
        <v>635</v>
      </c>
      <c r="F291">
        <v>12100200216</v>
      </c>
      <c r="G291" s="8" t="s">
        <v>636</v>
      </c>
      <c r="H291" t="s">
        <v>558</v>
      </c>
      <c r="I291" s="11">
        <v>0</v>
      </c>
      <c r="J291" s="11">
        <v>0</v>
      </c>
      <c r="K291" s="11">
        <v>237414950.55000001</v>
      </c>
      <c r="L291" s="11">
        <v>0</v>
      </c>
      <c r="M291" s="11">
        <v>237414950.55000001</v>
      </c>
      <c r="N291" s="11">
        <v>237414950.55000001</v>
      </c>
      <c r="O291" s="11">
        <v>0</v>
      </c>
      <c r="P291" s="11">
        <v>237414950.55000001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237414950.55000001</v>
      </c>
      <c r="X291" s="11">
        <v>0</v>
      </c>
      <c r="Y291" s="17">
        <v>237414950.55000001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237414950.55000001</v>
      </c>
      <c r="AG291" s="11">
        <v>0</v>
      </c>
      <c r="AH291" s="12">
        <v>237414950.55000001</v>
      </c>
      <c r="AI291" s="11">
        <v>237414950.55000001</v>
      </c>
      <c r="AJ291" s="11">
        <v>237414950.55000001</v>
      </c>
      <c r="AK291" s="11">
        <v>237414950.55000001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t="s">
        <v>637</v>
      </c>
      <c r="AS291" s="4" t="str">
        <f t="shared" si="55"/>
        <v>Superávit Rendimientos Financieros S.G.P. Educación</v>
      </c>
      <c r="AT291" t="str">
        <f t="shared" si="56"/>
        <v>189Superávit Rendimientos Financieros S.G.P. Educación237414950,55</v>
      </c>
      <c r="AU291" t="str">
        <f>+_xlfn.XLOOKUP(AT291,CRUCE!K:K,CRUCE!M:M)</f>
        <v>READY</v>
      </c>
      <c r="AV291" t="s">
        <v>1907</v>
      </c>
    </row>
    <row r="292" spans="1:48" hidden="1" x14ac:dyDescent="0.3">
      <c r="A292">
        <v>2023</v>
      </c>
      <c r="B292">
        <v>314</v>
      </c>
      <c r="C292">
        <v>1213</v>
      </c>
      <c r="D292" s="5" t="s">
        <v>44</v>
      </c>
      <c r="E292" s="8" t="s">
        <v>638</v>
      </c>
      <c r="F292">
        <v>1213</v>
      </c>
      <c r="G292" s="8" t="s">
        <v>546</v>
      </c>
      <c r="H292" t="s">
        <v>558</v>
      </c>
      <c r="I292" s="11">
        <v>80000000</v>
      </c>
      <c r="J292" s="11">
        <v>80000000</v>
      </c>
      <c r="K292" s="11">
        <v>38437813</v>
      </c>
      <c r="L292" s="11">
        <v>0</v>
      </c>
      <c r="M292" s="11">
        <v>38437813</v>
      </c>
      <c r="N292" s="11">
        <v>38437813</v>
      </c>
      <c r="O292" s="11">
        <v>0</v>
      </c>
      <c r="P292" s="11">
        <v>118437813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118509438</v>
      </c>
      <c r="X292" s="11">
        <v>71625</v>
      </c>
      <c r="Y292" s="17">
        <v>118437813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v>118509438</v>
      </c>
      <c r="AG292" s="11">
        <v>71625</v>
      </c>
      <c r="AH292" s="12">
        <v>118437813</v>
      </c>
      <c r="AI292" s="11">
        <v>118437813</v>
      </c>
      <c r="AJ292" s="11">
        <v>0</v>
      </c>
      <c r="AK292" s="11">
        <v>0</v>
      </c>
      <c r="AL292" s="11">
        <v>118437813</v>
      </c>
      <c r="AM292" s="11">
        <v>118509438</v>
      </c>
      <c r="AN292" s="11">
        <v>71625</v>
      </c>
      <c r="AO292" s="11">
        <v>118509438</v>
      </c>
      <c r="AP292" s="11">
        <v>0</v>
      </c>
      <c r="AQ292" s="11">
        <v>71625</v>
      </c>
      <c r="AR292" t="s">
        <v>48</v>
      </c>
      <c r="AS292"/>
    </row>
    <row r="293" spans="1:48" x14ac:dyDescent="0.3">
      <c r="A293">
        <v>2023</v>
      </c>
      <c r="B293">
        <v>314</v>
      </c>
      <c r="C293">
        <v>121301</v>
      </c>
      <c r="D293" s="5">
        <v>204</v>
      </c>
      <c r="E293" s="8" t="s">
        <v>640</v>
      </c>
      <c r="F293">
        <v>121301</v>
      </c>
      <c r="G293" s="8" t="s">
        <v>459</v>
      </c>
      <c r="H293" t="s">
        <v>558</v>
      </c>
      <c r="I293" s="11">
        <v>80000000</v>
      </c>
      <c r="J293" s="11">
        <v>80000000</v>
      </c>
      <c r="K293" s="11">
        <v>38437761</v>
      </c>
      <c r="L293" s="11">
        <v>0</v>
      </c>
      <c r="M293" s="11">
        <v>38437761</v>
      </c>
      <c r="N293" s="11">
        <v>38437761</v>
      </c>
      <c r="O293" s="11">
        <v>0</v>
      </c>
      <c r="P293" s="11">
        <v>118437761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118509386</v>
      </c>
      <c r="X293" s="11">
        <v>71625</v>
      </c>
      <c r="Y293" s="17">
        <v>118437761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118509386</v>
      </c>
      <c r="AG293" s="11">
        <v>71625</v>
      </c>
      <c r="AH293" s="12">
        <v>118437761</v>
      </c>
      <c r="AI293" s="11">
        <v>118437761</v>
      </c>
      <c r="AJ293" s="11">
        <v>0</v>
      </c>
      <c r="AK293" s="11">
        <v>0</v>
      </c>
      <c r="AL293" s="11">
        <v>118437761</v>
      </c>
      <c r="AM293" s="11">
        <v>118509386</v>
      </c>
      <c r="AN293" s="11">
        <v>71625</v>
      </c>
      <c r="AO293" s="11">
        <v>118509386</v>
      </c>
      <c r="AP293" s="11">
        <v>0</v>
      </c>
      <c r="AQ293" s="11">
        <v>71625</v>
      </c>
      <c r="AR293" t="s">
        <v>641</v>
      </c>
      <c r="AS293" s="4" t="str">
        <f>+G293</f>
        <v>Reintegros</v>
      </c>
      <c r="AT293" t="str">
        <f t="shared" ref="AT293:AT294" si="57">+D293&amp;AS293&amp;Y293</f>
        <v>204Reintegros118437761</v>
      </c>
      <c r="AU293" t="str">
        <f>+_xlfn.XLOOKUP(AT293,CRUCE!K:K,CRUCE!M:M)</f>
        <v>READY</v>
      </c>
      <c r="AV293" t="s">
        <v>1907</v>
      </c>
    </row>
    <row r="294" spans="1:48" x14ac:dyDescent="0.3">
      <c r="A294">
        <v>2023</v>
      </c>
      <c r="B294">
        <v>314</v>
      </c>
      <c r="C294">
        <v>121301</v>
      </c>
      <c r="D294" s="5">
        <v>258</v>
      </c>
      <c r="E294" s="8" t="s">
        <v>1418</v>
      </c>
      <c r="F294">
        <v>121301</v>
      </c>
      <c r="G294" s="8" t="s">
        <v>459</v>
      </c>
      <c r="H294" t="s">
        <v>558</v>
      </c>
      <c r="I294" s="11">
        <v>0</v>
      </c>
      <c r="J294" s="11">
        <v>0</v>
      </c>
      <c r="K294" s="11">
        <v>52</v>
      </c>
      <c r="L294" s="11">
        <v>0</v>
      </c>
      <c r="M294" s="11">
        <v>52</v>
      </c>
      <c r="N294" s="11">
        <v>52</v>
      </c>
      <c r="O294" s="11">
        <v>0</v>
      </c>
      <c r="P294" s="11">
        <v>52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52</v>
      </c>
      <c r="X294" s="11">
        <v>0</v>
      </c>
      <c r="Y294" s="17">
        <v>52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52</v>
      </c>
      <c r="AG294" s="11">
        <v>0</v>
      </c>
      <c r="AH294" s="12">
        <v>52</v>
      </c>
      <c r="AI294" s="11">
        <v>52</v>
      </c>
      <c r="AJ294" s="11">
        <v>0</v>
      </c>
      <c r="AK294" s="11">
        <v>0</v>
      </c>
      <c r="AL294" s="11">
        <v>52</v>
      </c>
      <c r="AM294" s="11">
        <v>52</v>
      </c>
      <c r="AN294" s="11">
        <v>0</v>
      </c>
      <c r="AO294" s="11">
        <v>52</v>
      </c>
      <c r="AP294" s="11">
        <v>0</v>
      </c>
      <c r="AQ294" s="11">
        <v>0</v>
      </c>
      <c r="AR294" t="s">
        <v>1419</v>
      </c>
      <c r="AS294" s="4" t="str">
        <f>+G294</f>
        <v>Reintegros</v>
      </c>
      <c r="AT294" t="str">
        <f t="shared" si="57"/>
        <v>258Reintegros52</v>
      </c>
      <c r="AU294" t="str">
        <f>+_xlfn.XLOOKUP(AT294,CRUCE!K:K,CRUCE!M:M)</f>
        <v>READY</v>
      </c>
      <c r="AV294" t="s">
        <v>1907</v>
      </c>
    </row>
    <row r="295" spans="1:48" hidden="1" x14ac:dyDescent="0.3">
      <c r="A295">
        <v>2023</v>
      </c>
      <c r="B295">
        <v>318</v>
      </c>
      <c r="C295">
        <v>1</v>
      </c>
      <c r="D295" s="5" t="s">
        <v>44</v>
      </c>
      <c r="E295" s="8" t="s">
        <v>642</v>
      </c>
      <c r="F295">
        <v>1</v>
      </c>
      <c r="G295" s="8" t="s">
        <v>46</v>
      </c>
      <c r="H295" t="s">
        <v>643</v>
      </c>
      <c r="I295" s="11">
        <v>55872866400.879997</v>
      </c>
      <c r="J295" s="11">
        <v>55872866400.879997</v>
      </c>
      <c r="K295" s="11">
        <v>15178187153.629999</v>
      </c>
      <c r="L295" s="11">
        <v>37030406</v>
      </c>
      <c r="M295" s="11">
        <v>15141156747.629999</v>
      </c>
      <c r="N295" s="11">
        <v>15178187153.629999</v>
      </c>
      <c r="O295" s="11">
        <v>37030406</v>
      </c>
      <c r="P295" s="11">
        <v>71014023148.509995</v>
      </c>
      <c r="Q295" s="11">
        <v>484271067.60000002</v>
      </c>
      <c r="R295" s="11">
        <v>31148172</v>
      </c>
      <c r="S295" s="11">
        <v>453122895.60000002</v>
      </c>
      <c r="T295" s="11">
        <v>0</v>
      </c>
      <c r="U295" s="11">
        <v>0</v>
      </c>
      <c r="V295" s="11">
        <v>0</v>
      </c>
      <c r="W295" s="11">
        <v>80354558898.330002</v>
      </c>
      <c r="X295" s="11">
        <v>3286457549.96</v>
      </c>
      <c r="Y295" s="17">
        <v>77068101348.369995</v>
      </c>
      <c r="Z295" s="11">
        <v>484271067.60000002</v>
      </c>
      <c r="AA295" s="11">
        <v>31148172</v>
      </c>
      <c r="AB295" s="11">
        <v>453122895.60000002</v>
      </c>
      <c r="AC295" s="11">
        <v>0</v>
      </c>
      <c r="AD295" s="11">
        <v>0</v>
      </c>
      <c r="AE295" s="11">
        <v>0</v>
      </c>
      <c r="AF295" s="11">
        <v>80354558898.330002</v>
      </c>
      <c r="AG295" s="11">
        <v>3286457549.96</v>
      </c>
      <c r="AH295" s="12">
        <v>77068101348.369995</v>
      </c>
      <c r="AI295" s="11">
        <v>77068101348.369995</v>
      </c>
      <c r="AJ295" s="11">
        <v>29529986950.360001</v>
      </c>
      <c r="AK295" s="11">
        <v>29529986950.360001</v>
      </c>
      <c r="AL295" s="11">
        <v>47538114401.010002</v>
      </c>
      <c r="AM295" s="11">
        <v>49319293010.970001</v>
      </c>
      <c r="AN295" s="11">
        <v>1781178609.96</v>
      </c>
      <c r="AO295" s="11">
        <v>49319293010.970001</v>
      </c>
      <c r="AP295" s="11">
        <v>0</v>
      </c>
      <c r="AQ295" s="11">
        <v>1781178609.96</v>
      </c>
      <c r="AR295" t="s">
        <v>48</v>
      </c>
      <c r="AS295"/>
    </row>
    <row r="296" spans="1:48" hidden="1" x14ac:dyDescent="0.3">
      <c r="A296">
        <v>2023</v>
      </c>
      <c r="B296">
        <v>318</v>
      </c>
      <c r="C296">
        <v>11</v>
      </c>
      <c r="D296" s="5" t="s">
        <v>44</v>
      </c>
      <c r="E296" s="8" t="s">
        <v>644</v>
      </c>
      <c r="F296">
        <v>11</v>
      </c>
      <c r="G296" s="8" t="s">
        <v>50</v>
      </c>
      <c r="H296" t="s">
        <v>643</v>
      </c>
      <c r="I296" s="11">
        <v>55229048441.879997</v>
      </c>
      <c r="J296" s="11">
        <v>55229048441.879997</v>
      </c>
      <c r="K296" s="11">
        <v>6846493701</v>
      </c>
      <c r="L296" s="11">
        <v>37030406</v>
      </c>
      <c r="M296" s="11">
        <v>6809463295</v>
      </c>
      <c r="N296" s="11">
        <v>6846493701</v>
      </c>
      <c r="O296" s="11">
        <v>37030406</v>
      </c>
      <c r="P296" s="11">
        <v>62038511736.879997</v>
      </c>
      <c r="Q296" s="11">
        <v>484271067.60000002</v>
      </c>
      <c r="R296" s="11">
        <v>31148172</v>
      </c>
      <c r="S296" s="11">
        <v>453122895.60000002</v>
      </c>
      <c r="T296" s="11">
        <v>0</v>
      </c>
      <c r="U296" s="11">
        <v>0</v>
      </c>
      <c r="V296" s="11">
        <v>0</v>
      </c>
      <c r="W296" s="11">
        <v>69351233917.369995</v>
      </c>
      <c r="X296" s="11">
        <v>3275385121.29</v>
      </c>
      <c r="Y296" s="17">
        <v>66075848796.080002</v>
      </c>
      <c r="Z296" s="11">
        <v>484271067.60000002</v>
      </c>
      <c r="AA296" s="11">
        <v>31148172</v>
      </c>
      <c r="AB296" s="11">
        <v>453122895.60000002</v>
      </c>
      <c r="AC296" s="11">
        <v>0</v>
      </c>
      <c r="AD296" s="11">
        <v>0</v>
      </c>
      <c r="AE296" s="11">
        <v>0</v>
      </c>
      <c r="AF296" s="11">
        <v>69351233917.369995</v>
      </c>
      <c r="AG296" s="11">
        <v>3275385121.29</v>
      </c>
      <c r="AH296" s="12">
        <v>66075848796.080002</v>
      </c>
      <c r="AI296" s="11">
        <v>66075848796.080002</v>
      </c>
      <c r="AJ296" s="11">
        <v>19159712413.740002</v>
      </c>
      <c r="AK296" s="11">
        <v>19159712413.740002</v>
      </c>
      <c r="AL296" s="11">
        <v>46916136385.339996</v>
      </c>
      <c r="AM296" s="11">
        <v>48697102566.629997</v>
      </c>
      <c r="AN296" s="11">
        <v>1780966181.29</v>
      </c>
      <c r="AO296" s="11">
        <v>48697102566.629997</v>
      </c>
      <c r="AP296" s="11">
        <v>0</v>
      </c>
      <c r="AQ296" s="11">
        <v>1780966181.29</v>
      </c>
      <c r="AR296" t="s">
        <v>48</v>
      </c>
      <c r="AS296"/>
    </row>
    <row r="297" spans="1:48" hidden="1" x14ac:dyDescent="0.3">
      <c r="A297">
        <v>2023</v>
      </c>
      <c r="B297">
        <v>318</v>
      </c>
      <c r="C297">
        <v>1101</v>
      </c>
      <c r="D297" s="5" t="s">
        <v>44</v>
      </c>
      <c r="E297" s="8" t="s">
        <v>645</v>
      </c>
      <c r="F297">
        <v>1101</v>
      </c>
      <c r="G297" s="8" t="s">
        <v>52</v>
      </c>
      <c r="H297" t="s">
        <v>643</v>
      </c>
      <c r="I297" s="11">
        <v>27146796870</v>
      </c>
      <c r="J297" s="11">
        <v>27146796870</v>
      </c>
      <c r="K297" s="11">
        <v>383757527</v>
      </c>
      <c r="L297" s="11">
        <v>0</v>
      </c>
      <c r="M297" s="11">
        <v>383757527</v>
      </c>
      <c r="N297" s="11">
        <v>383757527</v>
      </c>
      <c r="O297" s="11">
        <v>0</v>
      </c>
      <c r="P297" s="11">
        <v>27530554397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30987901678.060001</v>
      </c>
      <c r="X297" s="11">
        <v>743467117.21000004</v>
      </c>
      <c r="Y297" s="17">
        <v>30244434560.849998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30987901678.060001</v>
      </c>
      <c r="AG297" s="11">
        <v>743467117.21000004</v>
      </c>
      <c r="AH297" s="12">
        <v>30244434560.849998</v>
      </c>
      <c r="AI297" s="11">
        <v>30244434560.849998</v>
      </c>
      <c r="AJ297" s="11">
        <v>8477577976.8900003</v>
      </c>
      <c r="AK297" s="11">
        <v>8477577976.8900003</v>
      </c>
      <c r="AL297" s="11">
        <v>21766856586.959999</v>
      </c>
      <c r="AM297" s="11">
        <v>22378020783.169998</v>
      </c>
      <c r="AN297" s="11">
        <v>611164196.21000004</v>
      </c>
      <c r="AO297" s="11">
        <v>22378020783.169998</v>
      </c>
      <c r="AP297" s="11">
        <v>0</v>
      </c>
      <c r="AQ297" s="11">
        <v>611164196.21000004</v>
      </c>
      <c r="AR297" t="s">
        <v>48</v>
      </c>
      <c r="AS297"/>
    </row>
    <row r="298" spans="1:48" hidden="1" x14ac:dyDescent="0.3">
      <c r="A298">
        <v>2023</v>
      </c>
      <c r="B298">
        <v>318</v>
      </c>
      <c r="C298">
        <v>110101</v>
      </c>
      <c r="D298" s="5" t="s">
        <v>44</v>
      </c>
      <c r="E298" s="8" t="s">
        <v>646</v>
      </c>
      <c r="F298">
        <v>110101</v>
      </c>
      <c r="G298" s="8" t="s">
        <v>54</v>
      </c>
      <c r="H298" t="s">
        <v>643</v>
      </c>
      <c r="I298" s="11">
        <v>1237100665</v>
      </c>
      <c r="J298" s="11">
        <v>1237100665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1237100665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1283200119</v>
      </c>
      <c r="X298" s="11">
        <v>59516487</v>
      </c>
      <c r="Y298" s="17">
        <v>1223683632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1283200119</v>
      </c>
      <c r="AG298" s="11">
        <v>59516487</v>
      </c>
      <c r="AH298" s="12">
        <v>1223683632</v>
      </c>
      <c r="AI298" s="11">
        <v>1223683632</v>
      </c>
      <c r="AJ298" s="11">
        <v>917762724</v>
      </c>
      <c r="AK298" s="11">
        <v>917762724</v>
      </c>
      <c r="AL298" s="11">
        <v>305920908</v>
      </c>
      <c r="AM298" s="11">
        <v>365437395</v>
      </c>
      <c r="AN298" s="11">
        <v>59516487</v>
      </c>
      <c r="AO298" s="11">
        <v>365437395</v>
      </c>
      <c r="AP298" s="11">
        <v>0</v>
      </c>
      <c r="AQ298" s="11">
        <v>59516487</v>
      </c>
      <c r="AR298" t="s">
        <v>48</v>
      </c>
      <c r="AS298"/>
    </row>
    <row r="299" spans="1:48" hidden="1" x14ac:dyDescent="0.3">
      <c r="A299">
        <v>2023</v>
      </c>
      <c r="B299">
        <v>318</v>
      </c>
      <c r="C299">
        <v>110101101</v>
      </c>
      <c r="D299" s="5" t="s">
        <v>44</v>
      </c>
      <c r="E299" s="8" t="s">
        <v>647</v>
      </c>
      <c r="F299">
        <v>110101101</v>
      </c>
      <c r="G299" s="8" t="s">
        <v>648</v>
      </c>
      <c r="H299" t="s">
        <v>643</v>
      </c>
      <c r="I299" s="11">
        <v>1237100665</v>
      </c>
      <c r="J299" s="11">
        <v>1237100665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1237100665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1283200119</v>
      </c>
      <c r="X299" s="11">
        <v>59516487</v>
      </c>
      <c r="Y299" s="17">
        <v>1223683632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1283200119</v>
      </c>
      <c r="AG299" s="11">
        <v>59516487</v>
      </c>
      <c r="AH299" s="12">
        <v>1223683632</v>
      </c>
      <c r="AI299" s="11">
        <v>1223683632</v>
      </c>
      <c r="AJ299" s="11">
        <v>917762724</v>
      </c>
      <c r="AK299" s="11">
        <v>917762724</v>
      </c>
      <c r="AL299" s="11">
        <v>305920908</v>
      </c>
      <c r="AM299" s="11">
        <v>365437395</v>
      </c>
      <c r="AN299" s="11">
        <v>59516487</v>
      </c>
      <c r="AO299" s="11">
        <v>365437395</v>
      </c>
      <c r="AP299" s="11">
        <v>0</v>
      </c>
      <c r="AQ299" s="11">
        <v>59516487</v>
      </c>
      <c r="AR299" t="s">
        <v>48</v>
      </c>
      <c r="AS299"/>
    </row>
    <row r="300" spans="1:48" x14ac:dyDescent="0.3">
      <c r="A300">
        <v>2023</v>
      </c>
      <c r="B300">
        <v>318</v>
      </c>
      <c r="C300">
        <v>11010110101</v>
      </c>
      <c r="D300" s="5">
        <v>154</v>
      </c>
      <c r="E300" s="8" t="s">
        <v>649</v>
      </c>
      <c r="F300">
        <v>11010110101</v>
      </c>
      <c r="G300" s="8" t="s">
        <v>650</v>
      </c>
      <c r="H300" t="s">
        <v>643</v>
      </c>
      <c r="I300" s="11">
        <v>117771983</v>
      </c>
      <c r="J300" s="11">
        <v>117771983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117771983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73154685</v>
      </c>
      <c r="X300" s="11">
        <v>0</v>
      </c>
      <c r="Y300" s="17">
        <v>73154685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73154685</v>
      </c>
      <c r="AG300" s="11">
        <v>0</v>
      </c>
      <c r="AH300" s="12">
        <v>73154685</v>
      </c>
      <c r="AI300" s="11">
        <v>73154685</v>
      </c>
      <c r="AJ300" s="11">
        <v>73154685</v>
      </c>
      <c r="AK300" s="11">
        <v>73154685</v>
      </c>
      <c r="AL300" s="11">
        <v>0</v>
      </c>
      <c r="AM300" s="11">
        <v>0</v>
      </c>
      <c r="AN300" s="11">
        <v>0</v>
      </c>
      <c r="AO300" s="11">
        <v>0</v>
      </c>
      <c r="AP300" s="11">
        <v>0</v>
      </c>
      <c r="AQ300" s="11">
        <v>0</v>
      </c>
      <c r="AR300" t="s">
        <v>651</v>
      </c>
      <c r="AS300" s="4" t="str">
        <f t="shared" ref="AS300:AS305" si="58">+G300</f>
        <v>Impuesto a Ganadores Sorteo Extraordinario  68%</v>
      </c>
      <c r="AT300" t="str">
        <f t="shared" ref="AT300:AT305" si="59">+D300&amp;AS300&amp;Y300</f>
        <v>154Impuesto a Ganadores Sorteo Extraordinario  68%73154685</v>
      </c>
      <c r="AU300" t="str">
        <f>+_xlfn.XLOOKUP(AT300,CRUCE!K:K,CRUCE!M:M)</f>
        <v>READY</v>
      </c>
      <c r="AV300" t="s">
        <v>1907</v>
      </c>
    </row>
    <row r="301" spans="1:48" x14ac:dyDescent="0.3">
      <c r="A301">
        <v>2023</v>
      </c>
      <c r="B301">
        <v>318</v>
      </c>
      <c r="C301">
        <v>11010110102</v>
      </c>
      <c r="D301" s="5">
        <v>154</v>
      </c>
      <c r="E301" s="8" t="s">
        <v>652</v>
      </c>
      <c r="F301">
        <v>11010110102</v>
      </c>
      <c r="G301" s="8" t="s">
        <v>653</v>
      </c>
      <c r="H301" t="s">
        <v>643</v>
      </c>
      <c r="I301" s="11">
        <v>723456469</v>
      </c>
      <c r="J301" s="11">
        <v>723456469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723456469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758950186</v>
      </c>
      <c r="X301" s="11">
        <v>0</v>
      </c>
      <c r="Y301" s="17">
        <v>758950186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v>758950186</v>
      </c>
      <c r="AG301" s="11">
        <v>0</v>
      </c>
      <c r="AH301" s="12">
        <v>758950186</v>
      </c>
      <c r="AI301" s="11">
        <v>758950186</v>
      </c>
      <c r="AJ301" s="11">
        <v>758950186</v>
      </c>
      <c r="AK301" s="11">
        <v>758950186</v>
      </c>
      <c r="AL301" s="11">
        <v>0</v>
      </c>
      <c r="AM301" s="11">
        <v>0</v>
      </c>
      <c r="AN301" s="11">
        <v>0</v>
      </c>
      <c r="AO301" s="11">
        <v>0</v>
      </c>
      <c r="AP301" s="11">
        <v>0</v>
      </c>
      <c r="AQ301" s="11">
        <v>0</v>
      </c>
      <c r="AR301" t="s">
        <v>651</v>
      </c>
      <c r="AS301" s="4" t="str">
        <f t="shared" si="58"/>
        <v>Impuestos a Ganadores Sorteo Ordinario 68%</v>
      </c>
      <c r="AT301" t="str">
        <f t="shared" si="59"/>
        <v>154Impuestos a Ganadores Sorteo Ordinario 68%758950186</v>
      </c>
      <c r="AU301" t="str">
        <f>+_xlfn.XLOOKUP(AT301,CRUCE!K:K,CRUCE!M:M)</f>
        <v>READY</v>
      </c>
      <c r="AV301" t="s">
        <v>1907</v>
      </c>
    </row>
    <row r="302" spans="1:48" x14ac:dyDescent="0.3">
      <c r="A302">
        <v>2023</v>
      </c>
      <c r="B302">
        <v>318</v>
      </c>
      <c r="C302">
        <v>11010110103</v>
      </c>
      <c r="D302" s="5">
        <v>72</v>
      </c>
      <c r="E302" s="8" t="s">
        <v>654</v>
      </c>
      <c r="F302">
        <v>11010110103</v>
      </c>
      <c r="G302" s="8" t="s">
        <v>655</v>
      </c>
      <c r="H302" t="s">
        <v>643</v>
      </c>
      <c r="I302" s="11">
        <v>43298523</v>
      </c>
      <c r="J302" s="11">
        <v>43298523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43298523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30613933</v>
      </c>
      <c r="X302" s="11">
        <v>3718827</v>
      </c>
      <c r="Y302" s="17">
        <v>26895106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v>30613933</v>
      </c>
      <c r="AG302" s="11">
        <v>3718827</v>
      </c>
      <c r="AH302" s="12">
        <v>26895106</v>
      </c>
      <c r="AI302" s="11">
        <v>26895106</v>
      </c>
      <c r="AJ302" s="11">
        <v>0</v>
      </c>
      <c r="AK302" s="11">
        <v>0</v>
      </c>
      <c r="AL302" s="11">
        <v>26895106</v>
      </c>
      <c r="AM302" s="11">
        <v>30613933</v>
      </c>
      <c r="AN302" s="11">
        <v>3718827</v>
      </c>
      <c r="AO302" s="11">
        <v>30613933</v>
      </c>
      <c r="AP302" s="11">
        <v>0</v>
      </c>
      <c r="AQ302" s="11">
        <v>3718827</v>
      </c>
      <c r="AR302" t="s">
        <v>656</v>
      </c>
      <c r="AS302" s="4" t="str">
        <f t="shared" si="58"/>
        <v>Impuesto a Ganadores Sorteo Extraordinario 25%</v>
      </c>
      <c r="AT302" t="str">
        <f t="shared" si="59"/>
        <v>72Impuesto a Ganadores Sorteo Extraordinario 25%26895106</v>
      </c>
      <c r="AU302" t="str">
        <f>+_xlfn.XLOOKUP(AT302,CRUCE!K:K,CRUCE!M:M)</f>
        <v>READY</v>
      </c>
      <c r="AV302" t="s">
        <v>1907</v>
      </c>
    </row>
    <row r="303" spans="1:48" x14ac:dyDescent="0.3">
      <c r="A303">
        <v>2023</v>
      </c>
      <c r="B303">
        <v>318</v>
      </c>
      <c r="C303">
        <v>11010110104</v>
      </c>
      <c r="D303" s="5">
        <v>72</v>
      </c>
      <c r="E303" s="8" t="s">
        <v>657</v>
      </c>
      <c r="F303">
        <v>11010110104</v>
      </c>
      <c r="G303" s="8" t="s">
        <v>658</v>
      </c>
      <c r="H303" t="s">
        <v>643</v>
      </c>
      <c r="I303" s="11">
        <v>265976643</v>
      </c>
      <c r="J303" s="11">
        <v>265976643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265976643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334823462</v>
      </c>
      <c r="X303" s="11">
        <v>55797660</v>
      </c>
      <c r="Y303" s="17">
        <v>279025802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v>334823462</v>
      </c>
      <c r="AG303" s="11">
        <v>55797660</v>
      </c>
      <c r="AH303" s="12">
        <v>279025802</v>
      </c>
      <c r="AI303" s="11">
        <v>279025802</v>
      </c>
      <c r="AJ303" s="11">
        <v>0</v>
      </c>
      <c r="AK303" s="11">
        <v>0</v>
      </c>
      <c r="AL303" s="11">
        <v>279025802</v>
      </c>
      <c r="AM303" s="11">
        <v>334823462</v>
      </c>
      <c r="AN303" s="11">
        <v>55797660</v>
      </c>
      <c r="AO303" s="11">
        <v>334823462</v>
      </c>
      <c r="AP303" s="11">
        <v>0</v>
      </c>
      <c r="AQ303" s="11">
        <v>55797660</v>
      </c>
      <c r="AR303" t="s">
        <v>656</v>
      </c>
      <c r="AS303" s="4" t="str">
        <f t="shared" si="58"/>
        <v>Impuesto a Ganadores Sorteo Ordinario 25%</v>
      </c>
      <c r="AT303" t="str">
        <f t="shared" si="59"/>
        <v>72Impuesto a Ganadores Sorteo Ordinario 25%279025802</v>
      </c>
      <c r="AU303" t="str">
        <f>+_xlfn.XLOOKUP(AT303,CRUCE!K:K,CRUCE!M:M)</f>
        <v>READY</v>
      </c>
      <c r="AV303" t="s">
        <v>1907</v>
      </c>
    </row>
    <row r="304" spans="1:48" x14ac:dyDescent="0.3">
      <c r="A304">
        <v>2023</v>
      </c>
      <c r="B304">
        <v>318</v>
      </c>
      <c r="C304">
        <v>11010110105</v>
      </c>
      <c r="D304" s="5">
        <v>181</v>
      </c>
      <c r="E304" s="8" t="s">
        <v>659</v>
      </c>
      <c r="F304">
        <v>11010110105</v>
      </c>
      <c r="G304" s="8" t="s">
        <v>660</v>
      </c>
      <c r="H304" t="s">
        <v>643</v>
      </c>
      <c r="I304" s="11">
        <v>12123587</v>
      </c>
      <c r="J304" s="11">
        <v>12123587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12123587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7530627</v>
      </c>
      <c r="X304" s="11">
        <v>0</v>
      </c>
      <c r="Y304" s="17">
        <v>7530627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v>7530627</v>
      </c>
      <c r="AG304" s="11">
        <v>0</v>
      </c>
      <c r="AH304" s="12">
        <v>7530627</v>
      </c>
      <c r="AI304" s="11">
        <v>7530627</v>
      </c>
      <c r="AJ304" s="11">
        <v>7530627</v>
      </c>
      <c r="AK304" s="11">
        <v>7530627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t="s">
        <v>661</v>
      </c>
      <c r="AS304" s="4" t="str">
        <f t="shared" si="58"/>
        <v>Colciencias 7% Impuesto a Ganadores Sorteo Extraordinario</v>
      </c>
      <c r="AT304" t="str">
        <f t="shared" si="59"/>
        <v>181Colciencias 7% Impuesto a Ganadores Sorteo Extraordinario7530627</v>
      </c>
      <c r="AU304" t="str">
        <f>+_xlfn.XLOOKUP(AT304,CRUCE!K:K,CRUCE!M:M)</f>
        <v>READY</v>
      </c>
      <c r="AV304" t="s">
        <v>1907</v>
      </c>
    </row>
    <row r="305" spans="1:48" x14ac:dyDescent="0.3">
      <c r="A305">
        <v>2023</v>
      </c>
      <c r="B305">
        <v>318</v>
      </c>
      <c r="C305">
        <v>11010110106</v>
      </c>
      <c r="D305" s="5">
        <v>181</v>
      </c>
      <c r="E305" s="8" t="s">
        <v>662</v>
      </c>
      <c r="F305">
        <v>11010110106</v>
      </c>
      <c r="G305" s="8" t="s">
        <v>663</v>
      </c>
      <c r="H305" t="s">
        <v>643</v>
      </c>
      <c r="I305" s="11">
        <v>74473460</v>
      </c>
      <c r="J305" s="11">
        <v>74473460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74473460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78127226</v>
      </c>
      <c r="X305" s="11">
        <v>0</v>
      </c>
      <c r="Y305" s="17">
        <v>78127226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v>78127226</v>
      </c>
      <c r="AG305" s="11">
        <v>0</v>
      </c>
      <c r="AH305" s="12">
        <v>78127226</v>
      </c>
      <c r="AI305" s="11">
        <v>78127226</v>
      </c>
      <c r="AJ305" s="11">
        <v>78127226</v>
      </c>
      <c r="AK305" s="11">
        <v>78127226</v>
      </c>
      <c r="AL305" s="11">
        <v>0</v>
      </c>
      <c r="AM305" s="11">
        <v>0</v>
      </c>
      <c r="AN305" s="11">
        <v>0</v>
      </c>
      <c r="AO305" s="11">
        <v>0</v>
      </c>
      <c r="AP305" s="11">
        <v>0</v>
      </c>
      <c r="AQ305" s="11">
        <v>0</v>
      </c>
      <c r="AR305" t="s">
        <v>661</v>
      </c>
      <c r="AS305" s="4" t="str">
        <f t="shared" si="58"/>
        <v>Colciencias 7% Impuesto a Ganadores Sorteo ordinario</v>
      </c>
      <c r="AT305" t="str">
        <f t="shared" si="59"/>
        <v>181Colciencias 7% Impuesto a Ganadores Sorteo ordinario78127226</v>
      </c>
      <c r="AU305" t="str">
        <f>+_xlfn.XLOOKUP(AT305,CRUCE!K:K,CRUCE!M:M)</f>
        <v>READY</v>
      </c>
      <c r="AV305" t="s">
        <v>1907</v>
      </c>
    </row>
    <row r="306" spans="1:48" hidden="1" x14ac:dyDescent="0.3">
      <c r="A306">
        <v>2023</v>
      </c>
      <c r="B306">
        <v>318</v>
      </c>
      <c r="C306">
        <v>110102</v>
      </c>
      <c r="D306" s="5" t="s">
        <v>44</v>
      </c>
      <c r="E306" s="8" t="s">
        <v>664</v>
      </c>
      <c r="F306">
        <v>110102</v>
      </c>
      <c r="G306" s="8" t="s">
        <v>59</v>
      </c>
      <c r="H306" t="s">
        <v>643</v>
      </c>
      <c r="I306" s="11">
        <v>25909696205</v>
      </c>
      <c r="J306" s="11">
        <v>25909696205</v>
      </c>
      <c r="K306" s="11">
        <v>383757527</v>
      </c>
      <c r="L306" s="11">
        <v>0</v>
      </c>
      <c r="M306" s="11">
        <v>383757527</v>
      </c>
      <c r="N306" s="11">
        <v>383757527</v>
      </c>
      <c r="O306" s="11">
        <v>0</v>
      </c>
      <c r="P306" s="11">
        <v>26293453732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29704701559.060001</v>
      </c>
      <c r="X306" s="11">
        <v>683950630.21000004</v>
      </c>
      <c r="Y306" s="17">
        <v>29020750928.849998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29704701559.060001</v>
      </c>
      <c r="AG306" s="11">
        <v>683950630.21000004</v>
      </c>
      <c r="AH306" s="12">
        <v>29020750928.849998</v>
      </c>
      <c r="AI306" s="11">
        <v>29020750928.849998</v>
      </c>
      <c r="AJ306" s="11">
        <v>7559815252.8900003</v>
      </c>
      <c r="AK306" s="11">
        <v>7559815252.8900003</v>
      </c>
      <c r="AL306" s="11">
        <v>21460935678.959999</v>
      </c>
      <c r="AM306" s="11">
        <v>22012583388.169998</v>
      </c>
      <c r="AN306" s="11">
        <v>551647709.21000004</v>
      </c>
      <c r="AO306" s="11">
        <v>22012583388.169998</v>
      </c>
      <c r="AP306" s="11">
        <v>0</v>
      </c>
      <c r="AQ306" s="11">
        <v>551647709.21000004</v>
      </c>
      <c r="AR306" t="s">
        <v>48</v>
      </c>
      <c r="AS306"/>
    </row>
    <row r="307" spans="1:48" hidden="1" x14ac:dyDescent="0.3">
      <c r="A307">
        <v>2023</v>
      </c>
      <c r="B307">
        <v>318</v>
      </c>
      <c r="C307">
        <v>110102101</v>
      </c>
      <c r="D307" s="5" t="s">
        <v>44</v>
      </c>
      <c r="E307" s="8" t="s">
        <v>665</v>
      </c>
      <c r="F307">
        <v>110102101</v>
      </c>
      <c r="G307" s="8" t="s">
        <v>666</v>
      </c>
      <c r="H307" t="s">
        <v>643</v>
      </c>
      <c r="I307" s="11">
        <v>632179190</v>
      </c>
      <c r="J307" s="11">
        <v>632179190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632179190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968781522.75</v>
      </c>
      <c r="X307" s="11">
        <v>22084689.25</v>
      </c>
      <c r="Y307" s="17">
        <v>946696833.5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968781522.75</v>
      </c>
      <c r="AG307" s="11">
        <v>22084689.25</v>
      </c>
      <c r="AH307" s="12">
        <v>946696833.5</v>
      </c>
      <c r="AI307" s="11">
        <v>946696833.5</v>
      </c>
      <c r="AJ307" s="11">
        <v>702632632.5</v>
      </c>
      <c r="AK307" s="11">
        <v>702632632.5</v>
      </c>
      <c r="AL307" s="11">
        <v>244064204</v>
      </c>
      <c r="AM307" s="11">
        <v>266148890.25</v>
      </c>
      <c r="AN307" s="11">
        <v>22084686.25</v>
      </c>
      <c r="AO307" s="11">
        <v>266148890.25</v>
      </c>
      <c r="AP307" s="11">
        <v>0</v>
      </c>
      <c r="AQ307" s="11">
        <v>22084686.25</v>
      </c>
      <c r="AR307" t="s">
        <v>48</v>
      </c>
      <c r="AS307"/>
    </row>
    <row r="308" spans="1:48" x14ac:dyDescent="0.3">
      <c r="A308">
        <v>2023</v>
      </c>
      <c r="B308">
        <v>318</v>
      </c>
      <c r="C308">
        <v>11010210101</v>
      </c>
      <c r="D308" s="5">
        <v>154</v>
      </c>
      <c r="E308" s="8" t="s">
        <v>667</v>
      </c>
      <c r="F308">
        <v>11010210101</v>
      </c>
      <c r="G308" s="8" t="s">
        <v>668</v>
      </c>
      <c r="H308" t="s">
        <v>643</v>
      </c>
      <c r="I308" s="11">
        <v>429881850</v>
      </c>
      <c r="J308" s="11">
        <v>429881850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429881850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644371611</v>
      </c>
      <c r="X308" s="11">
        <v>0</v>
      </c>
      <c r="Y308" s="17">
        <v>644371611</v>
      </c>
      <c r="Z308" s="11">
        <v>0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644371611</v>
      </c>
      <c r="AG308" s="11">
        <v>0</v>
      </c>
      <c r="AH308" s="12">
        <v>644371611</v>
      </c>
      <c r="AI308" s="11">
        <v>644371611</v>
      </c>
      <c r="AJ308" s="11">
        <v>644371611</v>
      </c>
      <c r="AK308" s="11">
        <v>644371611</v>
      </c>
      <c r="AL308" s="11">
        <v>0</v>
      </c>
      <c r="AM308" s="11">
        <v>0</v>
      </c>
      <c r="AN308" s="11">
        <v>0</v>
      </c>
      <c r="AO308" s="11">
        <v>0</v>
      </c>
      <c r="AP308" s="11">
        <v>0</v>
      </c>
      <c r="AQ308" s="11">
        <v>0</v>
      </c>
      <c r="AR308" t="s">
        <v>651</v>
      </c>
      <c r="AS308" s="4" t="str">
        <f t="shared" ref="AS308:AS311" si="60">+G308</f>
        <v>Loterias foraneas 68%</v>
      </c>
      <c r="AT308" t="str">
        <f t="shared" ref="AT308:AT311" si="61">+D308&amp;AS308&amp;Y308</f>
        <v>154Loterias foraneas 68%644371611</v>
      </c>
      <c r="AU308" t="str">
        <f>+_xlfn.XLOOKUP(AT308,CRUCE!K:K,CRUCE!M:M)</f>
        <v>READY</v>
      </c>
      <c r="AV308" t="s">
        <v>1907</v>
      </c>
    </row>
    <row r="309" spans="1:48" x14ac:dyDescent="0.3">
      <c r="A309">
        <v>2023</v>
      </c>
      <c r="B309">
        <v>318</v>
      </c>
      <c r="C309">
        <v>11010210102</v>
      </c>
      <c r="D309" s="5">
        <v>72</v>
      </c>
      <c r="E309" s="8" t="s">
        <v>669</v>
      </c>
      <c r="F309">
        <v>11010210102</v>
      </c>
      <c r="G309" s="8" t="s">
        <v>670</v>
      </c>
      <c r="H309" t="s">
        <v>643</v>
      </c>
      <c r="I309" s="11">
        <v>158044798</v>
      </c>
      <c r="J309" s="11">
        <v>158044798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158044798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257366768.5</v>
      </c>
      <c r="X309" s="11">
        <v>21375962.5</v>
      </c>
      <c r="Y309" s="17">
        <v>235990806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v>257366768.5</v>
      </c>
      <c r="AG309" s="11">
        <v>21375962.5</v>
      </c>
      <c r="AH309" s="12">
        <v>235990806</v>
      </c>
      <c r="AI309" s="11">
        <v>235990806</v>
      </c>
      <c r="AJ309" s="11">
        <v>0</v>
      </c>
      <c r="AK309" s="11">
        <v>0</v>
      </c>
      <c r="AL309" s="11">
        <v>235990806</v>
      </c>
      <c r="AM309" s="11">
        <v>257366768.5</v>
      </c>
      <c r="AN309" s="11">
        <v>21375962.5</v>
      </c>
      <c r="AO309" s="11">
        <v>257366768.5</v>
      </c>
      <c r="AP309" s="11">
        <v>0</v>
      </c>
      <c r="AQ309" s="11">
        <v>21375962.5</v>
      </c>
      <c r="AR309" t="s">
        <v>656</v>
      </c>
      <c r="AS309" s="4" t="str">
        <f t="shared" si="60"/>
        <v>Loterias Foráneas 25%</v>
      </c>
      <c r="AT309" t="str">
        <f t="shared" si="61"/>
        <v>72Loterias Foráneas 25%235990806</v>
      </c>
      <c r="AU309" t="str">
        <f>+_xlfn.XLOOKUP(AT309,CRUCE!K:K,CRUCE!M:M)</f>
        <v>READY</v>
      </c>
      <c r="AV309" t="s">
        <v>1907</v>
      </c>
    </row>
    <row r="310" spans="1:48" x14ac:dyDescent="0.3">
      <c r="A310">
        <v>2023</v>
      </c>
      <c r="B310">
        <v>318</v>
      </c>
      <c r="C310">
        <v>11010210103</v>
      </c>
      <c r="D310" s="5">
        <v>181</v>
      </c>
      <c r="E310" s="8" t="s">
        <v>671</v>
      </c>
      <c r="F310">
        <v>11010210103</v>
      </c>
      <c r="G310" s="8" t="s">
        <v>672</v>
      </c>
      <c r="H310" t="s">
        <v>643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58261021.5</v>
      </c>
      <c r="X310" s="11">
        <v>0</v>
      </c>
      <c r="Y310" s="17">
        <v>58261021.5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58261021.5</v>
      </c>
      <c r="AG310" s="11">
        <v>0</v>
      </c>
      <c r="AH310" s="12">
        <v>58261021.5</v>
      </c>
      <c r="AI310" s="11">
        <v>58261021.5</v>
      </c>
      <c r="AJ310" s="11">
        <v>58261021.5</v>
      </c>
      <c r="AK310" s="11">
        <v>58261021.5</v>
      </c>
      <c r="AL310" s="11">
        <v>0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t="s">
        <v>661</v>
      </c>
      <c r="AS310" s="4" t="str">
        <f t="shared" si="60"/>
        <v>Colciencias 7% Loterias Foraneas</v>
      </c>
      <c r="AT310" t="str">
        <f t="shared" si="61"/>
        <v>181Colciencias 7% Loterias Foraneas58261021,5</v>
      </c>
      <c r="AU310" t="str">
        <f>+_xlfn.XLOOKUP(AT310,CRUCE!K:K,CRUCE!M:M)</f>
        <v>READY</v>
      </c>
      <c r="AV310" t="s">
        <v>1907</v>
      </c>
    </row>
    <row r="311" spans="1:48" x14ac:dyDescent="0.3">
      <c r="A311">
        <v>2023</v>
      </c>
      <c r="B311">
        <v>318</v>
      </c>
      <c r="C311">
        <v>11010210104</v>
      </c>
      <c r="D311" s="5">
        <v>182</v>
      </c>
      <c r="E311" s="8" t="s">
        <v>673</v>
      </c>
      <c r="F311">
        <v>11010210104</v>
      </c>
      <c r="G311" s="8" t="s">
        <v>672</v>
      </c>
      <c r="H311" t="s">
        <v>643</v>
      </c>
      <c r="I311" s="11">
        <v>44252542</v>
      </c>
      <c r="J311" s="11">
        <v>44252542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44252542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8782121.75</v>
      </c>
      <c r="X311" s="11">
        <v>708726.75</v>
      </c>
      <c r="Y311" s="17">
        <v>8073395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8782121.75</v>
      </c>
      <c r="AG311" s="11">
        <v>708726.75</v>
      </c>
      <c r="AH311" s="12">
        <v>8073395</v>
      </c>
      <c r="AI311" s="11">
        <v>8073395</v>
      </c>
      <c r="AJ311" s="11">
        <v>0</v>
      </c>
      <c r="AK311" s="11">
        <v>0</v>
      </c>
      <c r="AL311" s="11">
        <v>8073398</v>
      </c>
      <c r="AM311" s="11">
        <v>8782121.75</v>
      </c>
      <c r="AN311" s="11">
        <v>708723.75</v>
      </c>
      <c r="AO311" s="11">
        <v>8782121.75</v>
      </c>
      <c r="AP311" s="11">
        <v>0</v>
      </c>
      <c r="AQ311" s="11">
        <v>708723.75</v>
      </c>
      <c r="AR311" t="s">
        <v>674</v>
      </c>
      <c r="AS311" s="4" t="str">
        <f t="shared" si="60"/>
        <v>Colciencias 7% Loterias Foraneas</v>
      </c>
      <c r="AT311" t="str">
        <f t="shared" si="61"/>
        <v>182Colciencias 7% Loterias Foraneas8073395</v>
      </c>
      <c r="AU311" t="str">
        <f>+_xlfn.XLOOKUP(AT311,CRUCE!K:K,CRUCE!M:M)</f>
        <v>READY</v>
      </c>
      <c r="AV311" t="s">
        <v>1907</v>
      </c>
    </row>
    <row r="312" spans="1:48" hidden="1" x14ac:dyDescent="0.3">
      <c r="A312">
        <v>2023</v>
      </c>
      <c r="B312">
        <v>318</v>
      </c>
      <c r="C312">
        <v>110102103</v>
      </c>
      <c r="D312" s="5" t="s">
        <v>44</v>
      </c>
      <c r="E312" s="8" t="s">
        <v>675</v>
      </c>
      <c r="F312">
        <v>110102103</v>
      </c>
      <c r="G312" s="8" t="s">
        <v>81</v>
      </c>
      <c r="H312" t="s">
        <v>643</v>
      </c>
      <c r="I312" s="11">
        <v>1219071964</v>
      </c>
      <c r="J312" s="11">
        <v>1219071964</v>
      </c>
      <c r="K312" s="11">
        <v>178938250</v>
      </c>
      <c r="L312" s="11">
        <v>0</v>
      </c>
      <c r="M312" s="11">
        <v>178938250</v>
      </c>
      <c r="N312" s="11">
        <v>178938250</v>
      </c>
      <c r="O312" s="11">
        <v>0</v>
      </c>
      <c r="P312" s="11">
        <v>1398010214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967412482</v>
      </c>
      <c r="X312" s="11">
        <v>483706241</v>
      </c>
      <c r="Y312" s="17">
        <v>483706241</v>
      </c>
      <c r="Z312" s="11">
        <v>0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967412482</v>
      </c>
      <c r="AG312" s="11">
        <v>483706241</v>
      </c>
      <c r="AH312" s="12">
        <v>483706241</v>
      </c>
      <c r="AI312" s="11">
        <v>483706241</v>
      </c>
      <c r="AJ312" s="11">
        <v>0</v>
      </c>
      <c r="AK312" s="11">
        <v>0</v>
      </c>
      <c r="AL312" s="11">
        <v>483706241</v>
      </c>
      <c r="AM312" s="11">
        <v>967412482</v>
      </c>
      <c r="AN312" s="11">
        <v>483706241</v>
      </c>
      <c r="AO312" s="11">
        <v>967412482</v>
      </c>
      <c r="AP312" s="11">
        <v>0</v>
      </c>
      <c r="AQ312" s="11">
        <v>483706241</v>
      </c>
      <c r="AR312" t="s">
        <v>48</v>
      </c>
      <c r="AS312"/>
    </row>
    <row r="313" spans="1:48" hidden="1" x14ac:dyDescent="0.3">
      <c r="A313">
        <v>2023</v>
      </c>
      <c r="B313">
        <v>318</v>
      </c>
      <c r="C313">
        <v>11010210302</v>
      </c>
      <c r="D313" s="5" t="s">
        <v>44</v>
      </c>
      <c r="E313" s="8" t="s">
        <v>676</v>
      </c>
      <c r="F313">
        <v>11010210302</v>
      </c>
      <c r="G313" s="8" t="s">
        <v>81</v>
      </c>
      <c r="H313" t="s">
        <v>643</v>
      </c>
      <c r="I313" s="11">
        <v>1219071964</v>
      </c>
      <c r="J313" s="11">
        <v>1219071964</v>
      </c>
      <c r="K313" s="11">
        <v>178938250</v>
      </c>
      <c r="L313" s="11">
        <v>0</v>
      </c>
      <c r="M313" s="11">
        <v>178938250</v>
      </c>
      <c r="N313" s="11">
        <v>178938250</v>
      </c>
      <c r="O313" s="11">
        <v>0</v>
      </c>
      <c r="P313" s="11">
        <v>1398010214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967412482</v>
      </c>
      <c r="X313" s="11">
        <v>483706241</v>
      </c>
      <c r="Y313" s="17">
        <v>483706241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v>967412482</v>
      </c>
      <c r="AG313" s="11">
        <v>483706241</v>
      </c>
      <c r="AH313" s="12">
        <v>483706241</v>
      </c>
      <c r="AI313" s="11">
        <v>483706241</v>
      </c>
      <c r="AJ313" s="11">
        <v>0</v>
      </c>
      <c r="AK313" s="11">
        <v>0</v>
      </c>
      <c r="AL313" s="11">
        <v>483706241</v>
      </c>
      <c r="AM313" s="11">
        <v>967412482</v>
      </c>
      <c r="AN313" s="11">
        <v>483706241</v>
      </c>
      <c r="AO313" s="11">
        <v>967412482</v>
      </c>
      <c r="AP313" s="11">
        <v>0</v>
      </c>
      <c r="AQ313" s="11">
        <v>483706241</v>
      </c>
      <c r="AR313" t="s">
        <v>48</v>
      </c>
      <c r="AS313"/>
    </row>
    <row r="314" spans="1:48" x14ac:dyDescent="0.3">
      <c r="A314">
        <v>2023</v>
      </c>
      <c r="B314">
        <v>318</v>
      </c>
      <c r="C314">
        <v>1101021030201</v>
      </c>
      <c r="D314" s="5">
        <v>154</v>
      </c>
      <c r="E314" s="8" t="s">
        <v>677</v>
      </c>
      <c r="F314">
        <v>1101021030201</v>
      </c>
      <c r="G314" s="8" t="s">
        <v>81</v>
      </c>
      <c r="H314" t="s">
        <v>643</v>
      </c>
      <c r="I314" s="11">
        <v>914303973</v>
      </c>
      <c r="J314" s="11">
        <v>914303973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914303973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7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11">
        <v>0</v>
      </c>
      <c r="AG314" s="11">
        <v>0</v>
      </c>
      <c r="AH314" s="12">
        <v>0</v>
      </c>
      <c r="AI314" s="11">
        <v>0</v>
      </c>
      <c r="AJ314" s="11">
        <v>0</v>
      </c>
      <c r="AK314" s="11">
        <v>0</v>
      </c>
      <c r="AL314" s="11">
        <v>0</v>
      </c>
      <c r="AM314" s="11">
        <v>0</v>
      </c>
      <c r="AN314" s="11">
        <v>0</v>
      </c>
      <c r="AO314" s="11">
        <v>0</v>
      </c>
      <c r="AP314" s="11">
        <v>0</v>
      </c>
      <c r="AQ314" s="11">
        <v>0</v>
      </c>
      <c r="AR314" t="s">
        <v>651</v>
      </c>
      <c r="AS314" s="4" t="str">
        <f t="shared" ref="AS314:AS315" si="62">+G314</f>
        <v>IVA sobre licores, vinos, aperitivos y similares (régimen anterior)</v>
      </c>
      <c r="AT314" t="str">
        <f t="shared" ref="AT314:AT316" si="63">+D314&amp;AS314&amp;Y314</f>
        <v>154IVA sobre licores, vinos, aperitivos y similares (régimen anterior)0</v>
      </c>
      <c r="AU314" t="str">
        <f>+_xlfn.XLOOKUP(AT314,CRUCE!K:K,CRUCE!M:M)</f>
        <v>READY</v>
      </c>
      <c r="AV314" t="s">
        <v>1907</v>
      </c>
    </row>
    <row r="315" spans="1:48" x14ac:dyDescent="0.3">
      <c r="A315">
        <v>2023</v>
      </c>
      <c r="B315">
        <v>318</v>
      </c>
      <c r="C315">
        <v>1101021030201</v>
      </c>
      <c r="D315" s="5">
        <v>155</v>
      </c>
      <c r="E315" s="8" t="s">
        <v>678</v>
      </c>
      <c r="F315">
        <v>1101021030201</v>
      </c>
      <c r="G315" s="8" t="s">
        <v>81</v>
      </c>
      <c r="H315" t="s">
        <v>643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483706241</v>
      </c>
      <c r="X315" s="11">
        <v>483706241</v>
      </c>
      <c r="Y315" s="17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483706241</v>
      </c>
      <c r="AG315" s="11">
        <v>483706241</v>
      </c>
      <c r="AH315" s="12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483706241</v>
      </c>
      <c r="AN315" s="11">
        <v>483706241</v>
      </c>
      <c r="AO315" s="11">
        <v>483706241</v>
      </c>
      <c r="AP315" s="11">
        <v>0</v>
      </c>
      <c r="AQ315" s="11">
        <v>483706241</v>
      </c>
      <c r="AR315" t="s">
        <v>679</v>
      </c>
      <c r="AS315" s="4" t="str">
        <f t="shared" si="62"/>
        <v>IVA sobre licores, vinos, aperitivos y similares (régimen anterior)</v>
      </c>
      <c r="AT315" t="str">
        <f t="shared" si="63"/>
        <v>155IVA sobre licores, vinos, aperitivos y similares (régimen anterior)0</v>
      </c>
      <c r="AU315" t="str">
        <f>+_xlfn.XLOOKUP(AT315,CRUCE!K:K,CRUCE!M:M)</f>
        <v>READY</v>
      </c>
      <c r="AV315" t="s">
        <v>1907</v>
      </c>
    </row>
    <row r="316" spans="1:48" x14ac:dyDescent="0.3">
      <c r="A316">
        <v>2023</v>
      </c>
      <c r="B316">
        <v>318</v>
      </c>
      <c r="C316">
        <v>1101021030201</v>
      </c>
      <c r="D316" s="5">
        <v>72</v>
      </c>
      <c r="E316" s="8" t="s">
        <v>1420</v>
      </c>
      <c r="F316">
        <v>1101021030201</v>
      </c>
      <c r="G316" s="8" t="s">
        <v>81</v>
      </c>
      <c r="H316" t="s">
        <v>643</v>
      </c>
      <c r="I316" s="11">
        <v>304767991</v>
      </c>
      <c r="J316" s="11">
        <v>304767991</v>
      </c>
      <c r="K316" s="11">
        <v>178938250</v>
      </c>
      <c r="L316" s="11">
        <v>0</v>
      </c>
      <c r="M316" s="11">
        <v>178938250</v>
      </c>
      <c r="N316" s="11">
        <v>178938250</v>
      </c>
      <c r="O316" s="11">
        <v>0</v>
      </c>
      <c r="P316" s="11">
        <v>483706241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483706241</v>
      </c>
      <c r="X316" s="11">
        <v>0</v>
      </c>
      <c r="Y316" s="17">
        <v>483706241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483706241</v>
      </c>
      <c r="AG316" s="11">
        <v>0</v>
      </c>
      <c r="AH316" s="12">
        <v>483706241</v>
      </c>
      <c r="AI316" s="11">
        <v>483706241</v>
      </c>
      <c r="AJ316" s="11">
        <v>0</v>
      </c>
      <c r="AK316" s="11">
        <v>0</v>
      </c>
      <c r="AL316" s="11">
        <v>483706241</v>
      </c>
      <c r="AM316" s="11">
        <v>483706241</v>
      </c>
      <c r="AN316" s="11">
        <v>0</v>
      </c>
      <c r="AO316" s="11">
        <v>483706241</v>
      </c>
      <c r="AP316" s="11">
        <v>0</v>
      </c>
      <c r="AQ316" s="11">
        <v>0</v>
      </c>
      <c r="AR316" t="s">
        <v>656</v>
      </c>
      <c r="AS316" s="4" t="str">
        <f>+G316</f>
        <v>IVA sobre licores, vinos, aperitivos y similares (régimen anterior)</v>
      </c>
      <c r="AT316" t="str">
        <f t="shared" si="63"/>
        <v>72IVA sobre licores, vinos, aperitivos y similares (régimen anterior)483706241</v>
      </c>
      <c r="AU316" t="str">
        <f>+_xlfn.XLOOKUP(AT316,CRUCE!K:K,CRUCE!M:M)</f>
        <v>READY</v>
      </c>
      <c r="AV316" t="s">
        <v>1907</v>
      </c>
    </row>
    <row r="317" spans="1:48" hidden="1" x14ac:dyDescent="0.3">
      <c r="A317">
        <v>2023</v>
      </c>
      <c r="B317">
        <v>318</v>
      </c>
      <c r="C317">
        <v>110102104</v>
      </c>
      <c r="D317" s="5" t="s">
        <v>44</v>
      </c>
      <c r="E317" s="8" t="s">
        <v>680</v>
      </c>
      <c r="F317">
        <v>110102104</v>
      </c>
      <c r="G317" s="8" t="s">
        <v>86</v>
      </c>
      <c r="H317" t="s">
        <v>643</v>
      </c>
      <c r="I317" s="11">
        <v>2062546782</v>
      </c>
      <c r="J317" s="11">
        <v>2062546782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2062546782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1995058345.51</v>
      </c>
      <c r="X317" s="11">
        <v>45856781.960000001</v>
      </c>
      <c r="Y317" s="17">
        <v>1949201563.55</v>
      </c>
      <c r="Z317" s="11">
        <v>0</v>
      </c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11">
        <v>1995058345.51</v>
      </c>
      <c r="AG317" s="11">
        <v>45856781.960000001</v>
      </c>
      <c r="AH317" s="12">
        <v>1949201563.55</v>
      </c>
      <c r="AI317" s="11">
        <v>1949201563.55</v>
      </c>
      <c r="AJ317" s="11">
        <v>702263443.59000003</v>
      </c>
      <c r="AK317" s="11">
        <v>702263443.59000003</v>
      </c>
      <c r="AL317" s="11">
        <v>1246938119.96</v>
      </c>
      <c r="AM317" s="11">
        <v>1292794901.9200001</v>
      </c>
      <c r="AN317" s="11">
        <v>45856781.960000001</v>
      </c>
      <c r="AO317" s="11">
        <v>1292794901.9200001</v>
      </c>
      <c r="AP317" s="11">
        <v>0</v>
      </c>
      <c r="AQ317" s="11">
        <v>45856781.960000001</v>
      </c>
      <c r="AR317" t="s">
        <v>48</v>
      </c>
      <c r="AS317"/>
    </row>
    <row r="318" spans="1:48" hidden="1" x14ac:dyDescent="0.3">
      <c r="A318">
        <v>2023</v>
      </c>
      <c r="B318">
        <v>318</v>
      </c>
      <c r="C318">
        <v>11010210402</v>
      </c>
      <c r="D318" s="5" t="s">
        <v>44</v>
      </c>
      <c r="E318" s="8" t="s">
        <v>681</v>
      </c>
      <c r="F318">
        <v>11010210402</v>
      </c>
      <c r="G318" s="8" t="s">
        <v>94</v>
      </c>
      <c r="H318" t="s">
        <v>643</v>
      </c>
      <c r="I318" s="11">
        <v>2062546782</v>
      </c>
      <c r="J318" s="11">
        <v>2062546782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2062546782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1995058345.51</v>
      </c>
      <c r="X318" s="11">
        <v>45856781.960000001</v>
      </c>
      <c r="Y318" s="17">
        <v>1949201563.55</v>
      </c>
      <c r="Z318" s="11">
        <v>0</v>
      </c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1995058345.51</v>
      </c>
      <c r="AG318" s="11">
        <v>45856781.960000001</v>
      </c>
      <c r="AH318" s="12">
        <v>1949201563.55</v>
      </c>
      <c r="AI318" s="11">
        <v>1949201563.55</v>
      </c>
      <c r="AJ318" s="11">
        <v>702263443.59000003</v>
      </c>
      <c r="AK318" s="11">
        <v>702263443.59000003</v>
      </c>
      <c r="AL318" s="11">
        <v>1246938119.96</v>
      </c>
      <c r="AM318" s="11">
        <v>1292794901.9200001</v>
      </c>
      <c r="AN318" s="11">
        <v>45856781.960000001</v>
      </c>
      <c r="AO318" s="11">
        <v>1292794901.9200001</v>
      </c>
      <c r="AP318" s="11">
        <v>0</v>
      </c>
      <c r="AQ318" s="11">
        <v>45856781.960000001</v>
      </c>
      <c r="AR318" t="s">
        <v>48</v>
      </c>
      <c r="AS318"/>
    </row>
    <row r="319" spans="1:48" x14ac:dyDescent="0.3">
      <c r="A319">
        <v>2023</v>
      </c>
      <c r="B319">
        <v>318</v>
      </c>
      <c r="C319">
        <v>1101021040201</v>
      </c>
      <c r="D319" s="5">
        <v>154</v>
      </c>
      <c r="E319" s="8" t="s">
        <v>1229</v>
      </c>
      <c r="F319">
        <v>1101021040201</v>
      </c>
      <c r="G319" s="8" t="s">
        <v>96</v>
      </c>
      <c r="H319" t="s">
        <v>643</v>
      </c>
      <c r="I319" s="11">
        <v>257818348</v>
      </c>
      <c r="J319" s="11">
        <v>257818348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257818348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279742592.45999998</v>
      </c>
      <c r="X319" s="11">
        <v>22396658.48</v>
      </c>
      <c r="Y319" s="17">
        <v>257345933.97999999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v>279742592.45999998</v>
      </c>
      <c r="AG319" s="11">
        <v>22396658.48</v>
      </c>
      <c r="AH319" s="12">
        <v>257345933.97999999</v>
      </c>
      <c r="AI319" s="11">
        <v>257345933.97999999</v>
      </c>
      <c r="AJ319" s="11">
        <v>0</v>
      </c>
      <c r="AK319" s="11">
        <v>0</v>
      </c>
      <c r="AL319" s="11">
        <v>257345933.97999999</v>
      </c>
      <c r="AM319" s="11">
        <v>279742592.45999998</v>
      </c>
      <c r="AN319" s="11">
        <v>22396658.48</v>
      </c>
      <c r="AO319" s="11">
        <v>279742592.45999998</v>
      </c>
      <c r="AP319" s="11">
        <v>0</v>
      </c>
      <c r="AQ319" s="11">
        <v>22396658.48</v>
      </c>
      <c r="AR319" t="s">
        <v>651</v>
      </c>
      <c r="AS319" s="4" t="str">
        <f t="shared" ref="AS319:AS324" si="64">+G319</f>
        <v>Impuesto al consumo de vinos, aperitivos y similares - Nacionales</v>
      </c>
      <c r="AT319" t="str">
        <f t="shared" ref="AT319:AT324" si="65">+D319&amp;AS319&amp;Y319</f>
        <v>154Impuesto al consumo de vinos, aperitivos y similares - Nacionales257345933,98</v>
      </c>
      <c r="AU319" t="str">
        <f>+_xlfn.XLOOKUP(AT319,CRUCE!K:K,CRUCE!M:M)</f>
        <v>READY</v>
      </c>
      <c r="AV319" t="s">
        <v>1907</v>
      </c>
    </row>
    <row r="320" spans="1:48" x14ac:dyDescent="0.3">
      <c r="A320">
        <v>2023</v>
      </c>
      <c r="B320">
        <v>318</v>
      </c>
      <c r="C320">
        <v>1101021040201</v>
      </c>
      <c r="D320" s="5">
        <v>58</v>
      </c>
      <c r="E320" s="8" t="s">
        <v>1230</v>
      </c>
      <c r="F320">
        <v>1101021040201</v>
      </c>
      <c r="G320" s="8" t="s">
        <v>96</v>
      </c>
      <c r="H320" t="s">
        <v>643</v>
      </c>
      <c r="I320" s="11">
        <v>128909174</v>
      </c>
      <c r="J320" s="11">
        <v>128909174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128909174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139871296.22999999</v>
      </c>
      <c r="X320" s="11">
        <v>11198329.24</v>
      </c>
      <c r="Y320" s="17">
        <v>128672966.98999999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139871296.22999999</v>
      </c>
      <c r="AG320" s="11">
        <v>11198329.24</v>
      </c>
      <c r="AH320" s="12">
        <v>128672966.98999999</v>
      </c>
      <c r="AI320" s="11">
        <v>128672966.98999999</v>
      </c>
      <c r="AJ320" s="11">
        <v>0</v>
      </c>
      <c r="AK320" s="11">
        <v>0</v>
      </c>
      <c r="AL320" s="11">
        <v>128672966.98999999</v>
      </c>
      <c r="AM320" s="11">
        <v>139871296.22999999</v>
      </c>
      <c r="AN320" s="11">
        <v>11198329.24</v>
      </c>
      <c r="AO320" s="11">
        <v>139871296.22999999</v>
      </c>
      <c r="AP320" s="11">
        <v>0</v>
      </c>
      <c r="AQ320" s="11">
        <v>11198329.24</v>
      </c>
      <c r="AR320" t="s">
        <v>684</v>
      </c>
      <c r="AS320" s="4" t="str">
        <f t="shared" si="64"/>
        <v>Impuesto al consumo de vinos, aperitivos y similares - Nacionales</v>
      </c>
      <c r="AT320" t="str">
        <f t="shared" si="65"/>
        <v>58Impuesto al consumo de vinos, aperitivos y similares - Nacionales128672966,99</v>
      </c>
      <c r="AU320" t="str">
        <f>+_xlfn.XLOOKUP(AT320,CRUCE!K:K,CRUCE!M:M)</f>
        <v>READY</v>
      </c>
      <c r="AV320" t="s">
        <v>1907</v>
      </c>
    </row>
    <row r="321" spans="1:48" x14ac:dyDescent="0.3">
      <c r="A321">
        <v>2023</v>
      </c>
      <c r="B321">
        <v>318</v>
      </c>
      <c r="C321">
        <v>1101021040201</v>
      </c>
      <c r="D321" s="5">
        <v>72</v>
      </c>
      <c r="E321" s="8" t="s">
        <v>1231</v>
      </c>
      <c r="F321">
        <v>1101021040201</v>
      </c>
      <c r="G321" s="8" t="s">
        <v>96</v>
      </c>
      <c r="H321" t="s">
        <v>643</v>
      </c>
      <c r="I321" s="11">
        <v>128909174</v>
      </c>
      <c r="J321" s="11">
        <v>128909174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128909174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139871296.22999999</v>
      </c>
      <c r="X321" s="11">
        <v>11198329.24</v>
      </c>
      <c r="Y321" s="17">
        <v>128672966.98999999</v>
      </c>
      <c r="Z321" s="11">
        <v>0</v>
      </c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11">
        <v>139871296.22999999</v>
      </c>
      <c r="AG321" s="11">
        <v>11198329.24</v>
      </c>
      <c r="AH321" s="12">
        <v>128672966.98999999</v>
      </c>
      <c r="AI321" s="11">
        <v>128672966.98999999</v>
      </c>
      <c r="AJ321" s="11">
        <v>0</v>
      </c>
      <c r="AK321" s="11">
        <v>0</v>
      </c>
      <c r="AL321" s="11">
        <v>128672966.98999999</v>
      </c>
      <c r="AM321" s="11">
        <v>139871296.22999999</v>
      </c>
      <c r="AN321" s="11">
        <v>11198329.24</v>
      </c>
      <c r="AO321" s="11">
        <v>139871296.22999999</v>
      </c>
      <c r="AP321" s="11">
        <v>0</v>
      </c>
      <c r="AQ321" s="11">
        <v>11198329.24</v>
      </c>
      <c r="AR321" t="s">
        <v>656</v>
      </c>
      <c r="AS321" s="4" t="str">
        <f t="shared" si="64"/>
        <v>Impuesto al consumo de vinos, aperitivos y similares - Nacionales</v>
      </c>
      <c r="AT321" t="str">
        <f t="shared" si="65"/>
        <v>72Impuesto al consumo de vinos, aperitivos y similares - Nacionales128672966,99</v>
      </c>
      <c r="AU321" t="str">
        <f>+_xlfn.XLOOKUP(AT321,CRUCE!K:K,CRUCE!M:M)</f>
        <v>READY</v>
      </c>
      <c r="AV321" t="s">
        <v>1907</v>
      </c>
    </row>
    <row r="322" spans="1:48" x14ac:dyDescent="0.3">
      <c r="A322">
        <v>2023</v>
      </c>
      <c r="B322">
        <v>318</v>
      </c>
      <c r="C322">
        <v>1101021040202</v>
      </c>
      <c r="D322" s="5">
        <v>154</v>
      </c>
      <c r="E322" s="8" t="s">
        <v>1232</v>
      </c>
      <c r="F322">
        <v>1101021040202</v>
      </c>
      <c r="G322" s="8" t="s">
        <v>98</v>
      </c>
      <c r="H322" t="s">
        <v>643</v>
      </c>
      <c r="I322" s="11">
        <v>773455044</v>
      </c>
      <c r="J322" s="11">
        <v>773455044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773455044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702263443.59000003</v>
      </c>
      <c r="X322" s="11">
        <v>0</v>
      </c>
      <c r="Y322" s="17">
        <v>702263443.59000003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702263443.59000003</v>
      </c>
      <c r="AG322" s="11">
        <v>0</v>
      </c>
      <c r="AH322" s="12">
        <v>702263443.59000003</v>
      </c>
      <c r="AI322" s="11">
        <v>702263443.59000003</v>
      </c>
      <c r="AJ322" s="11">
        <v>702263443.59000003</v>
      </c>
      <c r="AK322" s="11">
        <v>702263443.59000003</v>
      </c>
      <c r="AL322" s="11">
        <v>0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t="s">
        <v>651</v>
      </c>
      <c r="AS322" s="4" t="str">
        <f t="shared" si="64"/>
        <v>Impuesto al consumo de vinos, aperitivos y similares - Extranjeros</v>
      </c>
      <c r="AT322" t="str">
        <f t="shared" si="65"/>
        <v>154Impuesto al consumo de vinos, aperitivos y similares - Extranjeros702263443,59</v>
      </c>
      <c r="AU322" t="str">
        <f>+_xlfn.XLOOKUP(AT322,CRUCE!K:K,CRUCE!M:M)</f>
        <v>READY</v>
      </c>
      <c r="AV322" t="s">
        <v>1907</v>
      </c>
    </row>
    <row r="323" spans="1:48" x14ac:dyDescent="0.3">
      <c r="A323">
        <v>2023</v>
      </c>
      <c r="B323">
        <v>318</v>
      </c>
      <c r="C323">
        <v>1101021040202</v>
      </c>
      <c r="D323" s="5">
        <v>58</v>
      </c>
      <c r="E323" s="8" t="s">
        <v>1233</v>
      </c>
      <c r="F323">
        <v>1101021040202</v>
      </c>
      <c r="G323" s="8" t="s">
        <v>98</v>
      </c>
      <c r="H323" t="s">
        <v>643</v>
      </c>
      <c r="I323" s="11">
        <v>386727521</v>
      </c>
      <c r="J323" s="11">
        <v>386727521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386727521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366654858.5</v>
      </c>
      <c r="X323" s="11">
        <v>531732.5</v>
      </c>
      <c r="Y323" s="17">
        <v>366123126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366654858.5</v>
      </c>
      <c r="AG323" s="11">
        <v>531732.5</v>
      </c>
      <c r="AH323" s="12">
        <v>366123126</v>
      </c>
      <c r="AI323" s="11">
        <v>366123126</v>
      </c>
      <c r="AJ323" s="11">
        <v>0</v>
      </c>
      <c r="AK323" s="11">
        <v>0</v>
      </c>
      <c r="AL323" s="11">
        <v>366123126</v>
      </c>
      <c r="AM323" s="11">
        <v>366654858.5</v>
      </c>
      <c r="AN323" s="11">
        <v>531732.5</v>
      </c>
      <c r="AO323" s="11">
        <v>366654858.5</v>
      </c>
      <c r="AP323" s="11">
        <v>0</v>
      </c>
      <c r="AQ323" s="11">
        <v>531732.5</v>
      </c>
      <c r="AR323" t="s">
        <v>684</v>
      </c>
      <c r="AS323" s="4" t="str">
        <f t="shared" si="64"/>
        <v>Impuesto al consumo de vinos, aperitivos y similares - Extranjeros</v>
      </c>
      <c r="AT323" t="str">
        <f t="shared" si="65"/>
        <v>58Impuesto al consumo de vinos, aperitivos y similares - Extranjeros366123126</v>
      </c>
      <c r="AU323" t="str">
        <f>+_xlfn.XLOOKUP(AT323,CRUCE!K:K,CRUCE!M:M)</f>
        <v>READY</v>
      </c>
      <c r="AV323" t="s">
        <v>1907</v>
      </c>
    </row>
    <row r="324" spans="1:48" x14ac:dyDescent="0.3">
      <c r="A324">
        <v>2023</v>
      </c>
      <c r="B324">
        <v>318</v>
      </c>
      <c r="C324">
        <v>1101021040202</v>
      </c>
      <c r="D324" s="5">
        <v>72</v>
      </c>
      <c r="E324" s="8" t="s">
        <v>1234</v>
      </c>
      <c r="F324">
        <v>1101021040202</v>
      </c>
      <c r="G324" s="8" t="s">
        <v>98</v>
      </c>
      <c r="H324" t="s">
        <v>643</v>
      </c>
      <c r="I324" s="11">
        <v>386727521</v>
      </c>
      <c r="J324" s="11">
        <v>386727521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386727521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366654858.5</v>
      </c>
      <c r="X324" s="11">
        <v>531732.5</v>
      </c>
      <c r="Y324" s="17">
        <v>366123126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366654858.5</v>
      </c>
      <c r="AG324" s="11">
        <v>531732.5</v>
      </c>
      <c r="AH324" s="12">
        <v>366123126</v>
      </c>
      <c r="AI324" s="11">
        <v>366123126</v>
      </c>
      <c r="AJ324" s="11">
        <v>0</v>
      </c>
      <c r="AK324" s="11">
        <v>0</v>
      </c>
      <c r="AL324" s="11">
        <v>366123126</v>
      </c>
      <c r="AM324" s="11">
        <v>366654858.5</v>
      </c>
      <c r="AN324" s="11">
        <v>531732.5</v>
      </c>
      <c r="AO324" s="11">
        <v>366654858.5</v>
      </c>
      <c r="AP324" s="11">
        <v>0</v>
      </c>
      <c r="AQ324" s="11">
        <v>531732.5</v>
      </c>
      <c r="AR324" t="s">
        <v>656</v>
      </c>
      <c r="AS324" s="4" t="str">
        <f t="shared" si="64"/>
        <v>Impuesto al consumo de vinos, aperitivos y similares - Extranjeros</v>
      </c>
      <c r="AT324" t="str">
        <f t="shared" si="65"/>
        <v>72Impuesto al consumo de vinos, aperitivos y similares - Extranjeros366123126</v>
      </c>
      <c r="AU324" t="str">
        <f>+_xlfn.XLOOKUP(AT324,CRUCE!K:K,CRUCE!M:M)</f>
        <v>READY</v>
      </c>
      <c r="AV324" t="s">
        <v>1907</v>
      </c>
    </row>
    <row r="325" spans="1:48" hidden="1" x14ac:dyDescent="0.3">
      <c r="A325">
        <v>2023</v>
      </c>
      <c r="B325">
        <v>318</v>
      </c>
      <c r="C325">
        <v>110102105</v>
      </c>
      <c r="D325" s="5" t="s">
        <v>44</v>
      </c>
      <c r="E325" s="8" t="s">
        <v>693</v>
      </c>
      <c r="F325">
        <v>110102105</v>
      </c>
      <c r="G325" s="8" t="s">
        <v>100</v>
      </c>
      <c r="H325" t="s">
        <v>643</v>
      </c>
      <c r="I325" s="11">
        <v>3851377846</v>
      </c>
      <c r="J325" s="11">
        <v>3851377846</v>
      </c>
      <c r="K325" s="11">
        <v>204819277</v>
      </c>
      <c r="L325" s="11">
        <v>0</v>
      </c>
      <c r="M325" s="11">
        <v>204819277</v>
      </c>
      <c r="N325" s="11">
        <v>204819277</v>
      </c>
      <c r="O325" s="11">
        <v>0</v>
      </c>
      <c r="P325" s="11">
        <v>4056197123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4408189085.8000002</v>
      </c>
      <c r="X325" s="11">
        <v>132302918</v>
      </c>
      <c r="Y325" s="17">
        <v>4275886167.8000002</v>
      </c>
      <c r="Z325" s="11">
        <v>0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4408189085.8000002</v>
      </c>
      <c r="AG325" s="11">
        <v>132302918</v>
      </c>
      <c r="AH325" s="12">
        <v>4275886167.8000002</v>
      </c>
      <c r="AI325" s="11">
        <v>4275886167.8000002</v>
      </c>
      <c r="AJ325" s="11">
        <v>39254167.799999997</v>
      </c>
      <c r="AK325" s="11">
        <v>39254167.799999997</v>
      </c>
      <c r="AL325" s="11">
        <v>4236632000</v>
      </c>
      <c r="AM325" s="11">
        <v>4236632000</v>
      </c>
      <c r="AN325" s="11">
        <v>0</v>
      </c>
      <c r="AO325" s="11">
        <v>4236632000</v>
      </c>
      <c r="AP325" s="11">
        <v>0</v>
      </c>
      <c r="AQ325" s="11">
        <v>0</v>
      </c>
      <c r="AR325" t="s">
        <v>48</v>
      </c>
      <c r="AS325"/>
    </row>
    <row r="326" spans="1:48" x14ac:dyDescent="0.3">
      <c r="A326">
        <v>2023</v>
      </c>
      <c r="B326">
        <v>318</v>
      </c>
      <c r="C326">
        <v>11010210501</v>
      </c>
      <c r="D326" s="5">
        <v>154</v>
      </c>
      <c r="E326" s="8" t="s">
        <v>1235</v>
      </c>
      <c r="F326">
        <v>11010210501</v>
      </c>
      <c r="G326" s="8" t="s">
        <v>102</v>
      </c>
      <c r="H326" t="s">
        <v>643</v>
      </c>
      <c r="I326" s="11">
        <v>1906432034</v>
      </c>
      <c r="J326" s="11">
        <v>1906432034</v>
      </c>
      <c r="K326" s="11">
        <v>102409639</v>
      </c>
      <c r="L326" s="11">
        <v>0</v>
      </c>
      <c r="M326" s="11">
        <v>102409639</v>
      </c>
      <c r="N326" s="11">
        <v>102409639</v>
      </c>
      <c r="O326" s="11">
        <v>0</v>
      </c>
      <c r="P326" s="11">
        <v>2008841673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2098688500</v>
      </c>
      <c r="X326" s="11">
        <v>0</v>
      </c>
      <c r="Y326" s="17">
        <v>2098688500</v>
      </c>
      <c r="Z326" s="11">
        <v>0</v>
      </c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11">
        <v>2098688500</v>
      </c>
      <c r="AG326" s="11">
        <v>0</v>
      </c>
      <c r="AH326" s="12">
        <v>2098688500</v>
      </c>
      <c r="AI326" s="11">
        <v>2098688500</v>
      </c>
      <c r="AJ326" s="11">
        <v>0</v>
      </c>
      <c r="AK326" s="11">
        <v>0</v>
      </c>
      <c r="AL326" s="11">
        <v>2098688500</v>
      </c>
      <c r="AM326" s="11">
        <v>2098688500</v>
      </c>
      <c r="AN326" s="11">
        <v>0</v>
      </c>
      <c r="AO326" s="11">
        <v>2098688500</v>
      </c>
      <c r="AP326" s="11">
        <v>0</v>
      </c>
      <c r="AQ326" s="11">
        <v>0</v>
      </c>
      <c r="AR326" t="s">
        <v>651</v>
      </c>
      <c r="AS326" s="4" t="str">
        <f t="shared" ref="AS326:AS331" si="66">+G326</f>
        <v>Impuesto al consumo de cervezas, sifones, refajos y mezclas - Nacionales</v>
      </c>
      <c r="AT326" t="str">
        <f t="shared" ref="AT326:AT331" si="67">+D326&amp;AS326&amp;Y326</f>
        <v>154Impuesto al consumo de cervezas, sifones, refajos y mezclas - Nacionales2098688500</v>
      </c>
      <c r="AU326" t="str">
        <f>+_xlfn.XLOOKUP(AT326,CRUCE!K:K,CRUCE!M:M)</f>
        <v>READY</v>
      </c>
      <c r="AV326" t="s">
        <v>1907</v>
      </c>
    </row>
    <row r="327" spans="1:48" x14ac:dyDescent="0.3">
      <c r="A327">
        <v>2023</v>
      </c>
      <c r="B327">
        <v>318</v>
      </c>
      <c r="C327">
        <v>11010210501</v>
      </c>
      <c r="D327" s="5">
        <v>58</v>
      </c>
      <c r="E327" s="8" t="s">
        <v>1236</v>
      </c>
      <c r="F327">
        <v>11010210501</v>
      </c>
      <c r="G327" s="8" t="s">
        <v>102</v>
      </c>
      <c r="H327" t="s">
        <v>643</v>
      </c>
      <c r="I327" s="11">
        <v>953216017</v>
      </c>
      <c r="J327" s="11">
        <v>953216017</v>
      </c>
      <c r="K327" s="11">
        <v>51204819</v>
      </c>
      <c r="L327" s="11">
        <v>0</v>
      </c>
      <c r="M327" s="11">
        <v>51204819</v>
      </c>
      <c r="N327" s="11">
        <v>51204819</v>
      </c>
      <c r="O327" s="11">
        <v>0</v>
      </c>
      <c r="P327" s="11">
        <v>1004420836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1049344250</v>
      </c>
      <c r="X327" s="11">
        <v>0</v>
      </c>
      <c r="Y327" s="17">
        <v>1049344250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1049344250</v>
      </c>
      <c r="AG327" s="11">
        <v>0</v>
      </c>
      <c r="AH327" s="12">
        <v>1049344250</v>
      </c>
      <c r="AI327" s="11">
        <v>1049344250</v>
      </c>
      <c r="AJ327" s="11">
        <v>0</v>
      </c>
      <c r="AK327" s="11">
        <v>0</v>
      </c>
      <c r="AL327" s="11">
        <v>1049344250</v>
      </c>
      <c r="AM327" s="11">
        <v>1049344250</v>
      </c>
      <c r="AN327" s="11">
        <v>0</v>
      </c>
      <c r="AO327" s="11">
        <v>1049344250</v>
      </c>
      <c r="AP327" s="11">
        <v>0</v>
      </c>
      <c r="AQ327" s="11">
        <v>0</v>
      </c>
      <c r="AR327" t="s">
        <v>684</v>
      </c>
      <c r="AS327" s="4" t="str">
        <f t="shared" si="66"/>
        <v>Impuesto al consumo de cervezas, sifones, refajos y mezclas - Nacionales</v>
      </c>
      <c r="AT327" t="str">
        <f t="shared" si="67"/>
        <v>58Impuesto al consumo de cervezas, sifones, refajos y mezclas - Nacionales1049344250</v>
      </c>
      <c r="AU327" t="str">
        <f>+_xlfn.XLOOKUP(AT327,CRUCE!K:K,CRUCE!M:M)</f>
        <v>READY</v>
      </c>
      <c r="AV327" t="s">
        <v>1907</v>
      </c>
    </row>
    <row r="328" spans="1:48" x14ac:dyDescent="0.3">
      <c r="A328">
        <v>2023</v>
      </c>
      <c r="B328">
        <v>318</v>
      </c>
      <c r="C328">
        <v>11010210501</v>
      </c>
      <c r="D328" s="5">
        <v>72</v>
      </c>
      <c r="E328" s="8" t="s">
        <v>1237</v>
      </c>
      <c r="F328">
        <v>11010210501</v>
      </c>
      <c r="G328" s="8" t="s">
        <v>102</v>
      </c>
      <c r="H328" t="s">
        <v>643</v>
      </c>
      <c r="I328" s="11">
        <v>953216016</v>
      </c>
      <c r="J328" s="11">
        <v>953216016</v>
      </c>
      <c r="K328" s="11">
        <v>51204819</v>
      </c>
      <c r="L328" s="11">
        <v>0</v>
      </c>
      <c r="M328" s="11">
        <v>51204819</v>
      </c>
      <c r="N328" s="11">
        <v>51204819</v>
      </c>
      <c r="O328" s="11">
        <v>0</v>
      </c>
      <c r="P328" s="11">
        <v>1004420835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1049344250</v>
      </c>
      <c r="X328" s="11">
        <v>0</v>
      </c>
      <c r="Y328" s="17">
        <v>1049344250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1049344250</v>
      </c>
      <c r="AG328" s="11">
        <v>0</v>
      </c>
      <c r="AH328" s="12">
        <v>1049344250</v>
      </c>
      <c r="AI328" s="11">
        <v>1049344250</v>
      </c>
      <c r="AJ328" s="11">
        <v>0</v>
      </c>
      <c r="AK328" s="11">
        <v>0</v>
      </c>
      <c r="AL328" s="11">
        <v>1049344250</v>
      </c>
      <c r="AM328" s="11">
        <v>1049344250</v>
      </c>
      <c r="AN328" s="11">
        <v>0</v>
      </c>
      <c r="AO328" s="11">
        <v>1049344250</v>
      </c>
      <c r="AP328" s="11">
        <v>0</v>
      </c>
      <c r="AQ328" s="11">
        <v>0</v>
      </c>
      <c r="AR328" t="s">
        <v>656</v>
      </c>
      <c r="AS328" s="4" t="str">
        <f t="shared" si="66"/>
        <v>Impuesto al consumo de cervezas, sifones, refajos y mezclas - Nacionales</v>
      </c>
      <c r="AT328" t="str">
        <f t="shared" si="67"/>
        <v>72Impuesto al consumo de cervezas, sifones, refajos y mezclas - Nacionales1049344250</v>
      </c>
      <c r="AU328" t="str">
        <f>+_xlfn.XLOOKUP(AT328,CRUCE!K:K,CRUCE!M:M)</f>
        <v>READY</v>
      </c>
      <c r="AV328" t="s">
        <v>1907</v>
      </c>
    </row>
    <row r="329" spans="1:48" x14ac:dyDescent="0.3">
      <c r="A329">
        <v>2023</v>
      </c>
      <c r="B329">
        <v>318</v>
      </c>
      <c r="C329">
        <v>11010210502</v>
      </c>
      <c r="D329" s="5">
        <v>154</v>
      </c>
      <c r="E329" s="8" t="s">
        <v>1238</v>
      </c>
      <c r="F329">
        <v>11010210502</v>
      </c>
      <c r="G329" s="8" t="s">
        <v>104</v>
      </c>
      <c r="H329" t="s">
        <v>643</v>
      </c>
      <c r="I329" s="11">
        <v>19256889</v>
      </c>
      <c r="J329" s="11">
        <v>19256889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19256889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171557085.80000001</v>
      </c>
      <c r="X329" s="11">
        <v>132302918</v>
      </c>
      <c r="Y329" s="17">
        <v>39254167.799999997</v>
      </c>
      <c r="Z329" s="11">
        <v>0</v>
      </c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11">
        <v>171557085.80000001</v>
      </c>
      <c r="AG329" s="11">
        <v>132302918</v>
      </c>
      <c r="AH329" s="12">
        <v>39254167.799999997</v>
      </c>
      <c r="AI329" s="11">
        <v>39254167.799999997</v>
      </c>
      <c r="AJ329" s="11">
        <v>39254167.799999997</v>
      </c>
      <c r="AK329" s="11">
        <v>39254167.799999997</v>
      </c>
      <c r="AL329" s="11">
        <v>0</v>
      </c>
      <c r="AM329" s="11">
        <v>0</v>
      </c>
      <c r="AN329" s="11">
        <v>0</v>
      </c>
      <c r="AO329" s="11">
        <v>0</v>
      </c>
      <c r="AP329" s="11">
        <v>0</v>
      </c>
      <c r="AQ329" s="11">
        <v>0</v>
      </c>
      <c r="AR329" t="s">
        <v>651</v>
      </c>
      <c r="AS329" s="4" t="str">
        <f t="shared" si="66"/>
        <v>Impuesto al consumo de cervezas, sifones, refajos y mezclas - Extranjeras</v>
      </c>
      <c r="AT329" t="str">
        <f t="shared" si="67"/>
        <v>154Impuesto al consumo de cervezas, sifones, refajos y mezclas - Extranjeras39254167,8</v>
      </c>
      <c r="AU329" t="str">
        <f>+_xlfn.XLOOKUP(AT329,CRUCE!K:K,CRUCE!M:M)</f>
        <v>READY</v>
      </c>
      <c r="AV329" t="s">
        <v>1907</v>
      </c>
    </row>
    <row r="330" spans="1:48" x14ac:dyDescent="0.3">
      <c r="A330">
        <v>2023</v>
      </c>
      <c r="B330">
        <v>318</v>
      </c>
      <c r="C330">
        <v>11010210502</v>
      </c>
      <c r="D330" s="5">
        <v>58</v>
      </c>
      <c r="E330" s="8" t="s">
        <v>1239</v>
      </c>
      <c r="F330">
        <v>11010210502</v>
      </c>
      <c r="G330" s="8" t="s">
        <v>104</v>
      </c>
      <c r="H330" t="s">
        <v>643</v>
      </c>
      <c r="I330" s="11">
        <v>9628445</v>
      </c>
      <c r="J330" s="11">
        <v>9628445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9628445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19627500</v>
      </c>
      <c r="X330" s="11">
        <v>0</v>
      </c>
      <c r="Y330" s="17">
        <v>19627500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19627500</v>
      </c>
      <c r="AG330" s="11">
        <v>0</v>
      </c>
      <c r="AH330" s="12">
        <v>19627500</v>
      </c>
      <c r="AI330" s="11">
        <v>19627500</v>
      </c>
      <c r="AJ330" s="11">
        <v>0</v>
      </c>
      <c r="AK330" s="11">
        <v>0</v>
      </c>
      <c r="AL330" s="11">
        <v>19627500</v>
      </c>
      <c r="AM330" s="11">
        <v>19627500</v>
      </c>
      <c r="AN330" s="11">
        <v>0</v>
      </c>
      <c r="AO330" s="11">
        <v>19627500</v>
      </c>
      <c r="AP330" s="11">
        <v>0</v>
      </c>
      <c r="AQ330" s="11">
        <v>0</v>
      </c>
      <c r="AR330" t="s">
        <v>684</v>
      </c>
      <c r="AS330" s="4" t="str">
        <f t="shared" si="66"/>
        <v>Impuesto al consumo de cervezas, sifones, refajos y mezclas - Extranjeras</v>
      </c>
      <c r="AT330" t="str">
        <f t="shared" si="67"/>
        <v>58Impuesto al consumo de cervezas, sifones, refajos y mezclas - Extranjeras19627500</v>
      </c>
      <c r="AU330" t="str">
        <f>+_xlfn.XLOOKUP(AT330,CRUCE!K:K,CRUCE!M:M)</f>
        <v>READY</v>
      </c>
      <c r="AV330" t="s">
        <v>1907</v>
      </c>
    </row>
    <row r="331" spans="1:48" x14ac:dyDescent="0.3">
      <c r="A331">
        <v>2023</v>
      </c>
      <c r="B331">
        <v>318</v>
      </c>
      <c r="C331">
        <v>11010210502</v>
      </c>
      <c r="D331" s="5">
        <v>72</v>
      </c>
      <c r="E331" s="8" t="s">
        <v>1240</v>
      </c>
      <c r="F331">
        <v>11010210502</v>
      </c>
      <c r="G331" s="8" t="s">
        <v>104</v>
      </c>
      <c r="H331" t="s">
        <v>643</v>
      </c>
      <c r="I331" s="11">
        <v>9628445</v>
      </c>
      <c r="J331" s="11">
        <v>9628445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9628445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19627500</v>
      </c>
      <c r="X331" s="11">
        <v>0</v>
      </c>
      <c r="Y331" s="17">
        <v>19627500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19627500</v>
      </c>
      <c r="AG331" s="11">
        <v>0</v>
      </c>
      <c r="AH331" s="12">
        <v>19627500</v>
      </c>
      <c r="AI331" s="11">
        <v>19627500</v>
      </c>
      <c r="AJ331" s="11">
        <v>0</v>
      </c>
      <c r="AK331" s="11">
        <v>0</v>
      </c>
      <c r="AL331" s="11">
        <v>19627500</v>
      </c>
      <c r="AM331" s="11">
        <v>19627500</v>
      </c>
      <c r="AN331" s="11">
        <v>0</v>
      </c>
      <c r="AO331" s="11">
        <v>19627500</v>
      </c>
      <c r="AP331" s="11">
        <v>0</v>
      </c>
      <c r="AQ331" s="11">
        <v>0</v>
      </c>
      <c r="AR331" t="s">
        <v>656</v>
      </c>
      <c r="AS331" s="4" t="str">
        <f t="shared" si="66"/>
        <v>Impuesto al consumo de cervezas, sifones, refajos y mezclas - Extranjeras</v>
      </c>
      <c r="AT331" t="str">
        <f t="shared" si="67"/>
        <v>72Impuesto al consumo de cervezas, sifones, refajos y mezclas - Extranjeras19627500</v>
      </c>
      <c r="AU331" t="str">
        <f>+_xlfn.XLOOKUP(AT331,CRUCE!K:K,CRUCE!M:M)</f>
        <v>READY</v>
      </c>
      <c r="AV331" t="s">
        <v>1907</v>
      </c>
    </row>
    <row r="332" spans="1:48" hidden="1" x14ac:dyDescent="0.3">
      <c r="A332">
        <v>2023</v>
      </c>
      <c r="B332">
        <v>318</v>
      </c>
      <c r="C332">
        <v>110102106</v>
      </c>
      <c r="D332" s="5" t="s">
        <v>44</v>
      </c>
      <c r="E332" s="8" t="s">
        <v>704</v>
      </c>
      <c r="F332">
        <v>110102106</v>
      </c>
      <c r="G332" s="8" t="s">
        <v>106</v>
      </c>
      <c r="H332" t="s">
        <v>643</v>
      </c>
      <c r="I332" s="11">
        <v>18144520423</v>
      </c>
      <c r="J332" s="11">
        <v>18144520423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18144520423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21365260123</v>
      </c>
      <c r="X332" s="11">
        <v>0</v>
      </c>
      <c r="Y332" s="17">
        <v>21365260123</v>
      </c>
      <c r="Z332" s="11">
        <v>0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21365260123</v>
      </c>
      <c r="AG332" s="11">
        <v>0</v>
      </c>
      <c r="AH332" s="12">
        <v>21365260123</v>
      </c>
      <c r="AI332" s="11">
        <v>21365260123</v>
      </c>
      <c r="AJ332" s="11">
        <v>6115665009</v>
      </c>
      <c r="AK332" s="11">
        <v>6115665009</v>
      </c>
      <c r="AL332" s="11">
        <v>15249595114</v>
      </c>
      <c r="AM332" s="11">
        <v>15249595114</v>
      </c>
      <c r="AN332" s="11">
        <v>0</v>
      </c>
      <c r="AO332" s="11">
        <v>15249595114</v>
      </c>
      <c r="AP332" s="11">
        <v>0</v>
      </c>
      <c r="AQ332" s="11">
        <v>0</v>
      </c>
      <c r="AR332" t="s">
        <v>48</v>
      </c>
      <c r="AS332"/>
    </row>
    <row r="333" spans="1:48" hidden="1" x14ac:dyDescent="0.3">
      <c r="A333">
        <v>2023</v>
      </c>
      <c r="B333">
        <v>318</v>
      </c>
      <c r="C333">
        <v>11010210601</v>
      </c>
      <c r="D333" s="5" t="s">
        <v>44</v>
      </c>
      <c r="E333" s="8" t="s">
        <v>705</v>
      </c>
      <c r="F333">
        <v>11010210601</v>
      </c>
      <c r="G333" s="8" t="s">
        <v>108</v>
      </c>
      <c r="H333" t="s">
        <v>643</v>
      </c>
      <c r="I333" s="11">
        <v>13809428000</v>
      </c>
      <c r="J333" s="11">
        <v>13809428000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13809428000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15249595114</v>
      </c>
      <c r="X333" s="11">
        <v>0</v>
      </c>
      <c r="Y333" s="17">
        <v>15249595114</v>
      </c>
      <c r="Z333" s="11">
        <v>0</v>
      </c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11">
        <v>15249595114</v>
      </c>
      <c r="AG333" s="11">
        <v>0</v>
      </c>
      <c r="AH333" s="12">
        <v>15249595114</v>
      </c>
      <c r="AI333" s="11">
        <v>15249595114</v>
      </c>
      <c r="AJ333" s="11">
        <v>0</v>
      </c>
      <c r="AK333" s="11">
        <v>0</v>
      </c>
      <c r="AL333" s="11">
        <v>15249595114</v>
      </c>
      <c r="AM333" s="11">
        <v>15249595114</v>
      </c>
      <c r="AN333" s="11">
        <v>0</v>
      </c>
      <c r="AO333" s="11">
        <v>15249595114</v>
      </c>
      <c r="AP333" s="11">
        <v>0</v>
      </c>
      <c r="AQ333" s="11">
        <v>0</v>
      </c>
      <c r="AR333" t="s">
        <v>48</v>
      </c>
      <c r="AS333"/>
    </row>
    <row r="334" spans="1:48" x14ac:dyDescent="0.3">
      <c r="A334">
        <v>2023</v>
      </c>
      <c r="B334">
        <v>318</v>
      </c>
      <c r="C334">
        <v>1101021060102</v>
      </c>
      <c r="D334" s="5">
        <v>154</v>
      </c>
      <c r="E334" s="8" t="s">
        <v>706</v>
      </c>
      <c r="F334">
        <v>1101021060102</v>
      </c>
      <c r="G334" s="8" t="s">
        <v>110</v>
      </c>
      <c r="H334" t="s">
        <v>643</v>
      </c>
      <c r="I334" s="11">
        <v>13809428000</v>
      </c>
      <c r="J334" s="11">
        <v>13809428000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13809428000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15249595114</v>
      </c>
      <c r="X334" s="11">
        <v>0</v>
      </c>
      <c r="Y334" s="17">
        <v>15249595114</v>
      </c>
      <c r="Z334" s="11">
        <v>0</v>
      </c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11">
        <v>15249595114</v>
      </c>
      <c r="AG334" s="11">
        <v>0</v>
      </c>
      <c r="AH334" s="12">
        <v>15249595114</v>
      </c>
      <c r="AI334" s="11">
        <v>15249595114</v>
      </c>
      <c r="AJ334" s="11">
        <v>0</v>
      </c>
      <c r="AK334" s="11">
        <v>0</v>
      </c>
      <c r="AL334" s="11">
        <v>15249595114</v>
      </c>
      <c r="AM334" s="11">
        <v>15249595114</v>
      </c>
      <c r="AN334" s="11">
        <v>0</v>
      </c>
      <c r="AO334" s="11">
        <v>15249595114</v>
      </c>
      <c r="AP334" s="11">
        <v>0</v>
      </c>
      <c r="AQ334" s="11">
        <v>0</v>
      </c>
      <c r="AR334" t="s">
        <v>651</v>
      </c>
      <c r="AS334" s="4" t="str">
        <f>+G334</f>
        <v>Componente específico del impuesto al consumo de cigarrillos y tabaco - Extranjeros</v>
      </c>
      <c r="AT334" t="str">
        <f>+D334&amp;AS334&amp;Y334</f>
        <v>154Componente específico del impuesto al consumo de cigarrillos y tabaco - Extranjeros15249595114</v>
      </c>
      <c r="AU334" t="str">
        <f>+_xlfn.XLOOKUP(AT334,CRUCE!K:K,CRUCE!M:M)</f>
        <v>READY</v>
      </c>
      <c r="AV334" t="s">
        <v>1907</v>
      </c>
    </row>
    <row r="335" spans="1:48" hidden="1" x14ac:dyDescent="0.3">
      <c r="A335">
        <v>2023</v>
      </c>
      <c r="B335">
        <v>318</v>
      </c>
      <c r="C335">
        <v>11010210602</v>
      </c>
      <c r="D335" s="5" t="s">
        <v>44</v>
      </c>
      <c r="E335" s="8" t="s">
        <v>707</v>
      </c>
      <c r="F335">
        <v>11010210602</v>
      </c>
      <c r="G335" s="8" t="s">
        <v>708</v>
      </c>
      <c r="H335" t="s">
        <v>643</v>
      </c>
      <c r="I335" s="11">
        <v>4335092423</v>
      </c>
      <c r="J335" s="11">
        <v>4335092423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4335092423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6115665009</v>
      </c>
      <c r="X335" s="11">
        <v>0</v>
      </c>
      <c r="Y335" s="17">
        <v>6115665009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6115665009</v>
      </c>
      <c r="AG335" s="11">
        <v>0</v>
      </c>
      <c r="AH335" s="12">
        <v>6115665009</v>
      </c>
      <c r="AI335" s="11">
        <v>6115665009</v>
      </c>
      <c r="AJ335" s="11">
        <v>6115665009</v>
      </c>
      <c r="AK335" s="11">
        <v>6115665009</v>
      </c>
      <c r="AL335" s="11">
        <v>0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t="s">
        <v>48</v>
      </c>
      <c r="AS335"/>
    </row>
    <row r="336" spans="1:48" x14ac:dyDescent="0.3">
      <c r="A336">
        <v>2023</v>
      </c>
      <c r="B336">
        <v>318</v>
      </c>
      <c r="C336">
        <v>1101021060202</v>
      </c>
      <c r="D336" s="5">
        <v>154</v>
      </c>
      <c r="E336" s="8" t="s">
        <v>709</v>
      </c>
      <c r="F336">
        <v>1101021060202</v>
      </c>
      <c r="G336" s="8" t="s">
        <v>710</v>
      </c>
      <c r="H336" t="s">
        <v>643</v>
      </c>
      <c r="I336" s="11">
        <v>4335092423</v>
      </c>
      <c r="J336" s="11">
        <v>4335092423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4335092423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6115665009</v>
      </c>
      <c r="X336" s="11">
        <v>0</v>
      </c>
      <c r="Y336" s="17">
        <v>6115665009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6115665009</v>
      </c>
      <c r="AG336" s="11">
        <v>0</v>
      </c>
      <c r="AH336" s="12">
        <v>6115665009</v>
      </c>
      <c r="AI336" s="11">
        <v>6115665009</v>
      </c>
      <c r="AJ336" s="11">
        <v>6115665009</v>
      </c>
      <c r="AK336" s="11">
        <v>6115665009</v>
      </c>
      <c r="AL336" s="11">
        <v>0</v>
      </c>
      <c r="AM336" s="11">
        <v>0</v>
      </c>
      <c r="AN336" s="11">
        <v>0</v>
      </c>
      <c r="AO336" s="11">
        <v>0</v>
      </c>
      <c r="AP336" s="11">
        <v>0</v>
      </c>
      <c r="AQ336" s="11">
        <v>0</v>
      </c>
      <c r="AR336" t="s">
        <v>651</v>
      </c>
      <c r="AS336" s="4" t="str">
        <f>+G336</f>
        <v>Componente ad valorem del impuesto al consumo de cigarrillos y tabaco elaborado - Extranjeros</v>
      </c>
      <c r="AT336" t="str">
        <f>+D336&amp;AS336&amp;Y336</f>
        <v>154Componente ad valorem del impuesto al consumo de cigarrillos y tabaco elaborado - Extranjeros6115665009</v>
      </c>
      <c r="AU336" t="str">
        <f>+_xlfn.XLOOKUP(AT336,CRUCE!K:K,CRUCE!M:M)</f>
        <v>READY</v>
      </c>
      <c r="AV336" t="s">
        <v>1907</v>
      </c>
    </row>
    <row r="337" spans="1:48" hidden="1" x14ac:dyDescent="0.3">
      <c r="A337">
        <v>2023</v>
      </c>
      <c r="B337">
        <v>318</v>
      </c>
      <c r="C337">
        <v>1102</v>
      </c>
      <c r="D337" s="5" t="s">
        <v>44</v>
      </c>
      <c r="E337" s="8" t="s">
        <v>711</v>
      </c>
      <c r="F337">
        <v>1102</v>
      </c>
      <c r="G337" s="8" t="s">
        <v>145</v>
      </c>
      <c r="H337" t="s">
        <v>643</v>
      </c>
      <c r="I337" s="11">
        <v>28082251571.880001</v>
      </c>
      <c r="J337" s="11">
        <v>28082251571.880001</v>
      </c>
      <c r="K337" s="11">
        <v>6462736174</v>
      </c>
      <c r="L337" s="11">
        <v>37030406</v>
      </c>
      <c r="M337" s="11">
        <v>6425705768</v>
      </c>
      <c r="N337" s="11">
        <v>6462736174</v>
      </c>
      <c r="O337" s="11">
        <v>37030406</v>
      </c>
      <c r="P337" s="11">
        <v>34507957339.879997</v>
      </c>
      <c r="Q337" s="11">
        <v>484271067.60000002</v>
      </c>
      <c r="R337" s="11">
        <v>31148172</v>
      </c>
      <c r="S337" s="11">
        <v>453122895.60000002</v>
      </c>
      <c r="T337" s="11">
        <v>0</v>
      </c>
      <c r="U337" s="11">
        <v>0</v>
      </c>
      <c r="V337" s="11">
        <v>0</v>
      </c>
      <c r="W337" s="11">
        <v>38363332239.309998</v>
      </c>
      <c r="X337" s="11">
        <v>2531918004.0799999</v>
      </c>
      <c r="Y337" s="17">
        <v>35831414235.230003</v>
      </c>
      <c r="Z337" s="11">
        <v>484271067.60000002</v>
      </c>
      <c r="AA337" s="11">
        <v>31148172</v>
      </c>
      <c r="AB337" s="11">
        <v>453122895.60000002</v>
      </c>
      <c r="AC337" s="11">
        <v>0</v>
      </c>
      <c r="AD337" s="11">
        <v>0</v>
      </c>
      <c r="AE337" s="11">
        <v>0</v>
      </c>
      <c r="AF337" s="11">
        <v>38363332239.309998</v>
      </c>
      <c r="AG337" s="11">
        <v>2531918004.0799999</v>
      </c>
      <c r="AH337" s="12">
        <v>35831414235.230003</v>
      </c>
      <c r="AI337" s="11">
        <v>35831414235.230003</v>
      </c>
      <c r="AJ337" s="11">
        <v>10682134436.85</v>
      </c>
      <c r="AK337" s="11">
        <v>10682134436.85</v>
      </c>
      <c r="AL337" s="11">
        <v>25149279798.380001</v>
      </c>
      <c r="AM337" s="11">
        <v>26319081783.459999</v>
      </c>
      <c r="AN337" s="11">
        <v>1169801985.0799999</v>
      </c>
      <c r="AO337" s="11">
        <v>26319081783.459999</v>
      </c>
      <c r="AP337" s="11">
        <v>0</v>
      </c>
      <c r="AQ337" s="11">
        <v>1169801985.0799999</v>
      </c>
      <c r="AR337" t="s">
        <v>48</v>
      </c>
      <c r="AS337"/>
    </row>
    <row r="338" spans="1:48" hidden="1" x14ac:dyDescent="0.3">
      <c r="A338">
        <v>2023</v>
      </c>
      <c r="B338">
        <v>318</v>
      </c>
      <c r="C338">
        <v>110202</v>
      </c>
      <c r="D338" s="5" t="s">
        <v>44</v>
      </c>
      <c r="E338" s="8" t="s">
        <v>712</v>
      </c>
      <c r="F338">
        <v>110202</v>
      </c>
      <c r="G338" s="8" t="s">
        <v>176</v>
      </c>
      <c r="H338" t="s">
        <v>643</v>
      </c>
      <c r="I338" s="11">
        <v>399000000</v>
      </c>
      <c r="J338" s="11">
        <v>399000000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399000000</v>
      </c>
      <c r="Q338" s="11">
        <v>484271067.60000002</v>
      </c>
      <c r="R338" s="11">
        <v>31148172</v>
      </c>
      <c r="S338" s="11">
        <v>453122895.60000002</v>
      </c>
      <c r="T338" s="11">
        <v>0</v>
      </c>
      <c r="U338" s="11">
        <v>0</v>
      </c>
      <c r="V338" s="11">
        <v>0</v>
      </c>
      <c r="W338" s="11">
        <v>476137865.80000001</v>
      </c>
      <c r="X338" s="11">
        <v>31121687.199999999</v>
      </c>
      <c r="Y338" s="17">
        <v>445016178.60000002</v>
      </c>
      <c r="Z338" s="11">
        <v>484271067.60000002</v>
      </c>
      <c r="AA338" s="11">
        <v>31148172</v>
      </c>
      <c r="AB338" s="11">
        <v>453122895.60000002</v>
      </c>
      <c r="AC338" s="11">
        <v>0</v>
      </c>
      <c r="AD338" s="11">
        <v>0</v>
      </c>
      <c r="AE338" s="11">
        <v>0</v>
      </c>
      <c r="AF338" s="11">
        <v>476137865.80000001</v>
      </c>
      <c r="AG338" s="11">
        <v>31121687.199999999</v>
      </c>
      <c r="AH338" s="12">
        <v>445016178.60000002</v>
      </c>
      <c r="AI338" s="11">
        <v>445016178.60000002</v>
      </c>
      <c r="AJ338" s="11">
        <v>0</v>
      </c>
      <c r="AK338" s="11">
        <v>0</v>
      </c>
      <c r="AL338" s="11">
        <v>445016178.60000002</v>
      </c>
      <c r="AM338" s="11">
        <v>476137865.80000001</v>
      </c>
      <c r="AN338" s="11">
        <v>31121687.199999999</v>
      </c>
      <c r="AO338" s="11">
        <v>476137865.80000001</v>
      </c>
      <c r="AP338" s="11">
        <v>0</v>
      </c>
      <c r="AQ338" s="11">
        <v>31121687.199999999</v>
      </c>
      <c r="AR338" t="s">
        <v>48</v>
      </c>
      <c r="AS338"/>
    </row>
    <row r="339" spans="1:48" hidden="1" x14ac:dyDescent="0.3">
      <c r="A339">
        <v>2023</v>
      </c>
      <c r="B339">
        <v>318</v>
      </c>
      <c r="C339">
        <v>110202101</v>
      </c>
      <c r="D339" s="5" t="s">
        <v>44</v>
      </c>
      <c r="E339" s="8" t="s">
        <v>713</v>
      </c>
      <c r="F339">
        <v>110202101</v>
      </c>
      <c r="G339" s="8" t="s">
        <v>178</v>
      </c>
      <c r="H339" t="s">
        <v>643</v>
      </c>
      <c r="I339" s="11">
        <v>399000000</v>
      </c>
      <c r="J339" s="11">
        <v>399000000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399000000</v>
      </c>
      <c r="Q339" s="11">
        <v>484271067.60000002</v>
      </c>
      <c r="R339" s="11">
        <v>31148172</v>
      </c>
      <c r="S339" s="11">
        <v>453122895.60000002</v>
      </c>
      <c r="T339" s="11">
        <v>0</v>
      </c>
      <c r="U339" s="11">
        <v>0</v>
      </c>
      <c r="V339" s="11">
        <v>0</v>
      </c>
      <c r="W339" s="11">
        <v>476137865.80000001</v>
      </c>
      <c r="X339" s="11">
        <v>31121687.199999999</v>
      </c>
      <c r="Y339" s="17">
        <v>445016178.60000002</v>
      </c>
      <c r="Z339" s="11">
        <v>484271067.60000002</v>
      </c>
      <c r="AA339" s="11">
        <v>31148172</v>
      </c>
      <c r="AB339" s="11">
        <v>453122895.60000002</v>
      </c>
      <c r="AC339" s="11">
        <v>0</v>
      </c>
      <c r="AD339" s="11">
        <v>0</v>
      </c>
      <c r="AE339" s="11">
        <v>0</v>
      </c>
      <c r="AF339" s="11">
        <v>476137865.80000001</v>
      </c>
      <c r="AG339" s="11">
        <v>31121687.199999999</v>
      </c>
      <c r="AH339" s="12">
        <v>445016178.60000002</v>
      </c>
      <c r="AI339" s="11">
        <v>445016178.60000002</v>
      </c>
      <c r="AJ339" s="11">
        <v>0</v>
      </c>
      <c r="AK339" s="11">
        <v>0</v>
      </c>
      <c r="AL339" s="11">
        <v>445016178.60000002</v>
      </c>
      <c r="AM339" s="11">
        <v>476137865.80000001</v>
      </c>
      <c r="AN339" s="11">
        <v>31121687.199999999</v>
      </c>
      <c r="AO339" s="11">
        <v>476137865.80000001</v>
      </c>
      <c r="AP339" s="11">
        <v>0</v>
      </c>
      <c r="AQ339" s="11">
        <v>31121687.199999999</v>
      </c>
      <c r="AR339" t="s">
        <v>48</v>
      </c>
      <c r="AS339"/>
    </row>
    <row r="340" spans="1:48" x14ac:dyDescent="0.3">
      <c r="A340">
        <v>2023</v>
      </c>
      <c r="B340">
        <v>318</v>
      </c>
      <c r="C340">
        <v>11020210101</v>
      </c>
      <c r="D340" s="5">
        <v>63</v>
      </c>
      <c r="E340" s="8" t="s">
        <v>714</v>
      </c>
      <c r="F340">
        <v>11020210101</v>
      </c>
      <c r="G340" s="8" t="s">
        <v>715</v>
      </c>
      <c r="H340" t="s">
        <v>643</v>
      </c>
      <c r="I340" s="11">
        <v>25000000</v>
      </c>
      <c r="J340" s="11">
        <v>25000000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25000000</v>
      </c>
      <c r="Q340" s="11">
        <v>35178000</v>
      </c>
      <c r="R340" s="11">
        <v>1638000</v>
      </c>
      <c r="S340" s="11">
        <v>33540000</v>
      </c>
      <c r="T340" s="11">
        <v>0</v>
      </c>
      <c r="U340" s="11">
        <v>0</v>
      </c>
      <c r="V340" s="11">
        <v>0</v>
      </c>
      <c r="W340" s="11">
        <v>33657000</v>
      </c>
      <c r="X340" s="11">
        <v>1482000</v>
      </c>
      <c r="Y340" s="17">
        <v>32175000</v>
      </c>
      <c r="Z340" s="11">
        <v>35178000</v>
      </c>
      <c r="AA340" s="11">
        <v>1638000</v>
      </c>
      <c r="AB340" s="11">
        <v>33540000</v>
      </c>
      <c r="AC340" s="11">
        <v>0</v>
      </c>
      <c r="AD340" s="11">
        <v>0</v>
      </c>
      <c r="AE340" s="11">
        <v>0</v>
      </c>
      <c r="AF340" s="11">
        <v>33657000</v>
      </c>
      <c r="AG340" s="11">
        <v>1482000</v>
      </c>
      <c r="AH340" s="12">
        <v>32175000</v>
      </c>
      <c r="AI340" s="11">
        <v>32175000</v>
      </c>
      <c r="AJ340" s="11">
        <v>0</v>
      </c>
      <c r="AK340" s="11">
        <v>0</v>
      </c>
      <c r="AL340" s="11">
        <v>32175000</v>
      </c>
      <c r="AM340" s="11">
        <v>33657000</v>
      </c>
      <c r="AN340" s="11">
        <v>1482000</v>
      </c>
      <c r="AO340" s="11">
        <v>33657000</v>
      </c>
      <c r="AP340" s="11">
        <v>0</v>
      </c>
      <c r="AQ340" s="11">
        <v>1482000</v>
      </c>
      <c r="AR340" t="s">
        <v>716</v>
      </c>
      <c r="AS340" s="4" t="str">
        <f t="shared" ref="AS340:AS342" si="68">+G340</f>
        <v>Fondo De Estupefacientes Venta De Recetarios</v>
      </c>
      <c r="AT340" t="str">
        <f t="shared" ref="AT340:AT342" si="69">+D340&amp;AS340&amp;Y340</f>
        <v>63Fondo De Estupefacientes Venta De Recetarios32175000</v>
      </c>
      <c r="AU340" t="str">
        <f>+_xlfn.XLOOKUP(AT340,CRUCE!K:K,CRUCE!M:M)</f>
        <v>READY</v>
      </c>
      <c r="AV340" t="s">
        <v>1907</v>
      </c>
    </row>
    <row r="341" spans="1:48" x14ac:dyDescent="0.3">
      <c r="A341">
        <v>2023</v>
      </c>
      <c r="B341">
        <v>318</v>
      </c>
      <c r="C341">
        <v>11020210102</v>
      </c>
      <c r="D341" s="5">
        <v>63</v>
      </c>
      <c r="E341" s="8" t="s">
        <v>717</v>
      </c>
      <c r="F341">
        <v>11020210102</v>
      </c>
      <c r="G341" s="8" t="s">
        <v>718</v>
      </c>
      <c r="H341" t="s">
        <v>643</v>
      </c>
      <c r="I341" s="11">
        <v>24000000</v>
      </c>
      <c r="J341" s="11">
        <v>24000000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24000000</v>
      </c>
      <c r="Q341" s="11">
        <v>5621000</v>
      </c>
      <c r="R341" s="11">
        <v>154000</v>
      </c>
      <c r="S341" s="11">
        <v>5467000</v>
      </c>
      <c r="T341" s="11">
        <v>0</v>
      </c>
      <c r="U341" s="11">
        <v>0</v>
      </c>
      <c r="V341" s="11">
        <v>0</v>
      </c>
      <c r="W341" s="11">
        <v>5544000</v>
      </c>
      <c r="X341" s="11">
        <v>77000</v>
      </c>
      <c r="Y341" s="17">
        <v>5467000</v>
      </c>
      <c r="Z341" s="11">
        <v>5621000</v>
      </c>
      <c r="AA341" s="11">
        <v>154000</v>
      </c>
      <c r="AB341" s="11">
        <v>5467000</v>
      </c>
      <c r="AC341" s="11">
        <v>0</v>
      </c>
      <c r="AD341" s="11">
        <v>0</v>
      </c>
      <c r="AE341" s="11">
        <v>0</v>
      </c>
      <c r="AF341" s="11">
        <v>5544000</v>
      </c>
      <c r="AG341" s="11">
        <v>77000</v>
      </c>
      <c r="AH341" s="12">
        <v>5467000</v>
      </c>
      <c r="AI341" s="11">
        <v>5467000</v>
      </c>
      <c r="AJ341" s="11">
        <v>0</v>
      </c>
      <c r="AK341" s="11">
        <v>0</v>
      </c>
      <c r="AL341" s="11">
        <v>5467000</v>
      </c>
      <c r="AM341" s="11">
        <v>5544000</v>
      </c>
      <c r="AN341" s="11">
        <v>77000</v>
      </c>
      <c r="AO341" s="11">
        <v>5544000</v>
      </c>
      <c r="AP341" s="11">
        <v>0</v>
      </c>
      <c r="AQ341" s="11">
        <v>77000</v>
      </c>
      <c r="AR341" t="s">
        <v>716</v>
      </c>
      <c r="AS341" s="4" t="str">
        <f t="shared" si="68"/>
        <v>Fondo Rotatorio De Estupefacientes Resoluciones Manejo De Medicamentos</v>
      </c>
      <c r="AT341" t="str">
        <f t="shared" si="69"/>
        <v>63Fondo Rotatorio De Estupefacientes Resoluciones Manejo De Medicamentos5467000</v>
      </c>
      <c r="AU341" t="str">
        <f>+_xlfn.XLOOKUP(AT341,CRUCE!K:K,CRUCE!M:M)</f>
        <v>READY</v>
      </c>
      <c r="AV341" t="s">
        <v>1907</v>
      </c>
    </row>
    <row r="342" spans="1:48" x14ac:dyDescent="0.3">
      <c r="A342">
        <v>2023</v>
      </c>
      <c r="B342">
        <v>318</v>
      </c>
      <c r="C342">
        <v>11020210103</v>
      </c>
      <c r="D342" s="5">
        <v>63</v>
      </c>
      <c r="E342" s="8" t="s">
        <v>719</v>
      </c>
      <c r="F342">
        <v>11020210103</v>
      </c>
      <c r="G342" s="8" t="s">
        <v>720</v>
      </c>
      <c r="H342" t="s">
        <v>643</v>
      </c>
      <c r="I342" s="11">
        <v>350000000</v>
      </c>
      <c r="J342" s="11">
        <v>350000000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350000000</v>
      </c>
      <c r="Q342" s="11">
        <v>443472067.60000002</v>
      </c>
      <c r="R342" s="11">
        <v>29356172</v>
      </c>
      <c r="S342" s="11">
        <v>414115895.60000002</v>
      </c>
      <c r="T342" s="11">
        <v>0</v>
      </c>
      <c r="U342" s="11">
        <v>0</v>
      </c>
      <c r="V342" s="11">
        <v>0</v>
      </c>
      <c r="W342" s="11">
        <v>436936865.80000001</v>
      </c>
      <c r="X342" s="11">
        <v>29562687.199999999</v>
      </c>
      <c r="Y342" s="17">
        <v>407374178.60000002</v>
      </c>
      <c r="Z342" s="11">
        <v>443472067.60000002</v>
      </c>
      <c r="AA342" s="11">
        <v>29356172</v>
      </c>
      <c r="AB342" s="11">
        <v>414115895.60000002</v>
      </c>
      <c r="AC342" s="11">
        <v>0</v>
      </c>
      <c r="AD342" s="11">
        <v>0</v>
      </c>
      <c r="AE342" s="11">
        <v>0</v>
      </c>
      <c r="AF342" s="11">
        <v>436936865.80000001</v>
      </c>
      <c r="AG342" s="11">
        <v>29562687.199999999</v>
      </c>
      <c r="AH342" s="12">
        <v>407374178.60000002</v>
      </c>
      <c r="AI342" s="11">
        <v>407374178.60000002</v>
      </c>
      <c r="AJ342" s="11">
        <v>0</v>
      </c>
      <c r="AK342" s="11">
        <v>0</v>
      </c>
      <c r="AL342" s="11">
        <v>407374178.60000002</v>
      </c>
      <c r="AM342" s="11">
        <v>436936865.80000001</v>
      </c>
      <c r="AN342" s="11">
        <v>29562687.199999999</v>
      </c>
      <c r="AO342" s="11">
        <v>436936865.80000001</v>
      </c>
      <c r="AP342" s="11">
        <v>0</v>
      </c>
      <c r="AQ342" s="11">
        <v>29562687.199999999</v>
      </c>
      <c r="AR342" t="s">
        <v>716</v>
      </c>
      <c r="AS342" s="4" t="str">
        <f t="shared" si="68"/>
        <v>Venta de Medicamentos</v>
      </c>
      <c r="AT342" t="str">
        <f t="shared" si="69"/>
        <v>63Venta de Medicamentos407374178,6</v>
      </c>
      <c r="AU342" t="str">
        <f>+_xlfn.XLOOKUP(AT342,CRUCE!K:K,CRUCE!M:M)</f>
        <v>READY</v>
      </c>
      <c r="AV342" t="s">
        <v>1907</v>
      </c>
    </row>
    <row r="343" spans="1:48" hidden="1" x14ac:dyDescent="0.3">
      <c r="A343">
        <v>2023</v>
      </c>
      <c r="B343">
        <v>318</v>
      </c>
      <c r="C343">
        <v>110206</v>
      </c>
      <c r="D343" s="5" t="s">
        <v>44</v>
      </c>
      <c r="E343" s="8" t="s">
        <v>721</v>
      </c>
      <c r="F343">
        <v>110206</v>
      </c>
      <c r="G343" s="8" t="s">
        <v>242</v>
      </c>
      <c r="H343" t="s">
        <v>643</v>
      </c>
      <c r="I343" s="11">
        <v>8800172070</v>
      </c>
      <c r="J343" s="11">
        <v>8800172070</v>
      </c>
      <c r="K343" s="11">
        <v>2843170955</v>
      </c>
      <c r="L343" s="11">
        <v>37030406</v>
      </c>
      <c r="M343" s="11">
        <v>2806140549</v>
      </c>
      <c r="N343" s="11">
        <v>2843170955</v>
      </c>
      <c r="O343" s="11">
        <v>37030406</v>
      </c>
      <c r="P343" s="11">
        <v>11606312619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12948212547</v>
      </c>
      <c r="X343" s="11">
        <v>1341899928</v>
      </c>
      <c r="Y343" s="17">
        <v>11606312619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12948212547</v>
      </c>
      <c r="AG343" s="11">
        <v>1341899928</v>
      </c>
      <c r="AH343" s="12">
        <v>11606312619</v>
      </c>
      <c r="AI343" s="11">
        <v>11606312619</v>
      </c>
      <c r="AJ343" s="11">
        <v>883296840</v>
      </c>
      <c r="AK343" s="11">
        <v>883296840</v>
      </c>
      <c r="AL343" s="11">
        <v>10723015779</v>
      </c>
      <c r="AM343" s="11">
        <v>11393965743</v>
      </c>
      <c r="AN343" s="11">
        <v>670949964</v>
      </c>
      <c r="AO343" s="11">
        <v>11393965743</v>
      </c>
      <c r="AP343" s="11">
        <v>0</v>
      </c>
      <c r="AQ343" s="11">
        <v>670949964</v>
      </c>
      <c r="AR343" t="s">
        <v>48</v>
      </c>
      <c r="AS343"/>
    </row>
    <row r="344" spans="1:48" hidden="1" x14ac:dyDescent="0.3">
      <c r="A344">
        <v>2023</v>
      </c>
      <c r="B344">
        <v>318</v>
      </c>
      <c r="C344">
        <v>110206001</v>
      </c>
      <c r="D344" s="5" t="s">
        <v>44</v>
      </c>
      <c r="E344" s="8" t="s">
        <v>722</v>
      </c>
      <c r="F344">
        <v>110206001</v>
      </c>
      <c r="G344" s="8" t="s">
        <v>244</v>
      </c>
      <c r="H344" t="s">
        <v>643</v>
      </c>
      <c r="I344" s="11">
        <v>6568196463</v>
      </c>
      <c r="J344" s="11">
        <v>6568196463</v>
      </c>
      <c r="K344" s="11">
        <v>183791131</v>
      </c>
      <c r="L344" s="11">
        <v>0</v>
      </c>
      <c r="M344" s="11">
        <v>183791131</v>
      </c>
      <c r="N344" s="11">
        <v>183791131</v>
      </c>
      <c r="O344" s="11">
        <v>0</v>
      </c>
      <c r="P344" s="11">
        <v>6751987594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6751987594</v>
      </c>
      <c r="X344" s="11">
        <v>0</v>
      </c>
      <c r="Y344" s="17">
        <v>6751987594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6751987594</v>
      </c>
      <c r="AG344" s="11">
        <v>0</v>
      </c>
      <c r="AH344" s="12">
        <v>6751987594</v>
      </c>
      <c r="AI344" s="11">
        <v>6751987594</v>
      </c>
      <c r="AJ344" s="11">
        <v>0</v>
      </c>
      <c r="AK344" s="11">
        <v>0</v>
      </c>
      <c r="AL344" s="11">
        <v>6751987594</v>
      </c>
      <c r="AM344" s="11">
        <v>6751987594</v>
      </c>
      <c r="AN344" s="11">
        <v>0</v>
      </c>
      <c r="AO344" s="11">
        <v>6751987594</v>
      </c>
      <c r="AP344" s="11">
        <v>0</v>
      </c>
      <c r="AQ344" s="11">
        <v>0</v>
      </c>
      <c r="AR344" t="s">
        <v>48</v>
      </c>
      <c r="AS344"/>
    </row>
    <row r="345" spans="1:48" hidden="1" x14ac:dyDescent="0.3">
      <c r="A345">
        <v>2023</v>
      </c>
      <c r="B345">
        <v>318</v>
      </c>
      <c r="C345">
        <v>11020600102</v>
      </c>
      <c r="D345" s="5" t="s">
        <v>44</v>
      </c>
      <c r="E345" s="8" t="s">
        <v>723</v>
      </c>
      <c r="F345">
        <v>11020600102</v>
      </c>
      <c r="G345" s="8" t="s">
        <v>724</v>
      </c>
      <c r="H345" t="s">
        <v>643</v>
      </c>
      <c r="I345" s="11">
        <v>6568196463</v>
      </c>
      <c r="J345" s="11">
        <v>6568196463</v>
      </c>
      <c r="K345" s="11">
        <v>183791131</v>
      </c>
      <c r="L345" s="11">
        <v>0</v>
      </c>
      <c r="M345" s="11">
        <v>183791131</v>
      </c>
      <c r="N345" s="11">
        <v>183791131</v>
      </c>
      <c r="O345" s="11">
        <v>0</v>
      </c>
      <c r="P345" s="11">
        <v>6751987594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6751987594</v>
      </c>
      <c r="X345" s="11">
        <v>0</v>
      </c>
      <c r="Y345" s="17">
        <v>6751987594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6751987594</v>
      </c>
      <c r="AG345" s="11">
        <v>0</v>
      </c>
      <c r="AH345" s="12">
        <v>6751987594</v>
      </c>
      <c r="AI345" s="11">
        <v>6751987594</v>
      </c>
      <c r="AJ345" s="11">
        <v>0</v>
      </c>
      <c r="AK345" s="11">
        <v>0</v>
      </c>
      <c r="AL345" s="11">
        <v>6751987594</v>
      </c>
      <c r="AM345" s="11">
        <v>6751987594</v>
      </c>
      <c r="AN345" s="11">
        <v>0</v>
      </c>
      <c r="AO345" s="11">
        <v>6751987594</v>
      </c>
      <c r="AP345" s="11">
        <v>0</v>
      </c>
      <c r="AQ345" s="11">
        <v>0</v>
      </c>
      <c r="AR345" t="s">
        <v>48</v>
      </c>
      <c r="AS345"/>
    </row>
    <row r="346" spans="1:48" x14ac:dyDescent="0.3">
      <c r="A346">
        <v>2023</v>
      </c>
      <c r="B346">
        <v>318</v>
      </c>
      <c r="C346">
        <v>1102060010202</v>
      </c>
      <c r="D346" s="5">
        <v>61</v>
      </c>
      <c r="E346" s="8" t="s">
        <v>725</v>
      </c>
      <c r="F346">
        <v>1102060010202</v>
      </c>
      <c r="G346" s="8" t="s">
        <v>726</v>
      </c>
      <c r="H346" t="s">
        <v>643</v>
      </c>
      <c r="I346" s="11">
        <v>4758262654</v>
      </c>
      <c r="J346" s="11">
        <v>4758262654</v>
      </c>
      <c r="K346" s="11">
        <v>74786050</v>
      </c>
      <c r="L346" s="11">
        <v>0</v>
      </c>
      <c r="M346" s="11">
        <v>74786050</v>
      </c>
      <c r="N346" s="11">
        <v>74786050</v>
      </c>
      <c r="O346" s="11">
        <v>0</v>
      </c>
      <c r="P346" s="11">
        <v>4833048704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4833048704</v>
      </c>
      <c r="X346" s="11">
        <v>0</v>
      </c>
      <c r="Y346" s="17">
        <v>4833048704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4833048704</v>
      </c>
      <c r="AG346" s="11">
        <v>0</v>
      </c>
      <c r="AH346" s="12">
        <v>4833048704</v>
      </c>
      <c r="AI346" s="11">
        <v>4833048704</v>
      </c>
      <c r="AJ346" s="11">
        <v>0</v>
      </c>
      <c r="AK346" s="11">
        <v>0</v>
      </c>
      <c r="AL346" s="11">
        <v>4833048704</v>
      </c>
      <c r="AM346" s="11">
        <v>4833048704</v>
      </c>
      <c r="AN346" s="11">
        <v>0</v>
      </c>
      <c r="AO346" s="11">
        <v>4833048704</v>
      </c>
      <c r="AP346" s="11">
        <v>0</v>
      </c>
      <c r="AQ346" s="11">
        <v>0</v>
      </c>
      <c r="AR346" t="s">
        <v>727</v>
      </c>
      <c r="AS346" s="4" t="str">
        <f t="shared" ref="AS346:AS347" si="70">+G346</f>
        <v>Salud pública</v>
      </c>
      <c r="AT346" t="str">
        <f t="shared" ref="AT346:AT347" si="71">+D346&amp;AS346&amp;Y346</f>
        <v>61Salud pública4833048704</v>
      </c>
      <c r="AU346" t="str">
        <f>+_xlfn.XLOOKUP(AT346,CRUCE!K:K,CRUCE!M:M)</f>
        <v>READY</v>
      </c>
      <c r="AV346" t="s">
        <v>1907</v>
      </c>
    </row>
    <row r="347" spans="1:48" x14ac:dyDescent="0.3">
      <c r="A347">
        <v>2023</v>
      </c>
      <c r="B347">
        <v>318</v>
      </c>
      <c r="C347">
        <v>1102060010204</v>
      </c>
      <c r="D347" s="5">
        <v>171</v>
      </c>
      <c r="E347" s="8" t="s">
        <v>728</v>
      </c>
      <c r="F347">
        <v>1102060010204</v>
      </c>
      <c r="G347" s="8" t="s">
        <v>729</v>
      </c>
      <c r="H347" t="s">
        <v>643</v>
      </c>
      <c r="I347" s="11">
        <v>1809933809</v>
      </c>
      <c r="J347" s="11">
        <v>1809933809</v>
      </c>
      <c r="K347" s="11">
        <v>109005081</v>
      </c>
      <c r="L347" s="11">
        <v>0</v>
      </c>
      <c r="M347" s="11">
        <v>109005081</v>
      </c>
      <c r="N347" s="11">
        <v>109005081</v>
      </c>
      <c r="O347" s="11">
        <v>0</v>
      </c>
      <c r="P347" s="11">
        <v>1918938890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1918938890</v>
      </c>
      <c r="X347" s="11">
        <v>0</v>
      </c>
      <c r="Y347" s="17">
        <v>1918938890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1918938890</v>
      </c>
      <c r="AG347" s="11">
        <v>0</v>
      </c>
      <c r="AH347" s="12">
        <v>1918938890</v>
      </c>
      <c r="AI347" s="11">
        <v>1918938890</v>
      </c>
      <c r="AJ347" s="11">
        <v>0</v>
      </c>
      <c r="AK347" s="11">
        <v>0</v>
      </c>
      <c r="AL347" s="11">
        <v>1918938890</v>
      </c>
      <c r="AM347" s="11">
        <v>1918938890</v>
      </c>
      <c r="AN347" s="11">
        <v>0</v>
      </c>
      <c r="AO347" s="11">
        <v>1918938890</v>
      </c>
      <c r="AP347" s="11">
        <v>0</v>
      </c>
      <c r="AQ347" s="11">
        <v>0</v>
      </c>
      <c r="AR347" t="s">
        <v>730</v>
      </c>
      <c r="AS347" s="4" t="str">
        <f t="shared" si="70"/>
        <v>Subsidio a la oferta</v>
      </c>
      <c r="AT347" t="str">
        <f t="shared" si="71"/>
        <v>171Subsidio a la oferta1918938890</v>
      </c>
      <c r="AU347" t="str">
        <f>+_xlfn.XLOOKUP(AT347,CRUCE!K:K,CRUCE!M:M)</f>
        <v>READY</v>
      </c>
      <c r="AV347" t="s">
        <v>1907</v>
      </c>
    </row>
    <row r="348" spans="1:48" hidden="1" x14ac:dyDescent="0.3">
      <c r="A348">
        <v>2023</v>
      </c>
      <c r="B348">
        <v>318</v>
      </c>
      <c r="C348">
        <v>110206006</v>
      </c>
      <c r="D348" s="5" t="s">
        <v>44</v>
      </c>
      <c r="E348" s="8" t="s">
        <v>731</v>
      </c>
      <c r="F348">
        <v>110206006</v>
      </c>
      <c r="G348" s="8" t="s">
        <v>267</v>
      </c>
      <c r="H348" t="s">
        <v>643</v>
      </c>
      <c r="I348" s="11">
        <v>2231975607</v>
      </c>
      <c r="J348" s="11">
        <v>2231975607</v>
      </c>
      <c r="K348" s="11">
        <v>2659379824</v>
      </c>
      <c r="L348" s="11">
        <v>37030406</v>
      </c>
      <c r="M348" s="11">
        <v>2622349418</v>
      </c>
      <c r="N348" s="11">
        <v>2659379824</v>
      </c>
      <c r="O348" s="11">
        <v>37030406</v>
      </c>
      <c r="P348" s="11">
        <v>4854325025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6196224953</v>
      </c>
      <c r="X348" s="11">
        <v>1341899928</v>
      </c>
      <c r="Y348" s="17">
        <v>4854325025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6196224953</v>
      </c>
      <c r="AG348" s="11">
        <v>1341899928</v>
      </c>
      <c r="AH348" s="12">
        <v>4854325025</v>
      </c>
      <c r="AI348" s="11">
        <v>4854325025</v>
      </c>
      <c r="AJ348" s="11">
        <v>883296840</v>
      </c>
      <c r="AK348" s="11">
        <v>883296840</v>
      </c>
      <c r="AL348" s="11">
        <v>3971028185</v>
      </c>
      <c r="AM348" s="11">
        <v>4641978149</v>
      </c>
      <c r="AN348" s="11">
        <v>670949964</v>
      </c>
      <c r="AO348" s="11">
        <v>4641978149</v>
      </c>
      <c r="AP348" s="11">
        <v>0</v>
      </c>
      <c r="AQ348" s="11">
        <v>670949964</v>
      </c>
      <c r="AR348" t="s">
        <v>48</v>
      </c>
      <c r="AS348"/>
    </row>
    <row r="349" spans="1:48" hidden="1" x14ac:dyDescent="0.3">
      <c r="A349">
        <v>2023</v>
      </c>
      <c r="B349">
        <v>318</v>
      </c>
      <c r="C349">
        <v>11020600601</v>
      </c>
      <c r="D349" s="5" t="s">
        <v>44</v>
      </c>
      <c r="E349" s="8" t="s">
        <v>732</v>
      </c>
      <c r="F349">
        <v>11020600601</v>
      </c>
      <c r="G349" s="8" t="s">
        <v>614</v>
      </c>
      <c r="H349" t="s">
        <v>643</v>
      </c>
      <c r="I349" s="11">
        <v>2231975607</v>
      </c>
      <c r="J349" s="11">
        <v>2231975607</v>
      </c>
      <c r="K349" s="11">
        <v>2659379824</v>
      </c>
      <c r="L349" s="11">
        <v>37030406</v>
      </c>
      <c r="M349" s="11">
        <v>2622349418</v>
      </c>
      <c r="N349" s="11">
        <v>2659379824</v>
      </c>
      <c r="O349" s="11">
        <v>37030406</v>
      </c>
      <c r="P349" s="11">
        <v>4854325025</v>
      </c>
      <c r="Q349" s="11">
        <v>0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6196224953</v>
      </c>
      <c r="X349" s="11">
        <v>1341899928</v>
      </c>
      <c r="Y349" s="17">
        <v>4854325025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6196224953</v>
      </c>
      <c r="AG349" s="11">
        <v>1341899928</v>
      </c>
      <c r="AH349" s="12">
        <v>4854325025</v>
      </c>
      <c r="AI349" s="11">
        <v>4854325025</v>
      </c>
      <c r="AJ349" s="11">
        <v>883296840</v>
      </c>
      <c r="AK349" s="11">
        <v>883296840</v>
      </c>
      <c r="AL349" s="11">
        <v>3971028185</v>
      </c>
      <c r="AM349" s="11">
        <v>4641978149</v>
      </c>
      <c r="AN349" s="11">
        <v>670949964</v>
      </c>
      <c r="AO349" s="11">
        <v>4641978149</v>
      </c>
      <c r="AP349" s="11">
        <v>0</v>
      </c>
      <c r="AQ349" s="11">
        <v>670949964</v>
      </c>
      <c r="AR349" t="s">
        <v>48</v>
      </c>
      <c r="AS349"/>
    </row>
    <row r="350" spans="1:48" x14ac:dyDescent="0.3">
      <c r="A350">
        <v>2023</v>
      </c>
      <c r="B350">
        <v>318</v>
      </c>
      <c r="C350">
        <v>1102060060101</v>
      </c>
      <c r="D350" s="5">
        <v>110</v>
      </c>
      <c r="E350" s="8" t="s">
        <v>733</v>
      </c>
      <c r="F350">
        <v>1102060060101</v>
      </c>
      <c r="G350" s="8" t="s">
        <v>734</v>
      </c>
      <c r="H350" t="s">
        <v>643</v>
      </c>
      <c r="I350" s="11">
        <v>1902238000</v>
      </c>
      <c r="J350" s="11">
        <v>1902238000</v>
      </c>
      <c r="K350" s="11">
        <v>878287000</v>
      </c>
      <c r="L350" s="11">
        <v>0</v>
      </c>
      <c r="M350" s="11">
        <v>878287000</v>
      </c>
      <c r="N350" s="11">
        <v>878287000</v>
      </c>
      <c r="O350" s="11">
        <v>0</v>
      </c>
      <c r="P350" s="11">
        <v>2780525000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3451474964</v>
      </c>
      <c r="X350" s="11">
        <v>670949964</v>
      </c>
      <c r="Y350" s="17">
        <v>2780525000</v>
      </c>
      <c r="Z350" s="11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3451474964</v>
      </c>
      <c r="AG350" s="11">
        <v>670949964</v>
      </c>
      <c r="AH350" s="12">
        <v>2780525000</v>
      </c>
      <c r="AI350" s="11">
        <v>2780525000</v>
      </c>
      <c r="AJ350" s="11">
        <v>-670949964</v>
      </c>
      <c r="AK350" s="11">
        <v>-670949964</v>
      </c>
      <c r="AL350" s="11">
        <v>3451474964</v>
      </c>
      <c r="AM350" s="11">
        <v>3451474964</v>
      </c>
      <c r="AN350" s="11">
        <v>0</v>
      </c>
      <c r="AO350" s="11">
        <v>3451474964</v>
      </c>
      <c r="AP350" s="11">
        <v>0</v>
      </c>
      <c r="AQ350" s="11">
        <v>0</v>
      </c>
      <c r="AR350" t="s">
        <v>1241</v>
      </c>
      <c r="AS350" s="4" t="str">
        <f t="shared" ref="AS350:AS353" si="72">+G350</f>
        <v>Ministerio de Salud - Programa Inimputables</v>
      </c>
      <c r="AT350" t="str">
        <f t="shared" ref="AT350:AT355" si="73">+D350&amp;AS350&amp;Y350</f>
        <v>110Ministerio de Salud - Programa Inimputables2780525000</v>
      </c>
      <c r="AU350" t="str">
        <f>+_xlfn.XLOOKUP(AT350,CRUCE!K:K,CRUCE!M:M)</f>
        <v>READY</v>
      </c>
      <c r="AV350" t="s">
        <v>1907</v>
      </c>
    </row>
    <row r="351" spans="1:48" x14ac:dyDescent="0.3">
      <c r="A351">
        <v>2023</v>
      </c>
      <c r="B351">
        <v>318</v>
      </c>
      <c r="C351">
        <v>1102060060102</v>
      </c>
      <c r="D351" s="5">
        <v>111</v>
      </c>
      <c r="E351" s="8" t="s">
        <v>736</v>
      </c>
      <c r="F351">
        <v>1102060060102</v>
      </c>
      <c r="G351" s="8" t="s">
        <v>737</v>
      </c>
      <c r="H351" t="s">
        <v>643</v>
      </c>
      <c r="I351" s="11">
        <v>241380734</v>
      </c>
      <c r="J351" s="11">
        <v>241380734</v>
      </c>
      <c r="K351" s="11">
        <v>7738752</v>
      </c>
      <c r="L351" s="11">
        <v>0</v>
      </c>
      <c r="M351" s="11">
        <v>7738752</v>
      </c>
      <c r="N351" s="11">
        <v>7738752</v>
      </c>
      <c r="O351" s="11">
        <v>0</v>
      </c>
      <c r="P351" s="11">
        <v>249119486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249119486</v>
      </c>
      <c r="X351" s="11">
        <v>0</v>
      </c>
      <c r="Y351" s="17">
        <v>249119486</v>
      </c>
      <c r="Z351" s="11">
        <v>0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249119486</v>
      </c>
      <c r="AG351" s="11">
        <v>0</v>
      </c>
      <c r="AH351" s="12">
        <v>249119486</v>
      </c>
      <c r="AI351" s="11">
        <v>249119486</v>
      </c>
      <c r="AJ351" s="11">
        <v>0</v>
      </c>
      <c r="AK351" s="11">
        <v>0</v>
      </c>
      <c r="AL351" s="11">
        <v>249119486</v>
      </c>
      <c r="AM351" s="11">
        <v>249119486</v>
      </c>
      <c r="AN351" s="11">
        <v>0</v>
      </c>
      <c r="AO351" s="11">
        <v>249119486</v>
      </c>
      <c r="AP351" s="11">
        <v>0</v>
      </c>
      <c r="AQ351" s="11">
        <v>0</v>
      </c>
      <c r="AR351" t="s">
        <v>1242</v>
      </c>
      <c r="AS351" s="4" t="str">
        <f t="shared" si="72"/>
        <v>Min Salud, Program Prevencion y Control de Enfermedades por Vectores</v>
      </c>
      <c r="AT351" t="str">
        <f t="shared" si="73"/>
        <v>111Min Salud, Program Prevencion y Control de Enfermedades por Vectores249119486</v>
      </c>
      <c r="AU351" t="str">
        <f>+_xlfn.XLOOKUP(AT351,CRUCE!K:K,CRUCE!M:M)</f>
        <v>READY</v>
      </c>
      <c r="AV351" t="s">
        <v>1907</v>
      </c>
    </row>
    <row r="352" spans="1:48" x14ac:dyDescent="0.3">
      <c r="A352">
        <v>2023</v>
      </c>
      <c r="B352">
        <v>318</v>
      </c>
      <c r="C352">
        <v>1102060060103</v>
      </c>
      <c r="D352" s="5">
        <v>113</v>
      </c>
      <c r="E352" s="8" t="s">
        <v>739</v>
      </c>
      <c r="F352">
        <v>1102060060103</v>
      </c>
      <c r="G352" s="8" t="s">
        <v>740</v>
      </c>
      <c r="H352" t="s">
        <v>643</v>
      </c>
      <c r="I352" s="11">
        <v>26166434</v>
      </c>
      <c r="J352" s="11">
        <v>26166434</v>
      </c>
      <c r="K352" s="11">
        <v>219107268</v>
      </c>
      <c r="L352" s="11">
        <v>0</v>
      </c>
      <c r="M352" s="11">
        <v>219107268</v>
      </c>
      <c r="N352" s="11">
        <v>219107268</v>
      </c>
      <c r="O352" s="11">
        <v>0</v>
      </c>
      <c r="P352" s="11">
        <v>245273702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245273702</v>
      </c>
      <c r="X352" s="11">
        <v>0</v>
      </c>
      <c r="Y352" s="17">
        <v>245273702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245273702</v>
      </c>
      <c r="AG352" s="11">
        <v>0</v>
      </c>
      <c r="AH352" s="12">
        <v>245273702</v>
      </c>
      <c r="AI352" s="11">
        <v>245273702</v>
      </c>
      <c r="AJ352" s="11">
        <v>0</v>
      </c>
      <c r="AK352" s="11">
        <v>0</v>
      </c>
      <c r="AL352" s="11">
        <v>245273702</v>
      </c>
      <c r="AM352" s="11">
        <v>245273702</v>
      </c>
      <c r="AN352" s="11">
        <v>0</v>
      </c>
      <c r="AO352" s="11">
        <v>245273702</v>
      </c>
      <c r="AP352" s="11">
        <v>0</v>
      </c>
      <c r="AQ352" s="11">
        <v>0</v>
      </c>
      <c r="AR352" t="s">
        <v>1243</v>
      </c>
      <c r="AS352" s="4" t="str">
        <f t="shared" si="72"/>
        <v>Min. Salud - Campaña y Control Antituberculosis Quindio</v>
      </c>
      <c r="AT352" t="str">
        <f t="shared" si="73"/>
        <v>113Min. Salud - Campaña y Control Antituberculosis Quindio245273702</v>
      </c>
      <c r="AU352" t="str">
        <f>+_xlfn.XLOOKUP(AT352,CRUCE!K:K,CRUCE!M:M)</f>
        <v>READY</v>
      </c>
      <c r="AV352" t="s">
        <v>1907</v>
      </c>
    </row>
    <row r="353" spans="1:48" x14ac:dyDescent="0.3">
      <c r="A353">
        <v>2023</v>
      </c>
      <c r="B353">
        <v>318</v>
      </c>
      <c r="C353">
        <v>1102060060104</v>
      </c>
      <c r="D353" s="5">
        <v>114</v>
      </c>
      <c r="E353" s="8" t="s">
        <v>742</v>
      </c>
      <c r="F353">
        <v>1102060060104</v>
      </c>
      <c r="G353" s="8" t="s">
        <v>743</v>
      </c>
      <c r="H353" t="s">
        <v>643</v>
      </c>
      <c r="I353" s="11">
        <v>62190439</v>
      </c>
      <c r="J353" s="11">
        <v>62190439</v>
      </c>
      <c r="K353" s="11">
        <v>0</v>
      </c>
      <c r="L353" s="11">
        <v>37030406</v>
      </c>
      <c r="M353" s="11">
        <v>-37030406</v>
      </c>
      <c r="N353" s="11">
        <v>0</v>
      </c>
      <c r="O353" s="11">
        <v>37030406</v>
      </c>
      <c r="P353" s="11">
        <v>25160033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25160033</v>
      </c>
      <c r="X353" s="11">
        <v>0</v>
      </c>
      <c r="Y353" s="17">
        <v>25160033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25160033</v>
      </c>
      <c r="AG353" s="11">
        <v>0</v>
      </c>
      <c r="AH353" s="12">
        <v>25160033</v>
      </c>
      <c r="AI353" s="11">
        <v>25160033</v>
      </c>
      <c r="AJ353" s="11">
        <v>0</v>
      </c>
      <c r="AK353" s="11">
        <v>0</v>
      </c>
      <c r="AL353" s="11">
        <v>25160033</v>
      </c>
      <c r="AM353" s="11">
        <v>25160033</v>
      </c>
      <c r="AN353" s="11">
        <v>0</v>
      </c>
      <c r="AO353" s="11">
        <v>25160033</v>
      </c>
      <c r="AP353" s="11">
        <v>0</v>
      </c>
      <c r="AQ353" s="11">
        <v>0</v>
      </c>
      <c r="AR353" t="s">
        <v>1244</v>
      </c>
      <c r="AS353" s="4" t="str">
        <f t="shared" si="72"/>
        <v>Min. Salud - Campaña Control Lepra Quindio</v>
      </c>
      <c r="AT353" t="str">
        <f t="shared" si="73"/>
        <v>114Min. Salud - Campaña Control Lepra Quindio25160033</v>
      </c>
      <c r="AU353" t="str">
        <f>+_xlfn.XLOOKUP(AT353,CRUCE!K:K,CRUCE!M:M)</f>
        <v>READY</v>
      </c>
      <c r="AV353" t="s">
        <v>1907</v>
      </c>
    </row>
    <row r="354" spans="1:48" x14ac:dyDescent="0.3">
      <c r="A354">
        <v>2023</v>
      </c>
      <c r="B354">
        <v>318</v>
      </c>
      <c r="C354">
        <v>1102060060110</v>
      </c>
      <c r="D354" s="5">
        <v>224</v>
      </c>
      <c r="E354" s="8" t="s">
        <v>1249</v>
      </c>
      <c r="F354">
        <v>1102060060110</v>
      </c>
      <c r="G354" s="8" t="s">
        <v>1421</v>
      </c>
      <c r="H354" t="s">
        <v>643</v>
      </c>
      <c r="I354" s="11">
        <v>0</v>
      </c>
      <c r="J354" s="11">
        <v>0</v>
      </c>
      <c r="K354" s="11">
        <v>883296840</v>
      </c>
      <c r="L354" s="11">
        <v>0</v>
      </c>
      <c r="M354" s="11">
        <v>883296840</v>
      </c>
      <c r="N354" s="11">
        <v>883296840</v>
      </c>
      <c r="O354" s="11">
        <v>0</v>
      </c>
      <c r="P354" s="11">
        <v>883296840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883296840</v>
      </c>
      <c r="X354" s="11">
        <v>0</v>
      </c>
      <c r="Y354" s="17">
        <v>883296840</v>
      </c>
      <c r="Z354" s="11">
        <v>0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883296840</v>
      </c>
      <c r="AG354" s="11">
        <v>0</v>
      </c>
      <c r="AH354" s="12">
        <v>883296840</v>
      </c>
      <c r="AI354" s="11">
        <v>883296840</v>
      </c>
      <c r="AJ354" s="11">
        <v>883296840</v>
      </c>
      <c r="AK354" s="11">
        <v>883296840</v>
      </c>
      <c r="AL354" s="11">
        <v>0</v>
      </c>
      <c r="AM354" s="11">
        <v>0</v>
      </c>
      <c r="AN354" s="11">
        <v>0</v>
      </c>
      <c r="AO354" s="11">
        <v>0</v>
      </c>
      <c r="AP354" s="11">
        <v>0</v>
      </c>
      <c r="AQ354" s="11">
        <v>0</v>
      </c>
      <c r="AR354" t="s">
        <v>1251</v>
      </c>
      <c r="AS354" s="4" t="s">
        <v>1250</v>
      </c>
      <c r="AT354" t="str">
        <f t="shared" si="73"/>
        <v>224Min. Salud - Resolucion 1199 de 2022 Urgencias Poblacion Migrante883296840</v>
      </c>
      <c r="AU354" t="str">
        <f>+_xlfn.XLOOKUP(AT354,CRUCE!K:K,CRUCE!M:M)</f>
        <v>READY</v>
      </c>
      <c r="AV354" t="s">
        <v>1907</v>
      </c>
    </row>
    <row r="355" spans="1:48" x14ac:dyDescent="0.3">
      <c r="A355">
        <v>2023</v>
      </c>
      <c r="B355">
        <v>318</v>
      </c>
      <c r="C355">
        <v>1102060060112</v>
      </c>
      <c r="D355" s="5">
        <v>180</v>
      </c>
      <c r="E355" s="8" t="s">
        <v>1422</v>
      </c>
      <c r="F355">
        <v>1102060060112</v>
      </c>
      <c r="G355" s="8" t="s">
        <v>1423</v>
      </c>
      <c r="H355" t="s">
        <v>643</v>
      </c>
      <c r="I355" s="11">
        <v>0</v>
      </c>
      <c r="J355" s="11">
        <v>0</v>
      </c>
      <c r="K355" s="11">
        <v>670949964</v>
      </c>
      <c r="L355" s="11">
        <v>0</v>
      </c>
      <c r="M355" s="11">
        <v>670949964</v>
      </c>
      <c r="N355" s="11">
        <v>670949964</v>
      </c>
      <c r="O355" s="11">
        <v>0</v>
      </c>
      <c r="P355" s="11">
        <v>670949964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1341899928</v>
      </c>
      <c r="X355" s="11">
        <v>670949964</v>
      </c>
      <c r="Y355" s="17">
        <v>670949964</v>
      </c>
      <c r="Z355" s="11">
        <v>0</v>
      </c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11">
        <v>1341899928</v>
      </c>
      <c r="AG355" s="11">
        <v>670949964</v>
      </c>
      <c r="AH355" s="12">
        <v>670949964</v>
      </c>
      <c r="AI355" s="11">
        <v>670949964</v>
      </c>
      <c r="AJ355" s="11">
        <v>670949964</v>
      </c>
      <c r="AK355" s="11">
        <v>670949964</v>
      </c>
      <c r="AL355" s="11">
        <v>0</v>
      </c>
      <c r="AM355" s="11">
        <v>670949964</v>
      </c>
      <c r="AN355" s="11">
        <v>670949964</v>
      </c>
      <c r="AO355" s="11">
        <v>670949964</v>
      </c>
      <c r="AP355" s="11">
        <v>0</v>
      </c>
      <c r="AQ355" s="11">
        <v>670949964</v>
      </c>
      <c r="AR355" t="s">
        <v>1254</v>
      </c>
      <c r="AS355" s="4" t="str">
        <f>+G355</f>
        <v>Min Salud Res 403 del 21 Marzo_23 para Cofinanciar el Procedimiento de Certificación  de Discapacida</v>
      </c>
      <c r="AT355" t="str">
        <f t="shared" si="73"/>
        <v>180Min Salud Res 403 del 21 Marzo_23 para Cofinanciar el Procedimiento de Certificación  de Discapacida670949964</v>
      </c>
      <c r="AU355" t="str">
        <f>+_xlfn.XLOOKUP(AT355,CRUCE!K:K,CRUCE!M:M)</f>
        <v>READY</v>
      </c>
      <c r="AV355" t="s">
        <v>1907</v>
      </c>
    </row>
    <row r="356" spans="1:48" hidden="1" x14ac:dyDescent="0.3">
      <c r="A356">
        <v>2023</v>
      </c>
      <c r="B356">
        <v>318</v>
      </c>
      <c r="C356">
        <v>110207</v>
      </c>
      <c r="D356" s="5" t="s">
        <v>44</v>
      </c>
      <c r="E356" s="8" t="s">
        <v>757</v>
      </c>
      <c r="F356">
        <v>110207</v>
      </c>
      <c r="G356" s="8" t="s">
        <v>347</v>
      </c>
      <c r="H356" t="s">
        <v>643</v>
      </c>
      <c r="I356" s="11">
        <v>18883079501.880001</v>
      </c>
      <c r="J356" s="11">
        <v>18883079501.880001</v>
      </c>
      <c r="K356" s="11">
        <v>3619565219</v>
      </c>
      <c r="L356" s="11">
        <v>0</v>
      </c>
      <c r="M356" s="11">
        <v>3619565219</v>
      </c>
      <c r="N356" s="11">
        <v>3619565219</v>
      </c>
      <c r="O356" s="11">
        <v>0</v>
      </c>
      <c r="P356" s="11">
        <v>22502644720.880001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24938981826.509998</v>
      </c>
      <c r="X356" s="11">
        <v>1158896388.8800001</v>
      </c>
      <c r="Y356" s="17">
        <v>23780085437.630001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24938981826.509998</v>
      </c>
      <c r="AG356" s="11">
        <v>1158896388.8800001</v>
      </c>
      <c r="AH356" s="12">
        <v>23780085437.630001</v>
      </c>
      <c r="AI356" s="11">
        <v>23780085437.630001</v>
      </c>
      <c r="AJ356" s="11">
        <v>9798837596.8500004</v>
      </c>
      <c r="AK356" s="11">
        <v>9798837596.8500004</v>
      </c>
      <c r="AL356" s="11">
        <v>13981247840.780001</v>
      </c>
      <c r="AM356" s="11">
        <v>14448978174.66</v>
      </c>
      <c r="AN356" s="11">
        <v>467730333.88</v>
      </c>
      <c r="AO356" s="11">
        <v>14448978174.66</v>
      </c>
      <c r="AP356" s="11">
        <v>0</v>
      </c>
      <c r="AQ356" s="11">
        <v>467730333.88</v>
      </c>
      <c r="AR356" t="s">
        <v>48</v>
      </c>
      <c r="AS356"/>
    </row>
    <row r="357" spans="1:48" hidden="1" x14ac:dyDescent="0.3">
      <c r="A357">
        <v>2023</v>
      </c>
      <c r="B357">
        <v>318</v>
      </c>
      <c r="C357">
        <v>110207001</v>
      </c>
      <c r="D357" s="5" t="s">
        <v>44</v>
      </c>
      <c r="E357" s="8" t="s">
        <v>758</v>
      </c>
      <c r="F357">
        <v>110207001</v>
      </c>
      <c r="G357" s="8" t="s">
        <v>759</v>
      </c>
      <c r="H357" t="s">
        <v>643</v>
      </c>
      <c r="I357" s="11">
        <v>9493046612</v>
      </c>
      <c r="J357" s="11">
        <v>9493046612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9493046612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11172463572.940001</v>
      </c>
      <c r="X357" s="11">
        <v>71846142</v>
      </c>
      <c r="Y357" s="17">
        <v>11100617430.940001</v>
      </c>
      <c r="Z357" s="11">
        <v>0</v>
      </c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11">
        <v>11172463572.940001</v>
      </c>
      <c r="AG357" s="11">
        <v>71846142</v>
      </c>
      <c r="AH357" s="12">
        <v>11100617430.940001</v>
      </c>
      <c r="AI357" s="11">
        <v>11100617430.940001</v>
      </c>
      <c r="AJ357" s="11">
        <v>8325463072.4399996</v>
      </c>
      <c r="AK357" s="11">
        <v>8325463072.4399996</v>
      </c>
      <c r="AL357" s="11">
        <v>2775154358.5</v>
      </c>
      <c r="AM357" s="11">
        <v>2788939130.5</v>
      </c>
      <c r="AN357" s="11">
        <v>13784772</v>
      </c>
      <c r="AO357" s="11">
        <v>2788939130.5</v>
      </c>
      <c r="AP357" s="11">
        <v>0</v>
      </c>
      <c r="AQ357" s="11">
        <v>13784772</v>
      </c>
      <c r="AR357" t="s">
        <v>48</v>
      </c>
      <c r="AS357"/>
    </row>
    <row r="358" spans="1:48" hidden="1" x14ac:dyDescent="0.3">
      <c r="A358">
        <v>2023</v>
      </c>
      <c r="B358">
        <v>318</v>
      </c>
      <c r="C358">
        <v>11020700103</v>
      </c>
      <c r="D358" s="5" t="s">
        <v>44</v>
      </c>
      <c r="E358" s="8" t="s">
        <v>760</v>
      </c>
      <c r="F358">
        <v>11020700103</v>
      </c>
      <c r="G358" s="8" t="s">
        <v>761</v>
      </c>
      <c r="H358" t="s">
        <v>643</v>
      </c>
      <c r="I358" s="11">
        <v>2170409040</v>
      </c>
      <c r="J358" s="11">
        <v>2170409040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2170409040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2858308232</v>
      </c>
      <c r="X358" s="11">
        <v>13784772</v>
      </c>
      <c r="Y358" s="17">
        <v>2844523460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2858308232</v>
      </c>
      <c r="AG358" s="11">
        <v>13784772</v>
      </c>
      <c r="AH358" s="12">
        <v>2844523460</v>
      </c>
      <c r="AI358" s="11">
        <v>2844523460</v>
      </c>
      <c r="AJ358" s="11">
        <v>2133392595</v>
      </c>
      <c r="AK358" s="11">
        <v>2133392595</v>
      </c>
      <c r="AL358" s="11">
        <v>711130865</v>
      </c>
      <c r="AM358" s="11">
        <v>724915637</v>
      </c>
      <c r="AN358" s="11">
        <v>13784772</v>
      </c>
      <c r="AO358" s="11">
        <v>724915637</v>
      </c>
      <c r="AP358" s="11">
        <v>0</v>
      </c>
      <c r="AQ358" s="11">
        <v>13784772</v>
      </c>
      <c r="AR358" t="s">
        <v>48</v>
      </c>
      <c r="AS358"/>
    </row>
    <row r="359" spans="1:48" x14ac:dyDescent="0.3">
      <c r="A359">
        <v>2023</v>
      </c>
      <c r="B359">
        <v>318</v>
      </c>
      <c r="C359">
        <v>1102070010301</v>
      </c>
      <c r="D359" s="5">
        <v>154</v>
      </c>
      <c r="E359" s="8" t="s">
        <v>762</v>
      </c>
      <c r="F359">
        <v>1102070010301</v>
      </c>
      <c r="G359" s="8" t="s">
        <v>1255</v>
      </c>
      <c r="H359" t="s">
        <v>643</v>
      </c>
      <c r="I359" s="11">
        <v>1106908610</v>
      </c>
      <c r="J359" s="11">
        <v>1106908610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1106908610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1620364288</v>
      </c>
      <c r="X359" s="11">
        <v>0</v>
      </c>
      <c r="Y359" s="17">
        <v>1620364288</v>
      </c>
      <c r="Z359" s="11">
        <v>0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1620364288</v>
      </c>
      <c r="AG359" s="11">
        <v>0</v>
      </c>
      <c r="AH359" s="12">
        <v>1620364288</v>
      </c>
      <c r="AI359" s="11">
        <v>1620364288</v>
      </c>
      <c r="AJ359" s="11">
        <v>1620364288</v>
      </c>
      <c r="AK359" s="11">
        <v>1620364288</v>
      </c>
      <c r="AL359" s="11">
        <v>0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t="s">
        <v>651</v>
      </c>
      <c r="AS359" s="4" t="str">
        <f t="shared" ref="AS359:AS364" si="74">+G359</f>
        <v>Explotacion Sorteo Ordinario 68%</v>
      </c>
      <c r="AT359" t="str">
        <f t="shared" ref="AT359:AT364" si="75">+D359&amp;AS359&amp;Y359</f>
        <v>154Explotacion Sorteo Ordinario 68%1620364288</v>
      </c>
      <c r="AU359" t="str">
        <f>+_xlfn.XLOOKUP(AT359,CRUCE!K:K,CRUCE!M:M)</f>
        <v>READY</v>
      </c>
      <c r="AV359" t="s">
        <v>1907</v>
      </c>
    </row>
    <row r="360" spans="1:48" x14ac:dyDescent="0.3">
      <c r="A360">
        <v>2023</v>
      </c>
      <c r="B360">
        <v>318</v>
      </c>
      <c r="C360">
        <v>1102070010302</v>
      </c>
      <c r="D360" s="5">
        <v>154</v>
      </c>
      <c r="E360" s="8" t="s">
        <v>763</v>
      </c>
      <c r="F360">
        <v>1102070010302</v>
      </c>
      <c r="G360" s="8" t="s">
        <v>764</v>
      </c>
      <c r="H360" t="s">
        <v>643</v>
      </c>
      <c r="I360" s="11">
        <v>368969537</v>
      </c>
      <c r="J360" s="11">
        <v>368969537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368969537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313911665</v>
      </c>
      <c r="X360" s="11">
        <v>0</v>
      </c>
      <c r="Y360" s="17">
        <v>313911665</v>
      </c>
      <c r="Z360" s="11">
        <v>0</v>
      </c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v>313911665</v>
      </c>
      <c r="AG360" s="11">
        <v>0</v>
      </c>
      <c r="AH360" s="12">
        <v>313911665</v>
      </c>
      <c r="AI360" s="11">
        <v>313911665</v>
      </c>
      <c r="AJ360" s="11">
        <v>313911665</v>
      </c>
      <c r="AK360" s="11">
        <v>313911665</v>
      </c>
      <c r="AL360" s="11">
        <v>0</v>
      </c>
      <c r="AM360" s="11">
        <v>0</v>
      </c>
      <c r="AN360" s="11">
        <v>0</v>
      </c>
      <c r="AO360" s="11">
        <v>0</v>
      </c>
      <c r="AP360" s="11">
        <v>0</v>
      </c>
      <c r="AQ360" s="11">
        <v>0</v>
      </c>
      <c r="AR360" t="s">
        <v>651</v>
      </c>
      <c r="AS360" s="4" t="str">
        <f t="shared" si="74"/>
        <v>Explotacion Sorteo Extraordinario 68%</v>
      </c>
      <c r="AT360" t="str">
        <f t="shared" si="75"/>
        <v>154Explotacion Sorteo Extraordinario 68%313911665</v>
      </c>
      <c r="AU360" t="str">
        <f>+_xlfn.XLOOKUP(AT360,CRUCE!K:K,CRUCE!M:M)</f>
        <v>READY</v>
      </c>
      <c r="AV360" t="s">
        <v>1907</v>
      </c>
    </row>
    <row r="361" spans="1:48" x14ac:dyDescent="0.3">
      <c r="A361">
        <v>2023</v>
      </c>
      <c r="B361">
        <v>318</v>
      </c>
      <c r="C361">
        <v>1102070010303</v>
      </c>
      <c r="D361" s="5">
        <v>72</v>
      </c>
      <c r="E361" s="8" t="s">
        <v>765</v>
      </c>
      <c r="F361">
        <v>1102070010303</v>
      </c>
      <c r="G361" s="8" t="s">
        <v>766</v>
      </c>
      <c r="H361" t="s">
        <v>643</v>
      </c>
      <c r="I361" s="11">
        <v>135650565</v>
      </c>
      <c r="J361" s="11">
        <v>135650565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135650565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115408700</v>
      </c>
      <c r="X361" s="11">
        <v>0</v>
      </c>
      <c r="Y361" s="17">
        <v>115408700</v>
      </c>
      <c r="Z361" s="11">
        <v>0</v>
      </c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11">
        <v>115408700</v>
      </c>
      <c r="AG361" s="11">
        <v>0</v>
      </c>
      <c r="AH361" s="12">
        <v>115408700</v>
      </c>
      <c r="AI361" s="11">
        <v>115408700</v>
      </c>
      <c r="AJ361" s="11">
        <v>0</v>
      </c>
      <c r="AK361" s="11">
        <v>0</v>
      </c>
      <c r="AL361" s="11">
        <v>115408700</v>
      </c>
      <c r="AM361" s="11">
        <v>115408700</v>
      </c>
      <c r="AN361" s="11">
        <v>0</v>
      </c>
      <c r="AO361" s="11">
        <v>115408700</v>
      </c>
      <c r="AP361" s="11">
        <v>0</v>
      </c>
      <c r="AQ361" s="11">
        <v>0</v>
      </c>
      <c r="AR361" t="s">
        <v>656</v>
      </c>
      <c r="AS361" s="4" t="str">
        <f t="shared" si="74"/>
        <v>Explotacion Sorteo Extraordinario 25%</v>
      </c>
      <c r="AT361" t="str">
        <f t="shared" si="75"/>
        <v>72Explotacion Sorteo Extraordinario 25%115408700</v>
      </c>
      <c r="AU361" t="str">
        <f>+_xlfn.XLOOKUP(AT361,CRUCE!K:K,CRUCE!M:M)</f>
        <v>READY</v>
      </c>
      <c r="AV361" t="s">
        <v>1907</v>
      </c>
    </row>
    <row r="362" spans="1:48" x14ac:dyDescent="0.3">
      <c r="A362">
        <v>2023</v>
      </c>
      <c r="B362">
        <v>318</v>
      </c>
      <c r="C362">
        <v>1102070010304</v>
      </c>
      <c r="D362" s="5">
        <v>72</v>
      </c>
      <c r="E362" s="8" t="s">
        <v>769</v>
      </c>
      <c r="F362">
        <v>1102070010304</v>
      </c>
      <c r="G362" s="8" t="s">
        <v>768</v>
      </c>
      <c r="H362" t="s">
        <v>643</v>
      </c>
      <c r="I362" s="11">
        <v>406951695</v>
      </c>
      <c r="J362" s="11">
        <v>406951695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406951695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609506937</v>
      </c>
      <c r="X362" s="11">
        <v>13784772</v>
      </c>
      <c r="Y362" s="17">
        <v>595722165</v>
      </c>
      <c r="Z362" s="11">
        <v>0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609506937</v>
      </c>
      <c r="AG362" s="11">
        <v>13784772</v>
      </c>
      <c r="AH362" s="12">
        <v>595722165</v>
      </c>
      <c r="AI362" s="11">
        <v>595722165</v>
      </c>
      <c r="AJ362" s="11">
        <v>0</v>
      </c>
      <c r="AK362" s="11">
        <v>0</v>
      </c>
      <c r="AL362" s="11">
        <v>595722165</v>
      </c>
      <c r="AM362" s="11">
        <v>609506937</v>
      </c>
      <c r="AN362" s="11">
        <v>13784772</v>
      </c>
      <c r="AO362" s="11">
        <v>609506937</v>
      </c>
      <c r="AP362" s="11">
        <v>0</v>
      </c>
      <c r="AQ362" s="11">
        <v>13784772</v>
      </c>
      <c r="AR362" t="s">
        <v>656</v>
      </c>
      <c r="AS362" s="4" t="str">
        <f t="shared" si="74"/>
        <v>Explotacion Sorteo Ordinario Loterias 25%</v>
      </c>
      <c r="AT362" t="str">
        <f t="shared" si="75"/>
        <v>72Explotacion Sorteo Ordinario Loterias 25%595722165</v>
      </c>
      <c r="AU362" t="str">
        <f>+_xlfn.XLOOKUP(AT362,CRUCE!K:K,CRUCE!M:M)</f>
        <v>READY</v>
      </c>
      <c r="AV362" t="s">
        <v>1907</v>
      </c>
    </row>
    <row r="363" spans="1:48" x14ac:dyDescent="0.3">
      <c r="A363">
        <v>2023</v>
      </c>
      <c r="B363">
        <v>318</v>
      </c>
      <c r="C363">
        <v>1102070010305</v>
      </c>
      <c r="D363" s="5">
        <v>181</v>
      </c>
      <c r="E363" s="8" t="s">
        <v>770</v>
      </c>
      <c r="F363">
        <v>1102070010305</v>
      </c>
      <c r="G363" s="8" t="s">
        <v>771</v>
      </c>
      <c r="H363" t="s">
        <v>643</v>
      </c>
      <c r="I363" s="11">
        <v>37982158</v>
      </c>
      <c r="J363" s="11">
        <v>37982158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37982158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32314436</v>
      </c>
      <c r="X363" s="11">
        <v>0</v>
      </c>
      <c r="Y363" s="17">
        <v>32314436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32314436</v>
      </c>
      <c r="AG363" s="11">
        <v>0</v>
      </c>
      <c r="AH363" s="12">
        <v>32314436</v>
      </c>
      <c r="AI363" s="11">
        <v>32314436</v>
      </c>
      <c r="AJ363" s="11">
        <v>32314436</v>
      </c>
      <c r="AK363" s="11">
        <v>32314436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0</v>
      </c>
      <c r="AR363" t="s">
        <v>661</v>
      </c>
      <c r="AS363" s="4" t="str">
        <f t="shared" si="74"/>
        <v>Colciencias 7%  Sorteo Extraordinario</v>
      </c>
      <c r="AT363" t="str">
        <f t="shared" si="75"/>
        <v>181Colciencias 7%  Sorteo Extraordinario32314436</v>
      </c>
      <c r="AU363" t="str">
        <f>+_xlfn.XLOOKUP(AT363,CRUCE!K:K,CRUCE!M:M)</f>
        <v>READY</v>
      </c>
      <c r="AV363" t="s">
        <v>1907</v>
      </c>
    </row>
    <row r="364" spans="1:48" x14ac:dyDescent="0.3">
      <c r="A364">
        <v>2023</v>
      </c>
      <c r="B364">
        <v>318</v>
      </c>
      <c r="C364">
        <v>1102070010306</v>
      </c>
      <c r="D364" s="5">
        <v>181</v>
      </c>
      <c r="E364" s="8" t="s">
        <v>772</v>
      </c>
      <c r="F364">
        <v>1102070010306</v>
      </c>
      <c r="G364" s="8" t="s">
        <v>773</v>
      </c>
      <c r="H364" t="s">
        <v>643</v>
      </c>
      <c r="I364" s="11">
        <v>113946475</v>
      </c>
      <c r="J364" s="11">
        <v>113946475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113946475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166802206</v>
      </c>
      <c r="X364" s="11">
        <v>0</v>
      </c>
      <c r="Y364" s="17">
        <v>166802206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166802206</v>
      </c>
      <c r="AG364" s="11">
        <v>0</v>
      </c>
      <c r="AH364" s="12">
        <v>166802206</v>
      </c>
      <c r="AI364" s="11">
        <v>166802206</v>
      </c>
      <c r="AJ364" s="11">
        <v>166802206</v>
      </c>
      <c r="AK364" s="11">
        <v>166802206</v>
      </c>
      <c r="AL364" s="11">
        <v>0</v>
      </c>
      <c r="AM364" s="11">
        <v>0</v>
      </c>
      <c r="AN364" s="11">
        <v>0</v>
      </c>
      <c r="AO364" s="11">
        <v>0</v>
      </c>
      <c r="AP364" s="11">
        <v>0</v>
      </c>
      <c r="AQ364" s="11">
        <v>0</v>
      </c>
      <c r="AR364" t="s">
        <v>661</v>
      </c>
      <c r="AS364" s="4" t="str">
        <f t="shared" si="74"/>
        <v>Colciencias 7% Explotacion Sorteo Ordinario</v>
      </c>
      <c r="AT364" t="str">
        <f t="shared" si="75"/>
        <v>181Colciencias 7% Explotacion Sorteo Ordinario166802206</v>
      </c>
      <c r="AU364" t="str">
        <f>+_xlfn.XLOOKUP(AT364,CRUCE!K:K,CRUCE!M:M)</f>
        <v>READY</v>
      </c>
      <c r="AV364" t="s">
        <v>1907</v>
      </c>
    </row>
    <row r="365" spans="1:48" hidden="1" x14ac:dyDescent="0.3">
      <c r="A365">
        <v>2023</v>
      </c>
      <c r="B365">
        <v>318</v>
      </c>
      <c r="C365">
        <v>11020700104</v>
      </c>
      <c r="D365" s="5" t="s">
        <v>44</v>
      </c>
      <c r="E365" s="8" t="s">
        <v>774</v>
      </c>
      <c r="F365">
        <v>11020700104</v>
      </c>
      <c r="G365" s="8" t="s">
        <v>775</v>
      </c>
      <c r="H365" t="s">
        <v>643</v>
      </c>
      <c r="I365" s="11">
        <v>6362968704</v>
      </c>
      <c r="J365" s="11">
        <v>6362968704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6362968704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7274400609.4399996</v>
      </c>
      <c r="X365" s="11">
        <v>0</v>
      </c>
      <c r="Y365" s="17">
        <v>7274400609.4399996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7274400609.4399996</v>
      </c>
      <c r="AG365" s="11">
        <v>0</v>
      </c>
      <c r="AH365" s="12">
        <v>7274400609.4399996</v>
      </c>
      <c r="AI365" s="11">
        <v>7274400609.4399996</v>
      </c>
      <c r="AJ365" s="11">
        <v>5455800456.4399996</v>
      </c>
      <c r="AK365" s="11">
        <v>5455800456.4399996</v>
      </c>
      <c r="AL365" s="11">
        <v>1818600153</v>
      </c>
      <c r="AM365" s="11">
        <v>1818600153</v>
      </c>
      <c r="AN365" s="11">
        <v>0</v>
      </c>
      <c r="AO365" s="11">
        <v>1818600153</v>
      </c>
      <c r="AP365" s="11">
        <v>0</v>
      </c>
      <c r="AQ365" s="11">
        <v>0</v>
      </c>
      <c r="AR365" t="s">
        <v>48</v>
      </c>
      <c r="AS365"/>
    </row>
    <row r="366" spans="1:48" x14ac:dyDescent="0.3">
      <c r="A366">
        <v>2023</v>
      </c>
      <c r="B366">
        <v>318</v>
      </c>
      <c r="C366">
        <v>1102070010401</v>
      </c>
      <c r="D366" s="5">
        <v>154</v>
      </c>
      <c r="E366" s="8" t="s">
        <v>776</v>
      </c>
      <c r="F366">
        <v>1102070010401</v>
      </c>
      <c r="G366" s="8" t="s">
        <v>777</v>
      </c>
      <c r="H366" t="s">
        <v>643</v>
      </c>
      <c r="I366" s="11">
        <v>4326818719</v>
      </c>
      <c r="J366" s="11">
        <v>4326818719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4326818719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4946592414.4399996</v>
      </c>
      <c r="X366" s="11">
        <v>0</v>
      </c>
      <c r="Y366" s="17">
        <v>4946592414.4399996</v>
      </c>
      <c r="Z366" s="11">
        <v>0</v>
      </c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11">
        <v>4946592414.4399996</v>
      </c>
      <c r="AG366" s="11">
        <v>0</v>
      </c>
      <c r="AH366" s="12">
        <v>4946592414.4399996</v>
      </c>
      <c r="AI366" s="11">
        <v>4946592414.4399996</v>
      </c>
      <c r="AJ366" s="11">
        <v>4946592414.4399996</v>
      </c>
      <c r="AK366" s="11">
        <v>4946592414.4399996</v>
      </c>
      <c r="AL366" s="11">
        <v>0</v>
      </c>
      <c r="AM366" s="11">
        <v>0</v>
      </c>
      <c r="AN366" s="11">
        <v>0</v>
      </c>
      <c r="AO366" s="11">
        <v>0</v>
      </c>
      <c r="AP366" s="11">
        <v>0</v>
      </c>
      <c r="AQ366" s="11">
        <v>0</v>
      </c>
      <c r="AR366" t="s">
        <v>651</v>
      </c>
      <c r="AS366" s="4" t="str">
        <f t="shared" ref="AS366:AS368" si="76">+G366</f>
        <v>Juegos y  Apuestas Permanentes  Régimen Subsidiado 68%</v>
      </c>
      <c r="AT366" t="str">
        <f t="shared" ref="AT366:AT368" si="77">+D366&amp;AS366&amp;Y366</f>
        <v>154Juegos y  Apuestas Permanentes  Régimen Subsidiado 68%4946592414,44</v>
      </c>
      <c r="AU366" t="str">
        <f>+_xlfn.XLOOKUP(AT366,CRUCE!K:K,CRUCE!M:M)</f>
        <v>READY</v>
      </c>
      <c r="AV366" t="s">
        <v>1907</v>
      </c>
    </row>
    <row r="367" spans="1:48" x14ac:dyDescent="0.3">
      <c r="A367">
        <v>2023</v>
      </c>
      <c r="B367">
        <v>318</v>
      </c>
      <c r="C367">
        <v>1102070010402</v>
      </c>
      <c r="D367" s="5">
        <v>72</v>
      </c>
      <c r="E367" s="8" t="s">
        <v>778</v>
      </c>
      <c r="F367">
        <v>1102070010402</v>
      </c>
      <c r="G367" s="8" t="s">
        <v>779</v>
      </c>
      <c r="H367" t="s">
        <v>643</v>
      </c>
      <c r="I367" s="11">
        <v>1590742176</v>
      </c>
      <c r="J367" s="11">
        <v>1590742176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1590742176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1818600153</v>
      </c>
      <c r="X367" s="11">
        <v>0</v>
      </c>
      <c r="Y367" s="17">
        <v>1818600153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1818600153</v>
      </c>
      <c r="AG367" s="11">
        <v>0</v>
      </c>
      <c r="AH367" s="12">
        <v>1818600153</v>
      </c>
      <c r="AI367" s="11">
        <v>1818600153</v>
      </c>
      <c r="AJ367" s="11">
        <v>0</v>
      </c>
      <c r="AK367" s="11">
        <v>0</v>
      </c>
      <c r="AL367" s="11">
        <v>1818600153</v>
      </c>
      <c r="AM367" s="11">
        <v>1818600153</v>
      </c>
      <c r="AN367" s="11">
        <v>0</v>
      </c>
      <c r="AO367" s="11">
        <v>1818600153</v>
      </c>
      <c r="AP367" s="11">
        <v>0</v>
      </c>
      <c r="AQ367" s="11">
        <v>0</v>
      </c>
      <c r="AR367" t="s">
        <v>656</v>
      </c>
      <c r="AS367" s="4" t="str">
        <f t="shared" si="76"/>
        <v>Juegos y Apuestas Permanentes  25%</v>
      </c>
      <c r="AT367" t="str">
        <f t="shared" si="77"/>
        <v>72Juegos y Apuestas Permanentes  25%1818600153</v>
      </c>
      <c r="AU367" t="str">
        <f>+_xlfn.XLOOKUP(AT367,CRUCE!K:K,CRUCE!M:M)</f>
        <v>READY</v>
      </c>
      <c r="AV367" t="s">
        <v>1907</v>
      </c>
    </row>
    <row r="368" spans="1:48" x14ac:dyDescent="0.3">
      <c r="A368">
        <v>2023</v>
      </c>
      <c r="B368">
        <v>318</v>
      </c>
      <c r="C368">
        <v>1102070010403</v>
      </c>
      <c r="D368" s="5">
        <v>181</v>
      </c>
      <c r="E368" s="8" t="s">
        <v>780</v>
      </c>
      <c r="F368">
        <v>1102070010403</v>
      </c>
      <c r="G368" s="8" t="s">
        <v>781</v>
      </c>
      <c r="H368" t="s">
        <v>643</v>
      </c>
      <c r="I368" s="11">
        <v>445407809</v>
      </c>
      <c r="J368" s="11">
        <v>445407809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445407809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509208042</v>
      </c>
      <c r="X368" s="11">
        <v>0</v>
      </c>
      <c r="Y368" s="17">
        <v>509208042</v>
      </c>
      <c r="Z368" s="11"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509208042</v>
      </c>
      <c r="AG368" s="11">
        <v>0</v>
      </c>
      <c r="AH368" s="12">
        <v>509208042</v>
      </c>
      <c r="AI368" s="11">
        <v>509208042</v>
      </c>
      <c r="AJ368" s="11">
        <v>509208042</v>
      </c>
      <c r="AK368" s="11">
        <v>509208042</v>
      </c>
      <c r="AL368" s="11">
        <v>0</v>
      </c>
      <c r="AM368" s="11">
        <v>0</v>
      </c>
      <c r="AN368" s="11">
        <v>0</v>
      </c>
      <c r="AO368" s="11">
        <v>0</v>
      </c>
      <c r="AP368" s="11">
        <v>0</v>
      </c>
      <c r="AQ368" s="11">
        <v>0</v>
      </c>
      <c r="AR368" t="s">
        <v>661</v>
      </c>
      <c r="AS368" s="4" t="str">
        <f t="shared" si="76"/>
        <v>Colciencias 7% Juegos Y Apuestas Permanentes</v>
      </c>
      <c r="AT368" t="str">
        <f t="shared" si="77"/>
        <v>181Colciencias 7% Juegos Y Apuestas Permanentes509208042</v>
      </c>
      <c r="AU368" t="str">
        <f>+_xlfn.XLOOKUP(AT368,CRUCE!K:K,CRUCE!M:M)</f>
        <v>READY</v>
      </c>
      <c r="AV368" t="s">
        <v>1907</v>
      </c>
    </row>
    <row r="369" spans="1:48" hidden="1" x14ac:dyDescent="0.3">
      <c r="A369">
        <v>2023</v>
      </c>
      <c r="B369">
        <v>318</v>
      </c>
      <c r="C369">
        <v>11020700105</v>
      </c>
      <c r="D369" s="5" t="s">
        <v>44</v>
      </c>
      <c r="E369" s="8" t="s">
        <v>782</v>
      </c>
      <c r="F369">
        <v>11020700105</v>
      </c>
      <c r="G369" s="8" t="s">
        <v>783</v>
      </c>
      <c r="H369" t="s">
        <v>643</v>
      </c>
      <c r="I369" s="11">
        <v>31137815</v>
      </c>
      <c r="J369" s="11">
        <v>31137815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31137815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33098817.5</v>
      </c>
      <c r="X369" s="11">
        <v>0</v>
      </c>
      <c r="Y369" s="17">
        <v>33098817.5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33098817.5</v>
      </c>
      <c r="AG369" s="11">
        <v>0</v>
      </c>
      <c r="AH369" s="12">
        <v>33098817.5</v>
      </c>
      <c r="AI369" s="11">
        <v>33098817.5</v>
      </c>
      <c r="AJ369" s="11">
        <v>24824113</v>
      </c>
      <c r="AK369" s="11">
        <v>24824113</v>
      </c>
      <c r="AL369" s="11">
        <v>8274704.5</v>
      </c>
      <c r="AM369" s="11">
        <v>8274704.5</v>
      </c>
      <c r="AN369" s="11">
        <v>0</v>
      </c>
      <c r="AO369" s="11">
        <v>8274704.5</v>
      </c>
      <c r="AP369" s="11">
        <v>0</v>
      </c>
      <c r="AQ369" s="11">
        <v>0</v>
      </c>
      <c r="AR369" t="s">
        <v>48</v>
      </c>
      <c r="AS369"/>
    </row>
    <row r="370" spans="1:48" x14ac:dyDescent="0.3">
      <c r="A370">
        <v>2023</v>
      </c>
      <c r="B370">
        <v>318</v>
      </c>
      <c r="C370">
        <v>1102070010501</v>
      </c>
      <c r="D370" s="5">
        <v>154</v>
      </c>
      <c r="E370" s="8" t="s">
        <v>784</v>
      </c>
      <c r="F370">
        <v>1102070010501</v>
      </c>
      <c r="G370" s="8" t="s">
        <v>785</v>
      </c>
      <c r="H370" t="s">
        <v>643</v>
      </c>
      <c r="I370" s="11">
        <v>21173714</v>
      </c>
      <c r="J370" s="11">
        <v>21173714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21173714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22507196</v>
      </c>
      <c r="X370" s="11">
        <v>0</v>
      </c>
      <c r="Y370" s="17">
        <v>22507196</v>
      </c>
      <c r="Z370" s="11">
        <v>0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22507196</v>
      </c>
      <c r="AG370" s="11">
        <v>0</v>
      </c>
      <c r="AH370" s="12">
        <v>22507196</v>
      </c>
      <c r="AI370" s="11">
        <v>22507196</v>
      </c>
      <c r="AJ370" s="11">
        <v>22507196</v>
      </c>
      <c r="AK370" s="11">
        <v>22507196</v>
      </c>
      <c r="AL370" s="11">
        <v>0</v>
      </c>
      <c r="AM370" s="11">
        <v>0</v>
      </c>
      <c r="AN370" s="11">
        <v>0</v>
      </c>
      <c r="AO370" s="11">
        <v>0</v>
      </c>
      <c r="AP370" s="11">
        <v>0</v>
      </c>
      <c r="AQ370" s="11">
        <v>0</v>
      </c>
      <c r="AR370" t="s">
        <v>651</v>
      </c>
      <c r="AS370" s="4" t="str">
        <f t="shared" ref="AS370:AS372" si="78">+G370</f>
        <v>Rifas Departamentales 68%</v>
      </c>
      <c r="AT370" t="str">
        <f t="shared" ref="AT370:AT372" si="79">+D370&amp;AS370&amp;Y370</f>
        <v>154Rifas Departamentales 68%22507196</v>
      </c>
      <c r="AU370" t="str">
        <f>+_xlfn.XLOOKUP(AT370,CRUCE!K:K,CRUCE!M:M)</f>
        <v>READY</v>
      </c>
      <c r="AV370" t="s">
        <v>1907</v>
      </c>
    </row>
    <row r="371" spans="1:48" x14ac:dyDescent="0.3">
      <c r="A371">
        <v>2023</v>
      </c>
      <c r="B371">
        <v>318</v>
      </c>
      <c r="C371">
        <v>1102070010502</v>
      </c>
      <c r="D371" s="5">
        <v>72</v>
      </c>
      <c r="E371" s="8" t="s">
        <v>786</v>
      </c>
      <c r="F371">
        <v>1102070010502</v>
      </c>
      <c r="G371" s="8" t="s">
        <v>787</v>
      </c>
      <c r="H371" t="s">
        <v>643</v>
      </c>
      <c r="I371" s="11">
        <v>7784454</v>
      </c>
      <c r="J371" s="11">
        <v>7784454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7784454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8274704.5</v>
      </c>
      <c r="X371" s="11">
        <v>0</v>
      </c>
      <c r="Y371" s="17">
        <v>8274704.5</v>
      </c>
      <c r="Z371" s="11">
        <v>0</v>
      </c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8274704.5</v>
      </c>
      <c r="AG371" s="11">
        <v>0</v>
      </c>
      <c r="AH371" s="12">
        <v>8274704.5</v>
      </c>
      <c r="AI371" s="11">
        <v>8274704.5</v>
      </c>
      <c r="AJ371" s="11">
        <v>0</v>
      </c>
      <c r="AK371" s="11">
        <v>0</v>
      </c>
      <c r="AL371" s="11">
        <v>8274704.5</v>
      </c>
      <c r="AM371" s="11">
        <v>8274704.5</v>
      </c>
      <c r="AN371" s="11">
        <v>0</v>
      </c>
      <c r="AO371" s="11">
        <v>8274704.5</v>
      </c>
      <c r="AP371" s="11">
        <v>0</v>
      </c>
      <c r="AQ371" s="11">
        <v>0</v>
      </c>
      <c r="AR371" t="s">
        <v>656</v>
      </c>
      <c r="AS371" s="4" t="str">
        <f t="shared" si="78"/>
        <v>Rifas Departamentales - Otros 25%</v>
      </c>
      <c r="AT371" t="str">
        <f t="shared" si="79"/>
        <v>72Rifas Departamentales - Otros 25%8274704,5</v>
      </c>
      <c r="AU371" t="str">
        <f>+_xlfn.XLOOKUP(AT371,CRUCE!K:K,CRUCE!M:M)</f>
        <v>READY</v>
      </c>
      <c r="AV371" t="s">
        <v>1907</v>
      </c>
    </row>
    <row r="372" spans="1:48" x14ac:dyDescent="0.3">
      <c r="A372">
        <v>2023</v>
      </c>
      <c r="B372">
        <v>318</v>
      </c>
      <c r="C372">
        <v>1102070010503</v>
      </c>
      <c r="D372" s="5">
        <v>181</v>
      </c>
      <c r="E372" s="8" t="s">
        <v>788</v>
      </c>
      <c r="F372">
        <v>1102070010503</v>
      </c>
      <c r="G372" s="8" t="s">
        <v>789</v>
      </c>
      <c r="H372" t="s">
        <v>643</v>
      </c>
      <c r="I372" s="11">
        <v>2179647</v>
      </c>
      <c r="J372" s="11">
        <v>2179647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2179647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2316917</v>
      </c>
      <c r="X372" s="11">
        <v>0</v>
      </c>
      <c r="Y372" s="17">
        <v>2316917</v>
      </c>
      <c r="Z372" s="11">
        <v>0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v>2316917</v>
      </c>
      <c r="AG372" s="11">
        <v>0</v>
      </c>
      <c r="AH372" s="12">
        <v>2316917</v>
      </c>
      <c r="AI372" s="11">
        <v>2316917</v>
      </c>
      <c r="AJ372" s="11">
        <v>2316917</v>
      </c>
      <c r="AK372" s="11">
        <v>2316917</v>
      </c>
      <c r="AL372" s="11">
        <v>0</v>
      </c>
      <c r="AM372" s="11">
        <v>0</v>
      </c>
      <c r="AN372" s="11">
        <v>0</v>
      </c>
      <c r="AO372" s="11">
        <v>0</v>
      </c>
      <c r="AP372" s="11">
        <v>0</v>
      </c>
      <c r="AQ372" s="11">
        <v>0</v>
      </c>
      <c r="AR372" t="s">
        <v>661</v>
      </c>
      <c r="AS372" s="4" t="str">
        <f t="shared" si="78"/>
        <v>Colciencias 7% Rifas Departamentales</v>
      </c>
      <c r="AT372" t="str">
        <f t="shared" si="79"/>
        <v>181Colciencias 7% Rifas Departamentales2316917</v>
      </c>
      <c r="AU372" t="str">
        <f>+_xlfn.XLOOKUP(AT372,CRUCE!K:K,CRUCE!M:M)</f>
        <v>READY</v>
      </c>
      <c r="AV372" t="s">
        <v>1907</v>
      </c>
    </row>
    <row r="373" spans="1:48" hidden="1" x14ac:dyDescent="0.3">
      <c r="A373">
        <v>2023</v>
      </c>
      <c r="B373">
        <v>318</v>
      </c>
      <c r="C373">
        <v>11020700109</v>
      </c>
      <c r="D373" s="5" t="s">
        <v>44</v>
      </c>
      <c r="E373" s="8" t="s">
        <v>790</v>
      </c>
      <c r="F373">
        <v>11020700109</v>
      </c>
      <c r="G373" s="8" t="s">
        <v>791</v>
      </c>
      <c r="H373" t="s">
        <v>643</v>
      </c>
      <c r="I373" s="11">
        <v>928531053</v>
      </c>
      <c r="J373" s="11">
        <v>928531053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928531053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1006655914</v>
      </c>
      <c r="X373" s="11">
        <v>58061370</v>
      </c>
      <c r="Y373" s="17">
        <v>948594544</v>
      </c>
      <c r="Z373" s="11">
        <v>0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1006655914</v>
      </c>
      <c r="AG373" s="11">
        <v>58061370</v>
      </c>
      <c r="AH373" s="12">
        <v>948594544</v>
      </c>
      <c r="AI373" s="11">
        <v>948594544</v>
      </c>
      <c r="AJ373" s="11">
        <v>711445908</v>
      </c>
      <c r="AK373" s="11">
        <v>711445908</v>
      </c>
      <c r="AL373" s="11">
        <v>237148636</v>
      </c>
      <c r="AM373" s="11">
        <v>237148636</v>
      </c>
      <c r="AN373" s="11">
        <v>0</v>
      </c>
      <c r="AO373" s="11">
        <v>237148636</v>
      </c>
      <c r="AP373" s="11">
        <v>0</v>
      </c>
      <c r="AQ373" s="11">
        <v>0</v>
      </c>
      <c r="AR373" t="s">
        <v>48</v>
      </c>
      <c r="AS373"/>
    </row>
    <row r="374" spans="1:48" x14ac:dyDescent="0.3">
      <c r="A374">
        <v>2023</v>
      </c>
      <c r="B374">
        <v>318</v>
      </c>
      <c r="C374">
        <v>1102070010901</v>
      </c>
      <c r="D374" s="5">
        <v>154</v>
      </c>
      <c r="E374" s="8" t="s">
        <v>792</v>
      </c>
      <c r="F374">
        <v>1102070010901</v>
      </c>
      <c r="G374" s="8" t="s">
        <v>793</v>
      </c>
      <c r="H374" t="s">
        <v>643</v>
      </c>
      <c r="I374" s="11">
        <v>631401116</v>
      </c>
      <c r="J374" s="11">
        <v>631401116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631401116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769507278</v>
      </c>
      <c r="X374" s="11">
        <v>58061370</v>
      </c>
      <c r="Y374" s="17">
        <v>711445908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769507278</v>
      </c>
      <c r="AG374" s="11">
        <v>58061370</v>
      </c>
      <c r="AH374" s="12">
        <v>711445908</v>
      </c>
      <c r="AI374" s="11">
        <v>711445908</v>
      </c>
      <c r="AJ374" s="11">
        <v>711445908</v>
      </c>
      <c r="AK374" s="11">
        <v>711445908</v>
      </c>
      <c r="AL374" s="11">
        <v>0</v>
      </c>
      <c r="AM374" s="11">
        <v>0</v>
      </c>
      <c r="AN374" s="11">
        <v>0</v>
      </c>
      <c r="AO374" s="11">
        <v>0</v>
      </c>
      <c r="AP374" s="11">
        <v>0</v>
      </c>
      <c r="AQ374" s="11">
        <v>0</v>
      </c>
      <c r="AR374" t="s">
        <v>651</v>
      </c>
      <c r="AS374" s="4" t="str">
        <f t="shared" ref="AS374:AS377" si="80">+G374</f>
        <v>Juegos Novedosos - Super Astro 68%</v>
      </c>
      <c r="AT374" t="str">
        <f t="shared" ref="AT374:AT377" si="81">+D374&amp;AS374&amp;Y374</f>
        <v>154Juegos Novedosos - Super Astro 68%711445908</v>
      </c>
      <c r="AU374" t="str">
        <f>+_xlfn.XLOOKUP(AT374,CRUCE!K:K,CRUCE!M:M)</f>
        <v>READY</v>
      </c>
      <c r="AV374" t="s">
        <v>1907</v>
      </c>
    </row>
    <row r="375" spans="1:48" x14ac:dyDescent="0.3">
      <c r="A375">
        <v>2023</v>
      </c>
      <c r="B375">
        <v>318</v>
      </c>
      <c r="C375">
        <v>1102070010903</v>
      </c>
      <c r="D375" s="5">
        <v>72</v>
      </c>
      <c r="E375" s="8" t="s">
        <v>796</v>
      </c>
      <c r="F375">
        <v>1102070010903</v>
      </c>
      <c r="G375" s="8" t="s">
        <v>797</v>
      </c>
      <c r="H375" t="s">
        <v>643</v>
      </c>
      <c r="I375" s="11">
        <v>232132763</v>
      </c>
      <c r="J375" s="11">
        <v>232132763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232132763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86527971</v>
      </c>
      <c r="X375" s="11">
        <v>0</v>
      </c>
      <c r="Y375" s="17">
        <v>86527971</v>
      </c>
      <c r="Z375" s="11">
        <v>0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86527971</v>
      </c>
      <c r="AG375" s="11">
        <v>0</v>
      </c>
      <c r="AH375" s="12">
        <v>86527971</v>
      </c>
      <c r="AI375" s="11">
        <v>86527971</v>
      </c>
      <c r="AJ375" s="11">
        <v>0</v>
      </c>
      <c r="AK375" s="11">
        <v>0</v>
      </c>
      <c r="AL375" s="11">
        <v>86527971</v>
      </c>
      <c r="AM375" s="11">
        <v>86527971</v>
      </c>
      <c r="AN375" s="11">
        <v>0</v>
      </c>
      <c r="AO375" s="11">
        <v>86527971</v>
      </c>
      <c r="AP375" s="11">
        <v>0</v>
      </c>
      <c r="AQ375" s="11">
        <v>0</v>
      </c>
      <c r="AR375" t="s">
        <v>656</v>
      </c>
      <c r="AS375" s="4" t="str">
        <f t="shared" si="80"/>
        <v>Juegos Novedosos - Super Astro 25%</v>
      </c>
      <c r="AT375" t="str">
        <f t="shared" si="81"/>
        <v>72Juegos Novedosos - Super Astro 25%86527971</v>
      </c>
      <c r="AU375" t="str">
        <f>+_xlfn.XLOOKUP(AT375,CRUCE!K:K,CRUCE!M:M)</f>
        <v>READY</v>
      </c>
      <c r="AV375" t="s">
        <v>1907</v>
      </c>
    </row>
    <row r="376" spans="1:48" x14ac:dyDescent="0.3">
      <c r="A376">
        <v>2023</v>
      </c>
      <c r="B376">
        <v>318</v>
      </c>
      <c r="C376">
        <v>1102070010904</v>
      </c>
      <c r="D376" s="5">
        <v>72</v>
      </c>
      <c r="E376" s="8" t="s">
        <v>798</v>
      </c>
      <c r="F376">
        <v>1102070010904</v>
      </c>
      <c r="G376" s="8" t="s">
        <v>799</v>
      </c>
      <c r="H376" t="s">
        <v>643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150620665</v>
      </c>
      <c r="X376" s="11">
        <v>0</v>
      </c>
      <c r="Y376" s="17">
        <v>150620665</v>
      </c>
      <c r="Z376" s="11">
        <v>0</v>
      </c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11">
        <v>150620665</v>
      </c>
      <c r="AG376" s="11">
        <v>0</v>
      </c>
      <c r="AH376" s="12">
        <v>150620665</v>
      </c>
      <c r="AI376" s="11">
        <v>150620665</v>
      </c>
      <c r="AJ376" s="11">
        <v>0</v>
      </c>
      <c r="AK376" s="11">
        <v>0</v>
      </c>
      <c r="AL376" s="11">
        <v>150620665</v>
      </c>
      <c r="AM376" s="11">
        <v>150620665</v>
      </c>
      <c r="AN376" s="11">
        <v>0</v>
      </c>
      <c r="AO376" s="11">
        <v>150620665</v>
      </c>
      <c r="AP376" s="11">
        <v>0</v>
      </c>
      <c r="AQ376" s="11">
        <v>0</v>
      </c>
      <c r="AR376" t="s">
        <v>656</v>
      </c>
      <c r="AS376" s="4" t="str">
        <f t="shared" si="80"/>
        <v>Juegos Novedosos 25% -otros-</v>
      </c>
      <c r="AT376" t="str">
        <f t="shared" si="81"/>
        <v>72Juegos Novedosos 25% -otros-150620665</v>
      </c>
      <c r="AU376" t="str">
        <f>+_xlfn.XLOOKUP(AT376,CRUCE!K:K,CRUCE!M:M)</f>
        <v>READY</v>
      </c>
      <c r="AV376" t="s">
        <v>1907</v>
      </c>
    </row>
    <row r="377" spans="1:48" x14ac:dyDescent="0.3">
      <c r="A377">
        <v>2023</v>
      </c>
      <c r="B377">
        <v>318</v>
      </c>
      <c r="C377">
        <v>1102070010905</v>
      </c>
      <c r="D377" s="5">
        <v>181</v>
      </c>
      <c r="E377" s="8" t="s">
        <v>800</v>
      </c>
      <c r="F377">
        <v>1102070010905</v>
      </c>
      <c r="G377" s="8" t="s">
        <v>801</v>
      </c>
      <c r="H377" t="s">
        <v>643</v>
      </c>
      <c r="I377" s="11">
        <v>64997174</v>
      </c>
      <c r="J377" s="11">
        <v>64997174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64997174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7"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2">
        <v>0</v>
      </c>
      <c r="AI377" s="11">
        <v>0</v>
      </c>
      <c r="AJ377" s="11">
        <v>0</v>
      </c>
      <c r="AK377" s="11">
        <v>0</v>
      </c>
      <c r="AL377" s="11">
        <v>0</v>
      </c>
      <c r="AM377" s="11">
        <v>0</v>
      </c>
      <c r="AN377" s="11">
        <v>0</v>
      </c>
      <c r="AO377" s="11">
        <v>0</v>
      </c>
      <c r="AP377" s="11">
        <v>0</v>
      </c>
      <c r="AQ377" s="11">
        <v>0</v>
      </c>
      <c r="AR377" t="s">
        <v>661</v>
      </c>
      <c r="AS377" s="4" t="str">
        <f t="shared" si="80"/>
        <v>Colciencias 7%  Juegos Novedosos Super Astro</v>
      </c>
      <c r="AT377" t="str">
        <f t="shared" si="81"/>
        <v>181Colciencias 7%  Juegos Novedosos Super Astro0</v>
      </c>
      <c r="AU377" t="str">
        <f>+_xlfn.XLOOKUP(AT377,CRUCE!K:K,CRUCE!M:M)</f>
        <v>READY</v>
      </c>
      <c r="AV377" t="s">
        <v>1907</v>
      </c>
    </row>
    <row r="378" spans="1:48" hidden="1" x14ac:dyDescent="0.3">
      <c r="A378">
        <v>2023</v>
      </c>
      <c r="B378">
        <v>318</v>
      </c>
      <c r="C378">
        <v>110207002</v>
      </c>
      <c r="D378" s="5" t="s">
        <v>44</v>
      </c>
      <c r="E378" s="8" t="s">
        <v>804</v>
      </c>
      <c r="F378">
        <v>110207002</v>
      </c>
      <c r="G378" s="8" t="s">
        <v>349</v>
      </c>
      <c r="H378" t="s">
        <v>643</v>
      </c>
      <c r="I378" s="11">
        <v>9390032889.8799992</v>
      </c>
      <c r="J378" s="11">
        <v>9390032889.8799992</v>
      </c>
      <c r="K378" s="11">
        <v>3619565219</v>
      </c>
      <c r="L378" s="11">
        <v>0</v>
      </c>
      <c r="M378" s="11">
        <v>3619565219</v>
      </c>
      <c r="N378" s="11">
        <v>3619565219</v>
      </c>
      <c r="O378" s="11">
        <v>0</v>
      </c>
      <c r="P378" s="11">
        <v>13009598108.879999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13766518253.57</v>
      </c>
      <c r="X378" s="11">
        <v>1087050246.8800001</v>
      </c>
      <c r="Y378" s="17">
        <v>12679468006.690001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13766518253.57</v>
      </c>
      <c r="AG378" s="11">
        <v>1087050246.8800001</v>
      </c>
      <c r="AH378" s="12">
        <v>12679468006.690001</v>
      </c>
      <c r="AI378" s="11">
        <v>12679468006.690001</v>
      </c>
      <c r="AJ378" s="11">
        <v>1473374524.4100001</v>
      </c>
      <c r="AK378" s="11">
        <v>1473374524.4100001</v>
      </c>
      <c r="AL378" s="11">
        <v>11206093482.280001</v>
      </c>
      <c r="AM378" s="11">
        <v>11660039044.16</v>
      </c>
      <c r="AN378" s="11">
        <v>453945561.88</v>
      </c>
      <c r="AO378" s="11">
        <v>11660039044.16</v>
      </c>
      <c r="AP378" s="11">
        <v>0</v>
      </c>
      <c r="AQ378" s="11">
        <v>453945561.88</v>
      </c>
      <c r="AR378" t="s">
        <v>48</v>
      </c>
      <c r="AS378"/>
    </row>
    <row r="379" spans="1:48" hidden="1" x14ac:dyDescent="0.3">
      <c r="A379">
        <v>2023</v>
      </c>
      <c r="B379">
        <v>318</v>
      </c>
      <c r="C379">
        <v>11020700201</v>
      </c>
      <c r="D379" s="5" t="s">
        <v>44</v>
      </c>
      <c r="E379" s="8" t="s">
        <v>805</v>
      </c>
      <c r="F379">
        <v>11020700201</v>
      </c>
      <c r="G379" s="8" t="s">
        <v>351</v>
      </c>
      <c r="H379" t="s">
        <v>643</v>
      </c>
      <c r="I379" s="11">
        <v>9387792893</v>
      </c>
      <c r="J379" s="11">
        <v>9387792893</v>
      </c>
      <c r="K379" s="11">
        <v>3619565219</v>
      </c>
      <c r="L379" s="11">
        <v>0</v>
      </c>
      <c r="M379" s="11">
        <v>3619565219</v>
      </c>
      <c r="N379" s="11">
        <v>3619565219</v>
      </c>
      <c r="O379" s="11">
        <v>0</v>
      </c>
      <c r="P379" s="11">
        <v>13007358112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13759624211.57</v>
      </c>
      <c r="X379" s="11">
        <v>1085208776.8800001</v>
      </c>
      <c r="Y379" s="17">
        <v>12674415434.690001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13759624211.57</v>
      </c>
      <c r="AG379" s="11">
        <v>1085208776.8800001</v>
      </c>
      <c r="AH379" s="12">
        <v>12674415434.690001</v>
      </c>
      <c r="AI379" s="11">
        <v>12674415434.690001</v>
      </c>
      <c r="AJ379" s="11">
        <v>1473374524.4100001</v>
      </c>
      <c r="AK379" s="11">
        <v>1473374524.4100001</v>
      </c>
      <c r="AL379" s="11">
        <v>11201040910.280001</v>
      </c>
      <c r="AM379" s="11">
        <v>11653145002.16</v>
      </c>
      <c r="AN379" s="11">
        <v>452104091.88</v>
      </c>
      <c r="AO379" s="11">
        <v>11653145002.16</v>
      </c>
      <c r="AP379" s="11">
        <v>0</v>
      </c>
      <c r="AQ379" s="11">
        <v>452104091.88</v>
      </c>
      <c r="AR379" t="s">
        <v>48</v>
      </c>
      <c r="AS379"/>
    </row>
    <row r="380" spans="1:48" hidden="1" x14ac:dyDescent="0.3">
      <c r="A380">
        <v>2023</v>
      </c>
      <c r="B380">
        <v>318</v>
      </c>
      <c r="C380">
        <v>1102070020102</v>
      </c>
      <c r="D380" s="5" t="s">
        <v>44</v>
      </c>
      <c r="E380" s="8" t="s">
        <v>806</v>
      </c>
      <c r="F380">
        <v>1102070020102</v>
      </c>
      <c r="G380" s="8" t="s">
        <v>353</v>
      </c>
      <c r="H380" t="s">
        <v>643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946558725.72000003</v>
      </c>
      <c r="X380" s="11">
        <v>636333130</v>
      </c>
      <c r="Y380" s="17">
        <v>310225595.72000003</v>
      </c>
      <c r="Z380" s="11">
        <v>0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946558725.72000003</v>
      </c>
      <c r="AG380" s="11">
        <v>636333130</v>
      </c>
      <c r="AH380" s="12">
        <v>310225595.72000003</v>
      </c>
      <c r="AI380" s="11">
        <v>310225595.72000003</v>
      </c>
      <c r="AJ380" s="11">
        <v>-208893750</v>
      </c>
      <c r="AK380" s="11">
        <v>-208893750</v>
      </c>
      <c r="AL380" s="11">
        <v>519119345.72000003</v>
      </c>
      <c r="AM380" s="11">
        <v>946558725.72000003</v>
      </c>
      <c r="AN380" s="11">
        <v>427439380</v>
      </c>
      <c r="AO380" s="11">
        <v>946558725.72000003</v>
      </c>
      <c r="AP380" s="11">
        <v>0</v>
      </c>
      <c r="AQ380" s="11">
        <v>427439380</v>
      </c>
      <c r="AR380" t="s">
        <v>48</v>
      </c>
      <c r="AS380"/>
    </row>
    <row r="381" spans="1:48" hidden="1" x14ac:dyDescent="0.3">
      <c r="A381">
        <v>2023</v>
      </c>
      <c r="B381">
        <v>318</v>
      </c>
      <c r="C381">
        <v>110207002010201</v>
      </c>
      <c r="D381" s="5" t="s">
        <v>44</v>
      </c>
      <c r="E381" s="8" t="s">
        <v>807</v>
      </c>
      <c r="F381">
        <v>110207002010201</v>
      </c>
      <c r="G381" s="8" t="s">
        <v>355</v>
      </c>
      <c r="H381" t="s">
        <v>643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757217785.72000003</v>
      </c>
      <c r="X381" s="11">
        <v>476785700</v>
      </c>
      <c r="Y381" s="17">
        <v>280432085.72000003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757217785.72000003</v>
      </c>
      <c r="AG381" s="11">
        <v>476785700</v>
      </c>
      <c r="AH381" s="12">
        <v>280432085.72000003</v>
      </c>
      <c r="AI381" s="11">
        <v>280432085.72000003</v>
      </c>
      <c r="AJ381" s="11">
        <v>-103687320</v>
      </c>
      <c r="AK381" s="11">
        <v>-103687320</v>
      </c>
      <c r="AL381" s="11">
        <v>384119405.72000003</v>
      </c>
      <c r="AM381" s="11">
        <v>757217785.72000003</v>
      </c>
      <c r="AN381" s="11">
        <v>373098380</v>
      </c>
      <c r="AO381" s="11">
        <v>757217785.72000003</v>
      </c>
      <c r="AP381" s="11">
        <v>0</v>
      </c>
      <c r="AQ381" s="11">
        <v>373098380</v>
      </c>
      <c r="AR381" t="s">
        <v>48</v>
      </c>
      <c r="AS381"/>
    </row>
    <row r="382" spans="1:48" x14ac:dyDescent="0.3">
      <c r="A382">
        <v>2023</v>
      </c>
      <c r="B382">
        <v>318</v>
      </c>
      <c r="C382">
        <v>1.1020700201020099E+17</v>
      </c>
      <c r="D382" s="5">
        <v>154</v>
      </c>
      <c r="E382" s="8" t="s">
        <v>1256</v>
      </c>
      <c r="F382">
        <v>1.1020700201020099E+17</v>
      </c>
      <c r="G382" s="8" t="s">
        <v>1091</v>
      </c>
      <c r="H382" t="s">
        <v>643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378608892.86000001</v>
      </c>
      <c r="X382" s="11">
        <v>238392850</v>
      </c>
      <c r="Y382" s="17">
        <v>140216042.86000001</v>
      </c>
      <c r="Z382" s="11">
        <v>0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378608892.86000001</v>
      </c>
      <c r="AG382" s="11">
        <v>238392850</v>
      </c>
      <c r="AH382" s="12">
        <v>140216042.86000001</v>
      </c>
      <c r="AI382" s="11">
        <v>140216042.86000001</v>
      </c>
      <c r="AJ382" s="11">
        <v>-51843660</v>
      </c>
      <c r="AK382" s="11">
        <v>-51843660</v>
      </c>
      <c r="AL382" s="11">
        <v>192059702.86000001</v>
      </c>
      <c r="AM382" s="11">
        <v>378608892.86000001</v>
      </c>
      <c r="AN382" s="11">
        <v>186549190</v>
      </c>
      <c r="AO382" s="11">
        <v>378608892.86000001</v>
      </c>
      <c r="AP382" s="11">
        <v>0</v>
      </c>
      <c r="AQ382" s="11">
        <v>186549190</v>
      </c>
      <c r="AR382" t="s">
        <v>651</v>
      </c>
      <c r="AS382" s="4" t="str">
        <f t="shared" ref="AS382:AS384" si="82">+G382</f>
        <v>Derechos de monopolio por la introducción de licores destilados de producción nacional (Monopolio pa</v>
      </c>
      <c r="AT382" t="str">
        <f t="shared" ref="AT382:AT384" si="83">+D382&amp;AS382&amp;Y382</f>
        <v>154Derechos de monopolio por la introducción de licores destilados de producción nacional (Monopolio pa140216042,86</v>
      </c>
      <c r="AU382" t="str">
        <f>+_xlfn.XLOOKUP(AT382,CRUCE!K:K,CRUCE!M:M)</f>
        <v>READY</v>
      </c>
      <c r="AV382" t="s">
        <v>1907</v>
      </c>
    </row>
    <row r="383" spans="1:48" x14ac:dyDescent="0.3">
      <c r="A383">
        <v>2023</v>
      </c>
      <c r="B383">
        <v>318</v>
      </c>
      <c r="C383">
        <v>1.1020700201020099E+17</v>
      </c>
      <c r="D383" s="5">
        <v>58</v>
      </c>
      <c r="E383" s="8" t="s">
        <v>1257</v>
      </c>
      <c r="F383">
        <v>1.1020700201020099E+17</v>
      </c>
      <c r="G383" s="8" t="s">
        <v>1091</v>
      </c>
      <c r="H383" t="s">
        <v>643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189304446.43000001</v>
      </c>
      <c r="X383" s="11">
        <v>119196425</v>
      </c>
      <c r="Y383" s="17">
        <v>70108021.430000007</v>
      </c>
      <c r="Z383" s="11">
        <v>0</v>
      </c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11">
        <v>189304446.43000001</v>
      </c>
      <c r="AG383" s="11">
        <v>119196425</v>
      </c>
      <c r="AH383" s="12">
        <v>70108021.430000007</v>
      </c>
      <c r="AI383" s="11">
        <v>70108021.430000007</v>
      </c>
      <c r="AJ383" s="11">
        <v>-25921830</v>
      </c>
      <c r="AK383" s="11">
        <v>-25921830</v>
      </c>
      <c r="AL383" s="11">
        <v>96029851.430000007</v>
      </c>
      <c r="AM383" s="11">
        <v>189304446.43000001</v>
      </c>
      <c r="AN383" s="11">
        <v>93274595</v>
      </c>
      <c r="AO383" s="11">
        <v>189304446.43000001</v>
      </c>
      <c r="AP383" s="11">
        <v>0</v>
      </c>
      <c r="AQ383" s="11">
        <v>93274595</v>
      </c>
      <c r="AR383" t="s">
        <v>684</v>
      </c>
      <c r="AS383" s="4" t="str">
        <f t="shared" si="82"/>
        <v>Derechos de monopolio por la introducción de licores destilados de producción nacional (Monopolio pa</v>
      </c>
      <c r="AT383" t="str">
        <f t="shared" si="83"/>
        <v>58Derechos de monopolio por la introducción de licores destilados de producción nacional (Monopolio pa70108021,43</v>
      </c>
      <c r="AU383" t="str">
        <f>+_xlfn.XLOOKUP(AT383,CRUCE!K:K,CRUCE!M:M)</f>
        <v>READY</v>
      </c>
      <c r="AV383" t="s">
        <v>1907</v>
      </c>
    </row>
    <row r="384" spans="1:48" x14ac:dyDescent="0.3">
      <c r="A384">
        <v>2023</v>
      </c>
      <c r="B384">
        <v>318</v>
      </c>
      <c r="C384">
        <v>1.1020700201020099E+17</v>
      </c>
      <c r="D384" s="5">
        <v>72</v>
      </c>
      <c r="E384" s="8" t="s">
        <v>1258</v>
      </c>
      <c r="F384">
        <v>1.1020700201020099E+17</v>
      </c>
      <c r="G384" s="8" t="s">
        <v>1091</v>
      </c>
      <c r="H384" t="s">
        <v>643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189304446.43000001</v>
      </c>
      <c r="X384" s="11">
        <v>119196425</v>
      </c>
      <c r="Y384" s="17">
        <v>70108021.430000007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189304446.43000001</v>
      </c>
      <c r="AG384" s="11">
        <v>119196425</v>
      </c>
      <c r="AH384" s="12">
        <v>70108021.430000007</v>
      </c>
      <c r="AI384" s="11">
        <v>70108021.430000007</v>
      </c>
      <c r="AJ384" s="11">
        <v>-25921830</v>
      </c>
      <c r="AK384" s="11">
        <v>-25921830</v>
      </c>
      <c r="AL384" s="11">
        <v>96029851.430000007</v>
      </c>
      <c r="AM384" s="11">
        <v>189304446.43000001</v>
      </c>
      <c r="AN384" s="11">
        <v>93274595</v>
      </c>
      <c r="AO384" s="11">
        <v>189304446.43000001</v>
      </c>
      <c r="AP384" s="11">
        <v>0</v>
      </c>
      <c r="AQ384" s="11">
        <v>93274595</v>
      </c>
      <c r="AR384" t="s">
        <v>656</v>
      </c>
      <c r="AS384" s="4" t="str">
        <f t="shared" si="82"/>
        <v>Derechos de monopolio por la introducción de licores destilados de producción nacional (Monopolio pa</v>
      </c>
      <c r="AT384" t="str">
        <f t="shared" si="83"/>
        <v>72Derechos de monopolio por la introducción de licores destilados de producción nacional (Monopolio pa70108021,43</v>
      </c>
      <c r="AU384" t="str">
        <f>+_xlfn.XLOOKUP(AT384,CRUCE!K:K,CRUCE!M:M)</f>
        <v>READY</v>
      </c>
      <c r="AV384" t="s">
        <v>1907</v>
      </c>
    </row>
    <row r="385" spans="1:48" hidden="1" x14ac:dyDescent="0.3">
      <c r="A385">
        <v>2023</v>
      </c>
      <c r="B385">
        <v>318</v>
      </c>
      <c r="C385">
        <v>110207002010202</v>
      </c>
      <c r="D385" s="5" t="s">
        <v>44</v>
      </c>
      <c r="E385" s="8" t="s">
        <v>1262</v>
      </c>
      <c r="F385">
        <v>110207002010202</v>
      </c>
      <c r="G385" s="8" t="s">
        <v>1096</v>
      </c>
      <c r="H385" t="s">
        <v>643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189340940</v>
      </c>
      <c r="X385" s="11">
        <v>159547430</v>
      </c>
      <c r="Y385" s="17">
        <v>29793510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189340940</v>
      </c>
      <c r="AG385" s="11">
        <v>159547430</v>
      </c>
      <c r="AH385" s="12">
        <v>29793510</v>
      </c>
      <c r="AI385" s="11">
        <v>29793510</v>
      </c>
      <c r="AJ385" s="11">
        <v>-105206430</v>
      </c>
      <c r="AK385" s="11">
        <v>-105206430</v>
      </c>
      <c r="AL385" s="11">
        <v>134999940</v>
      </c>
      <c r="AM385" s="11">
        <v>189340940</v>
      </c>
      <c r="AN385" s="11">
        <v>54341000</v>
      </c>
      <c r="AO385" s="11">
        <v>189340940</v>
      </c>
      <c r="AP385" s="11">
        <v>0</v>
      </c>
      <c r="AQ385" s="11">
        <v>54341000</v>
      </c>
      <c r="AR385" t="s">
        <v>48</v>
      </c>
      <c r="AS385"/>
    </row>
    <row r="386" spans="1:48" x14ac:dyDescent="0.3">
      <c r="A386">
        <v>2023</v>
      </c>
      <c r="B386">
        <v>318</v>
      </c>
      <c r="C386">
        <v>1.10207002010202E+17</v>
      </c>
      <c r="D386" s="5">
        <v>154</v>
      </c>
      <c r="E386" s="8" t="s">
        <v>1263</v>
      </c>
      <c r="F386">
        <v>1.10207002010202E+17</v>
      </c>
      <c r="G386" s="8" t="s">
        <v>1096</v>
      </c>
      <c r="H386" t="s">
        <v>643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14896755</v>
      </c>
      <c r="X386" s="11">
        <v>0</v>
      </c>
      <c r="Y386" s="17">
        <v>14896755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14896755</v>
      </c>
      <c r="AG386" s="11">
        <v>0</v>
      </c>
      <c r="AH386" s="12">
        <v>14896755</v>
      </c>
      <c r="AI386" s="11">
        <v>14896755</v>
      </c>
      <c r="AJ386" s="11">
        <v>0</v>
      </c>
      <c r="AK386" s="11">
        <v>0</v>
      </c>
      <c r="AL386" s="11">
        <v>14896755</v>
      </c>
      <c r="AM386" s="11">
        <v>14896755</v>
      </c>
      <c r="AN386" s="11">
        <v>0</v>
      </c>
      <c r="AO386" s="11">
        <v>14896755</v>
      </c>
      <c r="AP386" s="11">
        <v>0</v>
      </c>
      <c r="AQ386" s="11">
        <v>0</v>
      </c>
      <c r="AR386" t="s">
        <v>651</v>
      </c>
      <c r="AS386" s="4" t="str">
        <f t="shared" ref="AS386:AS388" si="84">+G386</f>
        <v>Derechos de monopolio por la introducción de licores destilados de producción extranjera</v>
      </c>
      <c r="AT386" t="str">
        <f t="shared" ref="AT386:AT388" si="85">+D386&amp;AS386&amp;Y386</f>
        <v>154Derechos de monopolio por la introducción de licores destilados de producción extranjera14896755</v>
      </c>
      <c r="AU386" t="str">
        <f>+_xlfn.XLOOKUP(AT386,CRUCE!K:K,CRUCE!M:M)</f>
        <v>READY</v>
      </c>
      <c r="AV386" t="s">
        <v>1907</v>
      </c>
    </row>
    <row r="387" spans="1:48" x14ac:dyDescent="0.3">
      <c r="A387">
        <v>2023</v>
      </c>
      <c r="B387">
        <v>318</v>
      </c>
      <c r="C387">
        <v>1.10207002010202E+17</v>
      </c>
      <c r="D387" s="5">
        <v>58</v>
      </c>
      <c r="E387" s="8" t="s">
        <v>1264</v>
      </c>
      <c r="F387">
        <v>1.10207002010202E+17</v>
      </c>
      <c r="G387" s="8" t="s">
        <v>1096</v>
      </c>
      <c r="H387" t="s">
        <v>643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87222092.5</v>
      </c>
      <c r="X387" s="11">
        <v>79773715</v>
      </c>
      <c r="Y387" s="17">
        <v>7448377.5</v>
      </c>
      <c r="Z387" s="11">
        <v>0</v>
      </c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11">
        <v>87222092.5</v>
      </c>
      <c r="AG387" s="11">
        <v>79773715</v>
      </c>
      <c r="AH387" s="12">
        <v>7448377.5</v>
      </c>
      <c r="AI387" s="11">
        <v>7448377.5</v>
      </c>
      <c r="AJ387" s="11">
        <v>-52603215</v>
      </c>
      <c r="AK387" s="11">
        <v>-52603215</v>
      </c>
      <c r="AL387" s="11">
        <v>60051592.5</v>
      </c>
      <c r="AM387" s="11">
        <v>87222092.5</v>
      </c>
      <c r="AN387" s="11">
        <v>27170500</v>
      </c>
      <c r="AO387" s="11">
        <v>87222092.5</v>
      </c>
      <c r="AP387" s="11">
        <v>0</v>
      </c>
      <c r="AQ387" s="11">
        <v>27170500</v>
      </c>
      <c r="AR387" t="s">
        <v>684</v>
      </c>
      <c r="AS387" s="4" t="str">
        <f t="shared" si="84"/>
        <v>Derechos de monopolio por la introducción de licores destilados de producción extranjera</v>
      </c>
      <c r="AT387" t="str">
        <f t="shared" si="85"/>
        <v>58Derechos de monopolio por la introducción de licores destilados de producción extranjera7448377,5</v>
      </c>
      <c r="AU387" t="str">
        <f>+_xlfn.XLOOKUP(AT387,CRUCE!K:K,CRUCE!M:M)</f>
        <v>READY</v>
      </c>
      <c r="AV387" t="s">
        <v>1907</v>
      </c>
    </row>
    <row r="388" spans="1:48" x14ac:dyDescent="0.3">
      <c r="A388">
        <v>2023</v>
      </c>
      <c r="B388">
        <v>318</v>
      </c>
      <c r="C388">
        <v>1.10207002010202E+17</v>
      </c>
      <c r="D388" s="5">
        <v>72</v>
      </c>
      <c r="E388" s="8" t="s">
        <v>1265</v>
      </c>
      <c r="F388">
        <v>1.10207002010202E+17</v>
      </c>
      <c r="G388" s="8" t="s">
        <v>1096</v>
      </c>
      <c r="H388" t="s">
        <v>643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87222092.5</v>
      </c>
      <c r="X388" s="11">
        <v>79773715</v>
      </c>
      <c r="Y388" s="17">
        <v>7448377.5</v>
      </c>
      <c r="Z388" s="11">
        <v>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87222092.5</v>
      </c>
      <c r="AG388" s="11">
        <v>79773715</v>
      </c>
      <c r="AH388" s="12">
        <v>7448377.5</v>
      </c>
      <c r="AI388" s="11">
        <v>7448377.5</v>
      </c>
      <c r="AJ388" s="11">
        <v>-52603215</v>
      </c>
      <c r="AK388" s="11">
        <v>-52603215</v>
      </c>
      <c r="AL388" s="11">
        <v>60051592.5</v>
      </c>
      <c r="AM388" s="11">
        <v>87222092.5</v>
      </c>
      <c r="AN388" s="11">
        <v>27170500</v>
      </c>
      <c r="AO388" s="11">
        <v>87222092.5</v>
      </c>
      <c r="AP388" s="11">
        <v>0</v>
      </c>
      <c r="AQ388" s="11">
        <v>27170500</v>
      </c>
      <c r="AR388" t="s">
        <v>656</v>
      </c>
      <c r="AS388" s="4" t="str">
        <f t="shared" si="84"/>
        <v>Derechos de monopolio por la introducción de licores destilados de producción extranjera</v>
      </c>
      <c r="AT388" t="str">
        <f t="shared" si="85"/>
        <v>72Derechos de monopolio por la introducción de licores destilados de producción extranjera7448377,5</v>
      </c>
      <c r="AU388" t="str">
        <f>+_xlfn.XLOOKUP(AT388,CRUCE!K:K,CRUCE!M:M)</f>
        <v>READY</v>
      </c>
      <c r="AV388" t="s">
        <v>1907</v>
      </c>
    </row>
    <row r="389" spans="1:48" hidden="1" x14ac:dyDescent="0.3">
      <c r="A389">
        <v>2023</v>
      </c>
      <c r="B389">
        <v>318</v>
      </c>
      <c r="C389">
        <v>1102070020103</v>
      </c>
      <c r="D389" s="5" t="s">
        <v>44</v>
      </c>
      <c r="E389" s="8" t="s">
        <v>1266</v>
      </c>
      <c r="F389">
        <v>1102070020103</v>
      </c>
      <c r="G389" s="8" t="s">
        <v>359</v>
      </c>
      <c r="H389" t="s">
        <v>643</v>
      </c>
      <c r="I389" s="11">
        <v>9387792893</v>
      </c>
      <c r="J389" s="11">
        <v>9387792893</v>
      </c>
      <c r="K389" s="11">
        <v>3619565219</v>
      </c>
      <c r="L389" s="11">
        <v>0</v>
      </c>
      <c r="M389" s="11">
        <v>3619565219</v>
      </c>
      <c r="N389" s="11">
        <v>3619565219</v>
      </c>
      <c r="O389" s="11">
        <v>0</v>
      </c>
      <c r="P389" s="11">
        <v>13007358112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12813065485.85</v>
      </c>
      <c r="X389" s="11">
        <v>448875646.88</v>
      </c>
      <c r="Y389" s="17">
        <v>12364189838.969999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12813065485.85</v>
      </c>
      <c r="AG389" s="11">
        <v>448875646.88</v>
      </c>
      <c r="AH389" s="12">
        <v>12364189838.969999</v>
      </c>
      <c r="AI389" s="11">
        <v>12364189838.969999</v>
      </c>
      <c r="AJ389" s="11">
        <v>1682268274.4100001</v>
      </c>
      <c r="AK389" s="11">
        <v>1682268274.4100001</v>
      </c>
      <c r="AL389" s="11">
        <v>10681921564.559999</v>
      </c>
      <c r="AM389" s="11">
        <v>10706586276.440001</v>
      </c>
      <c r="AN389" s="11">
        <v>24664711.879999999</v>
      </c>
      <c r="AO389" s="11">
        <v>10706586276.440001</v>
      </c>
      <c r="AP389" s="11">
        <v>0</v>
      </c>
      <c r="AQ389" s="11">
        <v>24664711.879999999</v>
      </c>
      <c r="AR389" t="s">
        <v>48</v>
      </c>
      <c r="AS389"/>
    </row>
    <row r="390" spans="1:48" hidden="1" x14ac:dyDescent="0.3">
      <c r="A390">
        <v>2023</v>
      </c>
      <c r="B390">
        <v>318</v>
      </c>
      <c r="C390">
        <v>110207002010302</v>
      </c>
      <c r="D390" s="5" t="s">
        <v>44</v>
      </c>
      <c r="E390" s="8" t="s">
        <v>1267</v>
      </c>
      <c r="F390">
        <v>110207002010302</v>
      </c>
      <c r="G390" s="8" t="s">
        <v>361</v>
      </c>
      <c r="H390" t="s">
        <v>643</v>
      </c>
      <c r="I390" s="11">
        <v>9387792893</v>
      </c>
      <c r="J390" s="11">
        <v>9387792893</v>
      </c>
      <c r="K390" s="11">
        <v>3619565219</v>
      </c>
      <c r="L390" s="11">
        <v>0</v>
      </c>
      <c r="M390" s="11">
        <v>3619565219</v>
      </c>
      <c r="N390" s="11">
        <v>3619565219</v>
      </c>
      <c r="O390" s="11">
        <v>0</v>
      </c>
      <c r="P390" s="11">
        <v>13007358112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12813065485.85</v>
      </c>
      <c r="X390" s="11">
        <v>448875646.88</v>
      </c>
      <c r="Y390" s="17">
        <v>12364189838.969999</v>
      </c>
      <c r="Z390" s="11">
        <v>0</v>
      </c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11">
        <v>12813065485.85</v>
      </c>
      <c r="AG390" s="11">
        <v>448875646.88</v>
      </c>
      <c r="AH390" s="12">
        <v>12364189838.969999</v>
      </c>
      <c r="AI390" s="11">
        <v>12364189838.969999</v>
      </c>
      <c r="AJ390" s="11">
        <v>1682268274.4100001</v>
      </c>
      <c r="AK390" s="11">
        <v>1682268274.4100001</v>
      </c>
      <c r="AL390" s="11">
        <v>10681921564.559999</v>
      </c>
      <c r="AM390" s="11">
        <v>10706586276.440001</v>
      </c>
      <c r="AN390" s="11">
        <v>24664711.879999999</v>
      </c>
      <c r="AO390" s="11">
        <v>10706586276.440001</v>
      </c>
      <c r="AP390" s="11">
        <v>0</v>
      </c>
      <c r="AQ390" s="11">
        <v>24664711.879999999</v>
      </c>
      <c r="AR390" t="s">
        <v>48</v>
      </c>
      <c r="AS390"/>
    </row>
    <row r="391" spans="1:48" x14ac:dyDescent="0.3">
      <c r="A391">
        <v>2023</v>
      </c>
      <c r="B391">
        <v>318</v>
      </c>
      <c r="C391">
        <v>1.10207002010302E+17</v>
      </c>
      <c r="D391" s="5">
        <v>154</v>
      </c>
      <c r="E391" s="8" t="s">
        <v>1268</v>
      </c>
      <c r="F391">
        <v>1.10207002010302E+17</v>
      </c>
      <c r="G391" s="8" t="s">
        <v>363</v>
      </c>
      <c r="H391" t="s">
        <v>643</v>
      </c>
      <c r="I391" s="11">
        <v>3520422335</v>
      </c>
      <c r="J391" s="11">
        <v>3520422335</v>
      </c>
      <c r="K391" s="11">
        <v>1809782611</v>
      </c>
      <c r="L391" s="11">
        <v>0</v>
      </c>
      <c r="M391" s="11">
        <v>1809782611</v>
      </c>
      <c r="N391" s="11">
        <v>1809782611</v>
      </c>
      <c r="O391" s="11">
        <v>0</v>
      </c>
      <c r="P391" s="11">
        <v>5330204946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  <c r="V391" s="11">
        <v>0</v>
      </c>
      <c r="W391" s="11">
        <v>4735012871.7200003</v>
      </c>
      <c r="X391" s="11">
        <v>11301088.439999999</v>
      </c>
      <c r="Y391" s="17">
        <v>4723711783.2799997</v>
      </c>
      <c r="Z391" s="11">
        <v>0</v>
      </c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11">
        <v>4735012871.7200003</v>
      </c>
      <c r="AG391" s="11">
        <v>11301088.439999999</v>
      </c>
      <c r="AH391" s="12">
        <v>4723711783.2799997</v>
      </c>
      <c r="AI391" s="11">
        <v>4723711783.2799997</v>
      </c>
      <c r="AJ391" s="11">
        <v>51843660</v>
      </c>
      <c r="AK391" s="11">
        <v>51843660</v>
      </c>
      <c r="AL391" s="11">
        <v>4671868123.2799997</v>
      </c>
      <c r="AM391" s="11">
        <v>4683169211.7200003</v>
      </c>
      <c r="AN391" s="11">
        <v>11301088.439999999</v>
      </c>
      <c r="AO391" s="11">
        <v>4683169211.7200003</v>
      </c>
      <c r="AP391" s="11">
        <v>0</v>
      </c>
      <c r="AQ391" s="11">
        <v>11301088.439999999</v>
      </c>
      <c r="AR391" t="s">
        <v>651</v>
      </c>
      <c r="AS391" s="4" t="str">
        <f t="shared" ref="AS391:AS393" si="86">+G391</f>
        <v>Participación por el consumo de licores destilados introducidos de producción nacional</v>
      </c>
      <c r="AT391" t="str">
        <f t="shared" ref="AT391:AT393" si="87">+D391&amp;AS391&amp;Y391</f>
        <v>154Participación por el consumo de licores destilados introducidos de producción nacional4723711783,28</v>
      </c>
      <c r="AU391" t="str">
        <f>+_xlfn.XLOOKUP(AT391,CRUCE!K:K,CRUCE!M:M)</f>
        <v>READY</v>
      </c>
      <c r="AV391" t="s">
        <v>1907</v>
      </c>
    </row>
    <row r="392" spans="1:48" x14ac:dyDescent="0.3">
      <c r="A392">
        <v>2023</v>
      </c>
      <c r="B392">
        <v>318</v>
      </c>
      <c r="C392">
        <v>1.10207002010302E+17</v>
      </c>
      <c r="D392" s="5">
        <v>58</v>
      </c>
      <c r="E392" s="8" t="s">
        <v>1269</v>
      </c>
      <c r="F392">
        <v>1.10207002010302E+17</v>
      </c>
      <c r="G392" s="8" t="s">
        <v>363</v>
      </c>
      <c r="H392" t="s">
        <v>643</v>
      </c>
      <c r="I392" s="11">
        <v>1760211167</v>
      </c>
      <c r="J392" s="11">
        <v>1760211167</v>
      </c>
      <c r="K392" s="11">
        <v>904891304</v>
      </c>
      <c r="L392" s="11">
        <v>0</v>
      </c>
      <c r="M392" s="11">
        <v>904891304</v>
      </c>
      <c r="N392" s="11">
        <v>904891304</v>
      </c>
      <c r="O392" s="11">
        <v>0</v>
      </c>
      <c r="P392" s="11">
        <v>2665102471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2367506436.8600001</v>
      </c>
      <c r="X392" s="11">
        <v>5650544.2199999997</v>
      </c>
      <c r="Y392" s="17">
        <v>2361855892.6399999</v>
      </c>
      <c r="Z392" s="11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2367506436.8600001</v>
      </c>
      <c r="AG392" s="11">
        <v>5650544.2199999997</v>
      </c>
      <c r="AH392" s="12">
        <v>2361855892.6399999</v>
      </c>
      <c r="AI392" s="11">
        <v>2361855892.6399999</v>
      </c>
      <c r="AJ392" s="11">
        <v>25921830</v>
      </c>
      <c r="AK392" s="11">
        <v>25921830</v>
      </c>
      <c r="AL392" s="11">
        <v>2335934062.6399999</v>
      </c>
      <c r="AM392" s="11">
        <v>2341584606.8600001</v>
      </c>
      <c r="AN392" s="11">
        <v>5650544.2199999997</v>
      </c>
      <c r="AO392" s="11">
        <v>2341584606.8600001</v>
      </c>
      <c r="AP392" s="11">
        <v>0</v>
      </c>
      <c r="AQ392" s="11">
        <v>5650544.2199999997</v>
      </c>
      <c r="AR392" t="s">
        <v>684</v>
      </c>
      <c r="AS392" s="4" t="str">
        <f t="shared" si="86"/>
        <v>Participación por el consumo de licores destilados introducidos de producción nacional</v>
      </c>
      <c r="AT392" t="str">
        <f t="shared" si="87"/>
        <v>58Participación por el consumo de licores destilados introducidos de producción nacional2361855892,64</v>
      </c>
      <c r="AU392" t="str">
        <f>+_xlfn.XLOOKUP(AT392,CRUCE!K:K,CRUCE!M:M)</f>
        <v>READY</v>
      </c>
      <c r="AV392" t="s">
        <v>1907</v>
      </c>
    </row>
    <row r="393" spans="1:48" x14ac:dyDescent="0.3">
      <c r="A393">
        <v>2023</v>
      </c>
      <c r="B393">
        <v>318</v>
      </c>
      <c r="C393">
        <v>1.10207002010302E+17</v>
      </c>
      <c r="D393" s="5">
        <v>72</v>
      </c>
      <c r="E393" s="8" t="s">
        <v>1270</v>
      </c>
      <c r="F393">
        <v>1.10207002010302E+17</v>
      </c>
      <c r="G393" s="8" t="s">
        <v>363</v>
      </c>
      <c r="H393" t="s">
        <v>643</v>
      </c>
      <c r="I393" s="11">
        <v>1760211167</v>
      </c>
      <c r="J393" s="11">
        <v>1760211167</v>
      </c>
      <c r="K393" s="11">
        <v>904891304</v>
      </c>
      <c r="L393" s="11">
        <v>0</v>
      </c>
      <c r="M393" s="11">
        <v>904891304</v>
      </c>
      <c r="N393" s="11">
        <v>904891304</v>
      </c>
      <c r="O393" s="11">
        <v>0</v>
      </c>
      <c r="P393" s="11">
        <v>2665102471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2367506434.8600001</v>
      </c>
      <c r="X393" s="11">
        <v>5650544.2199999997</v>
      </c>
      <c r="Y393" s="17">
        <v>2361855890.6399999</v>
      </c>
      <c r="Z393" s="11">
        <v>0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2367506434.8600001</v>
      </c>
      <c r="AG393" s="11">
        <v>5650544.2199999997</v>
      </c>
      <c r="AH393" s="12">
        <v>2361855890.6399999</v>
      </c>
      <c r="AI393" s="11">
        <v>2361855890.6399999</v>
      </c>
      <c r="AJ393" s="11">
        <v>25921830</v>
      </c>
      <c r="AK393" s="11">
        <v>25921830</v>
      </c>
      <c r="AL393" s="11">
        <v>2335934060.6399999</v>
      </c>
      <c r="AM393" s="11">
        <v>2341584604.8600001</v>
      </c>
      <c r="AN393" s="11">
        <v>5650544.2199999997</v>
      </c>
      <c r="AO393" s="11">
        <v>2341584604.8600001</v>
      </c>
      <c r="AP393" s="11">
        <v>0</v>
      </c>
      <c r="AQ393" s="11">
        <v>5650544.2199999997</v>
      </c>
      <c r="AR393" t="s">
        <v>656</v>
      </c>
      <c r="AS393" s="4" t="str">
        <f t="shared" si="86"/>
        <v>Participación por el consumo de licores destilados introducidos de producción nacional</v>
      </c>
      <c r="AT393" t="str">
        <f t="shared" si="87"/>
        <v>72Participación por el consumo de licores destilados introducidos de producción nacional2361855890,64</v>
      </c>
      <c r="AU393" t="str">
        <f>+_xlfn.XLOOKUP(AT393,CRUCE!K:K,CRUCE!M:M)</f>
        <v>READY</v>
      </c>
      <c r="AV393" t="s">
        <v>1907</v>
      </c>
    </row>
    <row r="394" spans="1:48" hidden="1" x14ac:dyDescent="0.3">
      <c r="A394">
        <v>2023</v>
      </c>
      <c r="B394">
        <v>318</v>
      </c>
      <c r="C394">
        <v>1.10207002010302E+17</v>
      </c>
      <c r="D394" s="5" t="s">
        <v>44</v>
      </c>
      <c r="E394" s="8" t="s">
        <v>1271</v>
      </c>
      <c r="F394">
        <v>1.10207002010302E+17</v>
      </c>
      <c r="G394" s="8" t="s">
        <v>1102</v>
      </c>
      <c r="H394" t="s">
        <v>643</v>
      </c>
      <c r="I394" s="11">
        <v>2346948224</v>
      </c>
      <c r="J394" s="11">
        <v>2346948224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2346948224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3343039742.4099998</v>
      </c>
      <c r="X394" s="11">
        <v>426273470</v>
      </c>
      <c r="Y394" s="17">
        <v>2916766272.4099998</v>
      </c>
      <c r="Z394" s="11">
        <v>0</v>
      </c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3343039742.4099998</v>
      </c>
      <c r="AG394" s="11">
        <v>426273470</v>
      </c>
      <c r="AH394" s="12">
        <v>2916766272.4099998</v>
      </c>
      <c r="AI394" s="11">
        <v>2916766272.4099998</v>
      </c>
      <c r="AJ394" s="11">
        <v>1578580954.4100001</v>
      </c>
      <c r="AK394" s="11">
        <v>1578580954.4100001</v>
      </c>
      <c r="AL394" s="11">
        <v>1338185318</v>
      </c>
      <c r="AM394" s="11">
        <v>1340247853</v>
      </c>
      <c r="AN394" s="11">
        <v>2062535</v>
      </c>
      <c r="AO394" s="11">
        <v>1340247853</v>
      </c>
      <c r="AP394" s="11">
        <v>0</v>
      </c>
      <c r="AQ394" s="11">
        <v>2062535</v>
      </c>
      <c r="AR394" t="s">
        <v>48</v>
      </c>
      <c r="AS394"/>
    </row>
    <row r="395" spans="1:48" x14ac:dyDescent="0.3">
      <c r="A395">
        <v>2023</v>
      </c>
      <c r="B395">
        <v>318</v>
      </c>
      <c r="C395">
        <v>1.1020700201030201E+20</v>
      </c>
      <c r="D395" s="5">
        <v>154</v>
      </c>
      <c r="E395" s="8" t="s">
        <v>1424</v>
      </c>
      <c r="F395">
        <v>1.1020700201030201E+20</v>
      </c>
      <c r="G395" s="8" t="s">
        <v>1108</v>
      </c>
      <c r="H395" t="s">
        <v>643</v>
      </c>
      <c r="I395" s="11">
        <v>1173474112</v>
      </c>
      <c r="J395" s="11">
        <v>1173474112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1173474112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1897585459.4100001</v>
      </c>
      <c r="X395" s="11">
        <v>424210935</v>
      </c>
      <c r="Y395" s="17">
        <v>1473374524.4100001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1897585459.4100001</v>
      </c>
      <c r="AG395" s="11">
        <v>424210935</v>
      </c>
      <c r="AH395" s="12">
        <v>1473374524.4100001</v>
      </c>
      <c r="AI395" s="11">
        <v>1473374524.4100001</v>
      </c>
      <c r="AJ395" s="11">
        <v>1473374524.4100001</v>
      </c>
      <c r="AK395" s="11">
        <v>1473374524.4100001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t="s">
        <v>651</v>
      </c>
      <c r="AS395" s="4" t="str">
        <f>+G395</f>
        <v>Participación por el consumo de licores destilados introducidos de producción extranjera recaudado p</v>
      </c>
      <c r="AT395" t="str">
        <f t="shared" ref="AT395:AT397" si="88">+D395&amp;AS395&amp;Y395</f>
        <v>154Participación por el consumo de licores destilados introducidos de producción extranjera recaudado p1473374524,41</v>
      </c>
      <c r="AU395" t="str">
        <f>+_xlfn.XLOOKUP(AT395,CRUCE!K:K,CRUCE!M:M)</f>
        <v>READY</v>
      </c>
      <c r="AV395" t="s">
        <v>1907</v>
      </c>
    </row>
    <row r="396" spans="1:48" x14ac:dyDescent="0.3">
      <c r="A396">
        <v>2023</v>
      </c>
      <c r="B396">
        <v>318</v>
      </c>
      <c r="C396">
        <v>1.1020700201030201E+20</v>
      </c>
      <c r="D396" s="5">
        <v>58</v>
      </c>
      <c r="E396" s="8" t="s">
        <v>1273</v>
      </c>
      <c r="F396">
        <v>1.1020700201030201E+20</v>
      </c>
      <c r="G396" s="8" t="s">
        <v>1108</v>
      </c>
      <c r="H396" t="s">
        <v>643</v>
      </c>
      <c r="I396" s="11">
        <v>586737056</v>
      </c>
      <c r="J396" s="11">
        <v>586737056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586737056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722727141.5</v>
      </c>
      <c r="X396" s="11">
        <v>1031267.5</v>
      </c>
      <c r="Y396" s="17">
        <v>721695874</v>
      </c>
      <c r="Z396" s="11">
        <v>0</v>
      </c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11">
        <v>722727141.5</v>
      </c>
      <c r="AG396" s="11">
        <v>1031267.5</v>
      </c>
      <c r="AH396" s="12">
        <v>721695874</v>
      </c>
      <c r="AI396" s="11">
        <v>721695874</v>
      </c>
      <c r="AJ396" s="11">
        <v>52603215</v>
      </c>
      <c r="AK396" s="11">
        <v>52603215</v>
      </c>
      <c r="AL396" s="11">
        <v>669092659</v>
      </c>
      <c r="AM396" s="11">
        <v>670123926.5</v>
      </c>
      <c r="AN396" s="11">
        <v>1031267.5</v>
      </c>
      <c r="AO396" s="11">
        <v>670123926.5</v>
      </c>
      <c r="AP396" s="11">
        <v>0</v>
      </c>
      <c r="AQ396" s="11">
        <v>1031267.5</v>
      </c>
      <c r="AR396" t="s">
        <v>684</v>
      </c>
      <c r="AS396" s="4" t="str">
        <f t="shared" ref="AS396:AS397" si="89">+G396</f>
        <v>Participación por el consumo de licores destilados introducidos de producción extranjera recaudado p</v>
      </c>
      <c r="AT396" t="str">
        <f t="shared" si="88"/>
        <v>58Participación por el consumo de licores destilados introducidos de producción extranjera recaudado p721695874</v>
      </c>
      <c r="AU396" t="str">
        <f>+_xlfn.XLOOKUP(AT396,CRUCE!K:K,CRUCE!M:M)</f>
        <v>READY</v>
      </c>
      <c r="AV396" t="s">
        <v>1907</v>
      </c>
    </row>
    <row r="397" spans="1:48" x14ac:dyDescent="0.3">
      <c r="A397">
        <v>2023</v>
      </c>
      <c r="B397">
        <v>318</v>
      </c>
      <c r="C397">
        <v>1.1020700201030201E+20</v>
      </c>
      <c r="D397" s="5">
        <v>72</v>
      </c>
      <c r="E397" s="8" t="s">
        <v>1274</v>
      </c>
      <c r="F397">
        <v>1.1020700201030201E+20</v>
      </c>
      <c r="G397" s="8" t="s">
        <v>1108</v>
      </c>
      <c r="H397" t="s">
        <v>643</v>
      </c>
      <c r="I397" s="11">
        <v>586737056</v>
      </c>
      <c r="J397" s="11">
        <v>586737056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586737056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722727141.5</v>
      </c>
      <c r="X397" s="11">
        <v>1031267.5</v>
      </c>
      <c r="Y397" s="17">
        <v>721695874</v>
      </c>
      <c r="Z397" s="11">
        <v>0</v>
      </c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11">
        <v>722727141.5</v>
      </c>
      <c r="AG397" s="11">
        <v>1031267.5</v>
      </c>
      <c r="AH397" s="12">
        <v>721695874</v>
      </c>
      <c r="AI397" s="11">
        <v>721695874</v>
      </c>
      <c r="AJ397" s="11">
        <v>52603215</v>
      </c>
      <c r="AK397" s="11">
        <v>52603215</v>
      </c>
      <c r="AL397" s="11">
        <v>669092659</v>
      </c>
      <c r="AM397" s="11">
        <v>670123926.5</v>
      </c>
      <c r="AN397" s="11">
        <v>1031267.5</v>
      </c>
      <c r="AO397" s="11">
        <v>670123926.5</v>
      </c>
      <c r="AP397" s="11">
        <v>0</v>
      </c>
      <c r="AQ397" s="11">
        <v>1031267.5</v>
      </c>
      <c r="AR397" t="s">
        <v>656</v>
      </c>
      <c r="AS397" s="4" t="str">
        <f t="shared" si="89"/>
        <v>Participación por el consumo de licores destilados introducidos de producción extranjera recaudado p</v>
      </c>
      <c r="AT397" t="str">
        <f t="shared" si="88"/>
        <v>72Participación por el consumo de licores destilados introducidos de producción extranjera recaudado p721695874</v>
      </c>
      <c r="AU397" t="str">
        <f>+_xlfn.XLOOKUP(AT397,CRUCE!K:K,CRUCE!M:M)</f>
        <v>READY</v>
      </c>
      <c r="AV397" t="s">
        <v>1907</v>
      </c>
    </row>
    <row r="398" spans="1:48" hidden="1" x14ac:dyDescent="0.3">
      <c r="A398">
        <v>2023</v>
      </c>
      <c r="B398">
        <v>318</v>
      </c>
      <c r="C398">
        <v>11020700202</v>
      </c>
      <c r="D398" s="5" t="s">
        <v>44</v>
      </c>
      <c r="E398" s="8" t="s">
        <v>1275</v>
      </c>
      <c r="F398">
        <v>11020700202</v>
      </c>
      <c r="G398" s="8" t="s">
        <v>1112</v>
      </c>
      <c r="H398" t="s">
        <v>643</v>
      </c>
      <c r="I398" s="11">
        <v>2239996.88</v>
      </c>
      <c r="J398" s="11">
        <v>2239996.88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2239996.88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6894042</v>
      </c>
      <c r="X398" s="11">
        <v>1841470</v>
      </c>
      <c r="Y398" s="17">
        <v>5052572</v>
      </c>
      <c r="Z398" s="11">
        <v>0</v>
      </c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11">
        <v>6894042</v>
      </c>
      <c r="AG398" s="11">
        <v>1841470</v>
      </c>
      <c r="AH398" s="12">
        <v>5052572</v>
      </c>
      <c r="AI398" s="11">
        <v>5052572</v>
      </c>
      <c r="AJ398" s="11">
        <v>0</v>
      </c>
      <c r="AK398" s="11">
        <v>0</v>
      </c>
      <c r="AL398" s="11">
        <v>5052572</v>
      </c>
      <c r="AM398" s="11">
        <v>6894042</v>
      </c>
      <c r="AN398" s="11">
        <v>1841470</v>
      </c>
      <c r="AO398" s="11">
        <v>6894042</v>
      </c>
      <c r="AP398" s="11">
        <v>0</v>
      </c>
      <c r="AQ398" s="11">
        <v>1841470</v>
      </c>
      <c r="AR398" t="s">
        <v>48</v>
      </c>
      <c r="AS398"/>
    </row>
    <row r="399" spans="1:48" x14ac:dyDescent="0.3">
      <c r="A399">
        <v>2023</v>
      </c>
      <c r="B399">
        <v>318</v>
      </c>
      <c r="C399">
        <v>1102070020201</v>
      </c>
      <c r="D399" s="5">
        <v>154</v>
      </c>
      <c r="E399" s="8" t="s">
        <v>1276</v>
      </c>
      <c r="F399">
        <v>1102070020201</v>
      </c>
      <c r="G399" s="8" t="s">
        <v>1114</v>
      </c>
      <c r="H399" t="s">
        <v>643</v>
      </c>
      <c r="I399" s="11">
        <v>1119998.8799999999</v>
      </c>
      <c r="J399" s="11">
        <v>1119998.8799999999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1119998.8799999999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  <c r="V399" s="11">
        <v>0</v>
      </c>
      <c r="W399" s="11">
        <v>3446971</v>
      </c>
      <c r="X399" s="11">
        <v>920735</v>
      </c>
      <c r="Y399" s="17">
        <v>2526236</v>
      </c>
      <c r="Z399" s="11">
        <v>0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3446971</v>
      </c>
      <c r="AG399" s="11">
        <v>920735</v>
      </c>
      <c r="AH399" s="12">
        <v>2526236</v>
      </c>
      <c r="AI399" s="11">
        <v>2526236</v>
      </c>
      <c r="AJ399" s="11">
        <v>0</v>
      </c>
      <c r="AK399" s="11">
        <v>0</v>
      </c>
      <c r="AL399" s="11">
        <v>2526236</v>
      </c>
      <c r="AM399" s="11">
        <v>3446971</v>
      </c>
      <c r="AN399" s="11">
        <v>920735</v>
      </c>
      <c r="AO399" s="11">
        <v>3446971</v>
      </c>
      <c r="AP399" s="11">
        <v>0</v>
      </c>
      <c r="AQ399" s="11">
        <v>920735</v>
      </c>
      <c r="AR399" t="s">
        <v>651</v>
      </c>
      <c r="AS399" s="4" t="str">
        <f t="shared" ref="AS399:AS401" si="90">+G399</f>
        <v>Participación por la utilización de alcohol potable producido</v>
      </c>
      <c r="AT399" t="str">
        <f t="shared" ref="AT399:AT401" si="91">+D399&amp;AS399&amp;Y399</f>
        <v>154Participación por la utilización de alcohol potable producido2526236</v>
      </c>
      <c r="AU399" t="str">
        <f>+_xlfn.XLOOKUP(AT399,CRUCE!K:K,CRUCE!M:M)</f>
        <v>READY</v>
      </c>
      <c r="AV399" t="s">
        <v>1907</v>
      </c>
    </row>
    <row r="400" spans="1:48" x14ac:dyDescent="0.3">
      <c r="A400">
        <v>2023</v>
      </c>
      <c r="B400">
        <v>318</v>
      </c>
      <c r="C400">
        <v>1102070020201</v>
      </c>
      <c r="D400" s="5">
        <v>58</v>
      </c>
      <c r="E400" s="8" t="s">
        <v>1277</v>
      </c>
      <c r="F400">
        <v>1102070020201</v>
      </c>
      <c r="G400" s="8" t="s">
        <v>1114</v>
      </c>
      <c r="H400" t="s">
        <v>643</v>
      </c>
      <c r="I400" s="11">
        <v>559999</v>
      </c>
      <c r="J400" s="11">
        <v>559999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559999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1723535.5</v>
      </c>
      <c r="X400" s="11">
        <v>460367.5</v>
      </c>
      <c r="Y400" s="17">
        <v>1263168</v>
      </c>
      <c r="Z400" s="11">
        <v>0</v>
      </c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11">
        <v>1723535.5</v>
      </c>
      <c r="AG400" s="11">
        <v>460367.5</v>
      </c>
      <c r="AH400" s="12">
        <v>1263168</v>
      </c>
      <c r="AI400" s="11">
        <v>1263168</v>
      </c>
      <c r="AJ400" s="11">
        <v>0</v>
      </c>
      <c r="AK400" s="11">
        <v>0</v>
      </c>
      <c r="AL400" s="11">
        <v>1263168</v>
      </c>
      <c r="AM400" s="11">
        <v>1723535.5</v>
      </c>
      <c r="AN400" s="11">
        <v>460367.5</v>
      </c>
      <c r="AO400" s="11">
        <v>1723535.5</v>
      </c>
      <c r="AP400" s="11">
        <v>0</v>
      </c>
      <c r="AQ400" s="11">
        <v>460367.5</v>
      </c>
      <c r="AR400" t="s">
        <v>684</v>
      </c>
      <c r="AS400" s="4" t="str">
        <f t="shared" si="90"/>
        <v>Participación por la utilización de alcohol potable producido</v>
      </c>
      <c r="AT400" t="str">
        <f t="shared" si="91"/>
        <v>58Participación por la utilización de alcohol potable producido1263168</v>
      </c>
      <c r="AU400" t="str">
        <f>+_xlfn.XLOOKUP(AT400,CRUCE!K:K,CRUCE!M:M)</f>
        <v>READY</v>
      </c>
      <c r="AV400" t="s">
        <v>1907</v>
      </c>
    </row>
    <row r="401" spans="1:48" x14ac:dyDescent="0.3">
      <c r="A401">
        <v>2023</v>
      </c>
      <c r="B401">
        <v>318</v>
      </c>
      <c r="C401">
        <v>1102070020201</v>
      </c>
      <c r="D401" s="5">
        <v>72</v>
      </c>
      <c r="E401" s="8" t="s">
        <v>1278</v>
      </c>
      <c r="F401">
        <v>1102070020201</v>
      </c>
      <c r="G401" s="8" t="s">
        <v>1114</v>
      </c>
      <c r="H401" t="s">
        <v>643</v>
      </c>
      <c r="I401" s="11">
        <v>559999</v>
      </c>
      <c r="J401" s="11">
        <v>559999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559999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1723535.5</v>
      </c>
      <c r="X401" s="11">
        <v>460367.5</v>
      </c>
      <c r="Y401" s="17">
        <v>1263168</v>
      </c>
      <c r="Z401" s="11">
        <v>0</v>
      </c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1723535.5</v>
      </c>
      <c r="AG401" s="11">
        <v>460367.5</v>
      </c>
      <c r="AH401" s="12">
        <v>1263168</v>
      </c>
      <c r="AI401" s="11">
        <v>1263168</v>
      </c>
      <c r="AJ401" s="11">
        <v>0</v>
      </c>
      <c r="AK401" s="11">
        <v>0</v>
      </c>
      <c r="AL401" s="11">
        <v>1263168</v>
      </c>
      <c r="AM401" s="11">
        <v>1723535.5</v>
      </c>
      <c r="AN401" s="11">
        <v>460367.5</v>
      </c>
      <c r="AO401" s="11">
        <v>1723535.5</v>
      </c>
      <c r="AP401" s="11">
        <v>0</v>
      </c>
      <c r="AQ401" s="11">
        <v>460367.5</v>
      </c>
      <c r="AR401" t="s">
        <v>656</v>
      </c>
      <c r="AS401" s="4" t="str">
        <f t="shared" si="90"/>
        <v>Participación por la utilización de alcohol potable producido</v>
      </c>
      <c r="AT401" t="str">
        <f t="shared" si="91"/>
        <v>72Participación por la utilización de alcohol potable producido1263168</v>
      </c>
      <c r="AU401" t="str">
        <f>+_xlfn.XLOOKUP(AT401,CRUCE!K:K,CRUCE!M:M)</f>
        <v>READY</v>
      </c>
      <c r="AV401" t="s">
        <v>1907</v>
      </c>
    </row>
    <row r="402" spans="1:48" hidden="1" x14ac:dyDescent="0.3">
      <c r="A402">
        <v>2023</v>
      </c>
      <c r="B402">
        <v>318</v>
      </c>
      <c r="C402">
        <v>12</v>
      </c>
      <c r="D402" s="5" t="s">
        <v>44</v>
      </c>
      <c r="E402" s="8" t="s">
        <v>1425</v>
      </c>
      <c r="F402">
        <v>12</v>
      </c>
      <c r="G402" s="8" t="s">
        <v>367</v>
      </c>
      <c r="H402" t="s">
        <v>643</v>
      </c>
      <c r="I402" s="11">
        <v>643817959</v>
      </c>
      <c r="J402" s="11">
        <v>643817959</v>
      </c>
      <c r="K402" s="11">
        <v>8331693452.6300001</v>
      </c>
      <c r="L402" s="11">
        <v>0</v>
      </c>
      <c r="M402" s="11">
        <v>8331693452.6300001</v>
      </c>
      <c r="N402" s="11">
        <v>8331693452.6300001</v>
      </c>
      <c r="O402" s="11">
        <v>0</v>
      </c>
      <c r="P402" s="11">
        <v>8975511411.6299992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11003324980.959999</v>
      </c>
      <c r="X402" s="11">
        <v>11072428.67</v>
      </c>
      <c r="Y402" s="17">
        <v>10992252552.290001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11003324980.959999</v>
      </c>
      <c r="AG402" s="11">
        <v>11072428.67</v>
      </c>
      <c r="AH402" s="12">
        <v>10992252552.290001</v>
      </c>
      <c r="AI402" s="11">
        <v>10992252552.290001</v>
      </c>
      <c r="AJ402" s="11">
        <v>10370274536.620001</v>
      </c>
      <c r="AK402" s="11">
        <v>10370274536.620001</v>
      </c>
      <c r="AL402" s="11">
        <v>621978015.66999996</v>
      </c>
      <c r="AM402" s="11">
        <v>622190444.34000003</v>
      </c>
      <c r="AN402" s="11">
        <v>212428.67</v>
      </c>
      <c r="AO402" s="11">
        <v>622190444.34000003</v>
      </c>
      <c r="AP402" s="11">
        <v>0</v>
      </c>
      <c r="AQ402" s="11">
        <v>212428.67</v>
      </c>
      <c r="AR402" t="s">
        <v>48</v>
      </c>
      <c r="AS402"/>
    </row>
    <row r="403" spans="1:48" hidden="1" x14ac:dyDescent="0.3">
      <c r="A403">
        <v>2023</v>
      </c>
      <c r="B403">
        <v>318</v>
      </c>
      <c r="C403">
        <v>1205</v>
      </c>
      <c r="D403" s="5" t="s">
        <v>44</v>
      </c>
      <c r="E403" s="8" t="s">
        <v>814</v>
      </c>
      <c r="F403">
        <v>1205</v>
      </c>
      <c r="G403" s="8" t="s">
        <v>379</v>
      </c>
      <c r="H403" t="s">
        <v>643</v>
      </c>
      <c r="I403" s="11">
        <v>7000000</v>
      </c>
      <c r="J403" s="11">
        <v>7000000</v>
      </c>
      <c r="K403" s="11">
        <v>186433865.77000001</v>
      </c>
      <c r="L403" s="11">
        <v>0</v>
      </c>
      <c r="M403" s="11">
        <v>186433865.77000001</v>
      </c>
      <c r="N403" s="11">
        <v>186433865.77000001</v>
      </c>
      <c r="O403" s="11">
        <v>0</v>
      </c>
      <c r="P403" s="11">
        <v>193433865.77000001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622190444.34000003</v>
      </c>
      <c r="X403" s="11">
        <v>212428.67</v>
      </c>
      <c r="Y403" s="17">
        <v>621978015.66999996</v>
      </c>
      <c r="Z403" s="11">
        <v>0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622190444.34000003</v>
      </c>
      <c r="AG403" s="11">
        <v>212428.67</v>
      </c>
      <c r="AH403" s="12">
        <v>621978015.66999996</v>
      </c>
      <c r="AI403" s="11">
        <v>621978015.66999996</v>
      </c>
      <c r="AJ403" s="11">
        <v>0</v>
      </c>
      <c r="AK403" s="11">
        <v>0</v>
      </c>
      <c r="AL403" s="11">
        <v>621978015.66999996</v>
      </c>
      <c r="AM403" s="11">
        <v>622190444.34000003</v>
      </c>
      <c r="AN403" s="11">
        <v>212428.67</v>
      </c>
      <c r="AO403" s="11">
        <v>622190444.34000003</v>
      </c>
      <c r="AP403" s="11">
        <v>0</v>
      </c>
      <c r="AQ403" s="11">
        <v>212428.67</v>
      </c>
      <c r="AR403" t="s">
        <v>48</v>
      </c>
      <c r="AS403"/>
    </row>
    <row r="404" spans="1:48" hidden="1" x14ac:dyDescent="0.3">
      <c r="A404">
        <v>2023</v>
      </c>
      <c r="B404">
        <v>318</v>
      </c>
      <c r="C404">
        <v>120502</v>
      </c>
      <c r="D404" s="5" t="s">
        <v>44</v>
      </c>
      <c r="E404" s="8" t="s">
        <v>815</v>
      </c>
      <c r="F404">
        <v>120502</v>
      </c>
      <c r="G404" s="8" t="s">
        <v>381</v>
      </c>
      <c r="H404" t="s">
        <v>643</v>
      </c>
      <c r="I404" s="11">
        <v>7000000</v>
      </c>
      <c r="J404" s="11">
        <v>7000000</v>
      </c>
      <c r="K404" s="11">
        <v>186433865.77000001</v>
      </c>
      <c r="L404" s="11">
        <v>0</v>
      </c>
      <c r="M404" s="11">
        <v>186433865.77000001</v>
      </c>
      <c r="N404" s="11">
        <v>186433865.77000001</v>
      </c>
      <c r="O404" s="11">
        <v>0</v>
      </c>
      <c r="P404" s="11">
        <v>193433865.77000001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622190444.34000003</v>
      </c>
      <c r="X404" s="11">
        <v>212428.67</v>
      </c>
      <c r="Y404" s="17">
        <v>621978015.66999996</v>
      </c>
      <c r="Z404" s="11">
        <v>0</v>
      </c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11">
        <v>622190444.34000003</v>
      </c>
      <c r="AG404" s="11">
        <v>212428.67</v>
      </c>
      <c r="AH404" s="12">
        <v>621978015.66999996</v>
      </c>
      <c r="AI404" s="11">
        <v>621978015.66999996</v>
      </c>
      <c r="AJ404" s="11">
        <v>0</v>
      </c>
      <c r="AK404" s="11">
        <v>0</v>
      </c>
      <c r="AL404" s="11">
        <v>621978015.66999996</v>
      </c>
      <c r="AM404" s="11">
        <v>622190444.34000003</v>
      </c>
      <c r="AN404" s="11">
        <v>212428.67</v>
      </c>
      <c r="AO404" s="11">
        <v>622190444.34000003</v>
      </c>
      <c r="AP404" s="11">
        <v>0</v>
      </c>
      <c r="AQ404" s="11">
        <v>212428.67</v>
      </c>
      <c r="AR404" t="s">
        <v>48</v>
      </c>
      <c r="AS404"/>
    </row>
    <row r="405" spans="1:48" x14ac:dyDescent="0.3">
      <c r="A405">
        <v>2023</v>
      </c>
      <c r="B405">
        <v>318</v>
      </c>
      <c r="C405">
        <v>120502015</v>
      </c>
      <c r="D405" s="5">
        <v>63</v>
      </c>
      <c r="E405" s="8" t="s">
        <v>1279</v>
      </c>
      <c r="F405">
        <v>120502015</v>
      </c>
      <c r="G405" s="8" t="s">
        <v>1280</v>
      </c>
      <c r="H405" t="s">
        <v>643</v>
      </c>
      <c r="I405" s="11">
        <v>1000000</v>
      </c>
      <c r="J405" s="11">
        <v>1000000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1000000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1076290.92</v>
      </c>
      <c r="X405" s="11">
        <v>77790.97</v>
      </c>
      <c r="Y405" s="17">
        <v>998499.95</v>
      </c>
      <c r="Z405" s="11">
        <v>0</v>
      </c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11">
        <v>1076290.92</v>
      </c>
      <c r="AG405" s="11">
        <v>77790.97</v>
      </c>
      <c r="AH405" s="12">
        <v>998499.95</v>
      </c>
      <c r="AI405" s="11">
        <v>998499.95</v>
      </c>
      <c r="AJ405" s="11">
        <v>0</v>
      </c>
      <c r="AK405" s="11">
        <v>0</v>
      </c>
      <c r="AL405" s="11">
        <v>998499.95</v>
      </c>
      <c r="AM405" s="11">
        <v>1076290.92</v>
      </c>
      <c r="AN405" s="11">
        <v>77790.97</v>
      </c>
      <c r="AO405" s="11">
        <v>1076290.92</v>
      </c>
      <c r="AP405" s="11">
        <v>0</v>
      </c>
      <c r="AQ405" s="11">
        <v>77790.97</v>
      </c>
      <c r="AR405" t="s">
        <v>716</v>
      </c>
      <c r="AS405" s="4" t="str">
        <f t="shared" ref="AS405:AS416" si="92">+G405</f>
        <v>Depósitos Fondo de Estupefacientes</v>
      </c>
      <c r="AT405" t="str">
        <f t="shared" ref="AT405:AT417" si="93">+D405&amp;AS405&amp;Y405</f>
        <v>63Depósitos Fondo de Estupefacientes998499,95</v>
      </c>
      <c r="AU405" t="str">
        <f>+_xlfn.XLOOKUP(AT405,CRUCE!K:K,CRUCE!M:M)</f>
        <v>READY</v>
      </c>
      <c r="AV405" t="s">
        <v>1907</v>
      </c>
    </row>
    <row r="406" spans="1:48" x14ac:dyDescent="0.3">
      <c r="A406">
        <v>2023</v>
      </c>
      <c r="B406">
        <v>318</v>
      </c>
      <c r="C406">
        <v>120502016</v>
      </c>
      <c r="D406" s="5">
        <v>58</v>
      </c>
      <c r="E406" s="8" t="s">
        <v>1281</v>
      </c>
      <c r="F406">
        <v>120502016</v>
      </c>
      <c r="G406" s="8" t="s">
        <v>1282</v>
      </c>
      <c r="H406" t="s">
        <v>643</v>
      </c>
      <c r="I406" s="11">
        <v>2000000</v>
      </c>
      <c r="J406" s="11">
        <v>2000000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2000000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261621350.44999999</v>
      </c>
      <c r="X406" s="11">
        <v>33198.97</v>
      </c>
      <c r="Y406" s="17">
        <v>261588151.47999999</v>
      </c>
      <c r="Z406" s="11">
        <v>0</v>
      </c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11">
        <v>261621350.44999999</v>
      </c>
      <c r="AG406" s="11">
        <v>33198.97</v>
      </c>
      <c r="AH406" s="12">
        <v>261588151.47999999</v>
      </c>
      <c r="AI406" s="11">
        <v>261588151.47999999</v>
      </c>
      <c r="AJ406" s="11">
        <v>0</v>
      </c>
      <c r="AK406" s="11">
        <v>0</v>
      </c>
      <c r="AL406" s="11">
        <v>261588151.47999999</v>
      </c>
      <c r="AM406" s="11">
        <v>261621350.44999999</v>
      </c>
      <c r="AN406" s="11">
        <v>33198.97</v>
      </c>
      <c r="AO406" s="11">
        <v>261621350.44999999</v>
      </c>
      <c r="AP406" s="11">
        <v>0</v>
      </c>
      <c r="AQ406" s="11">
        <v>33198.97</v>
      </c>
      <c r="AR406" t="s">
        <v>684</v>
      </c>
      <c r="AS406" s="4" t="str">
        <f t="shared" si="92"/>
        <v>Depósitos Rentas Cedidas</v>
      </c>
      <c r="AT406" t="str">
        <f t="shared" si="93"/>
        <v>58Depósitos Rentas Cedidas261588151,48</v>
      </c>
      <c r="AU406" t="str">
        <f>+_xlfn.XLOOKUP(AT406,CRUCE!K:K,CRUCE!M:M)</f>
        <v>READY</v>
      </c>
      <c r="AV406" t="s">
        <v>1907</v>
      </c>
    </row>
    <row r="407" spans="1:48" x14ac:dyDescent="0.3">
      <c r="A407">
        <v>2023</v>
      </c>
      <c r="B407">
        <v>318</v>
      </c>
      <c r="C407">
        <v>120502016</v>
      </c>
      <c r="D407" s="5">
        <v>72</v>
      </c>
      <c r="E407" s="8" t="s">
        <v>1283</v>
      </c>
      <c r="F407">
        <v>120502016</v>
      </c>
      <c r="G407" s="8" t="s">
        <v>1282</v>
      </c>
      <c r="H407" t="s">
        <v>643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21741442.73</v>
      </c>
      <c r="X407" s="11">
        <v>33198.97</v>
      </c>
      <c r="Y407" s="17">
        <v>21708243.760000002</v>
      </c>
      <c r="Z407" s="11">
        <v>0</v>
      </c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21741442.73</v>
      </c>
      <c r="AG407" s="11">
        <v>33198.97</v>
      </c>
      <c r="AH407" s="12">
        <v>21708243.760000002</v>
      </c>
      <c r="AI407" s="11">
        <v>21708243.760000002</v>
      </c>
      <c r="AJ407" s="11">
        <v>0</v>
      </c>
      <c r="AK407" s="11">
        <v>0</v>
      </c>
      <c r="AL407" s="11">
        <v>21708243.760000002</v>
      </c>
      <c r="AM407" s="11">
        <v>21741442.73</v>
      </c>
      <c r="AN407" s="11">
        <v>33198.97</v>
      </c>
      <c r="AO407" s="11">
        <v>21741442.73</v>
      </c>
      <c r="AP407" s="11">
        <v>0</v>
      </c>
      <c r="AQ407" s="11">
        <v>33198.97</v>
      </c>
      <c r="AR407" t="s">
        <v>656</v>
      </c>
      <c r="AS407" s="4" t="str">
        <f t="shared" si="92"/>
        <v>Depósitos Rentas Cedidas</v>
      </c>
      <c r="AT407" t="str">
        <f t="shared" si="93"/>
        <v>72Depósitos Rentas Cedidas21708243,76</v>
      </c>
      <c r="AU407" t="str">
        <f>+_xlfn.XLOOKUP(AT407,CRUCE!K:K,CRUCE!M:M)</f>
        <v>READY</v>
      </c>
      <c r="AV407" t="s">
        <v>1907</v>
      </c>
    </row>
    <row r="408" spans="1:48" x14ac:dyDescent="0.3">
      <c r="A408">
        <v>2023</v>
      </c>
      <c r="B408">
        <v>318</v>
      </c>
      <c r="C408">
        <v>120502017</v>
      </c>
      <c r="D408" s="5">
        <v>171</v>
      </c>
      <c r="E408" s="8" t="s">
        <v>1284</v>
      </c>
      <c r="F408">
        <v>120502017</v>
      </c>
      <c r="G408" s="8" t="s">
        <v>1285</v>
      </c>
      <c r="H408" t="s">
        <v>643</v>
      </c>
      <c r="I408" s="11">
        <v>1000000</v>
      </c>
      <c r="J408" s="11">
        <v>1000000</v>
      </c>
      <c r="K408" s="11">
        <v>32471834.84</v>
      </c>
      <c r="L408" s="11">
        <v>0</v>
      </c>
      <c r="M408" s="11">
        <v>32471834.84</v>
      </c>
      <c r="N408" s="11">
        <v>32471834.84</v>
      </c>
      <c r="O408" s="11">
        <v>0</v>
      </c>
      <c r="P408" s="11">
        <v>33471834.84</v>
      </c>
      <c r="Q408" s="11">
        <v>0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33471834.84</v>
      </c>
      <c r="X408" s="11">
        <v>0</v>
      </c>
      <c r="Y408" s="17">
        <v>33471834.84</v>
      </c>
      <c r="Z408" s="11">
        <v>0</v>
      </c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33471834.84</v>
      </c>
      <c r="AG408" s="11">
        <v>0</v>
      </c>
      <c r="AH408" s="12">
        <v>33471834.84</v>
      </c>
      <c r="AI408" s="11">
        <v>33471834.84</v>
      </c>
      <c r="AJ408" s="11">
        <v>0</v>
      </c>
      <c r="AK408" s="11">
        <v>0</v>
      </c>
      <c r="AL408" s="11">
        <v>33471834.84</v>
      </c>
      <c r="AM408" s="11">
        <v>33471834.84</v>
      </c>
      <c r="AN408" s="11">
        <v>0</v>
      </c>
      <c r="AO408" s="11">
        <v>33471834.84</v>
      </c>
      <c r="AP408" s="11">
        <v>0</v>
      </c>
      <c r="AQ408" s="11">
        <v>0</v>
      </c>
      <c r="AR408" t="s">
        <v>730</v>
      </c>
      <c r="AS408" s="4" t="str">
        <f t="shared" si="92"/>
        <v>Depósitos Subsidio de la Oferta</v>
      </c>
      <c r="AT408" t="str">
        <f t="shared" si="93"/>
        <v>171Depósitos Subsidio de la Oferta33471834,84</v>
      </c>
      <c r="AU408" t="str">
        <f>+_xlfn.XLOOKUP(AT408,CRUCE!K:K,CRUCE!M:M)</f>
        <v>READY</v>
      </c>
      <c r="AV408" t="s">
        <v>1907</v>
      </c>
    </row>
    <row r="409" spans="1:48" x14ac:dyDescent="0.3">
      <c r="A409">
        <v>2023</v>
      </c>
      <c r="B409">
        <v>318</v>
      </c>
      <c r="C409">
        <v>120502018</v>
      </c>
      <c r="D409" s="5">
        <v>61</v>
      </c>
      <c r="E409" s="8" t="s">
        <v>1286</v>
      </c>
      <c r="F409">
        <v>120502018</v>
      </c>
      <c r="G409" s="8" t="s">
        <v>1287</v>
      </c>
      <c r="H409" t="s">
        <v>643</v>
      </c>
      <c r="I409" s="11">
        <v>3000000</v>
      </c>
      <c r="J409" s="11">
        <v>3000000</v>
      </c>
      <c r="K409" s="11">
        <v>153962030.93000001</v>
      </c>
      <c r="L409" s="11">
        <v>0</v>
      </c>
      <c r="M409" s="11">
        <v>153962030.93000001</v>
      </c>
      <c r="N409" s="11">
        <v>153962030.93000001</v>
      </c>
      <c r="O409" s="11">
        <v>0</v>
      </c>
      <c r="P409" s="11">
        <v>156962030.93000001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165342460.18000001</v>
      </c>
      <c r="X409" s="11">
        <v>0</v>
      </c>
      <c r="Y409" s="17">
        <v>165342460.18000001</v>
      </c>
      <c r="Z409" s="11">
        <v>0</v>
      </c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165342460.18000001</v>
      </c>
      <c r="AG409" s="11">
        <v>0</v>
      </c>
      <c r="AH409" s="12">
        <v>165342460.18000001</v>
      </c>
      <c r="AI409" s="11">
        <v>165342460.18000001</v>
      </c>
      <c r="AJ409" s="11">
        <v>0</v>
      </c>
      <c r="AK409" s="11">
        <v>0</v>
      </c>
      <c r="AL409" s="11">
        <v>165342460.18000001</v>
      </c>
      <c r="AM409" s="11">
        <v>165342460.18000001</v>
      </c>
      <c r="AN409" s="11">
        <v>0</v>
      </c>
      <c r="AO409" s="11">
        <v>165342460.18000001</v>
      </c>
      <c r="AP409" s="11">
        <v>0</v>
      </c>
      <c r="AQ409" s="11">
        <v>0</v>
      </c>
      <c r="AR409" t="s">
        <v>727</v>
      </c>
      <c r="AS409" s="4" t="str">
        <f t="shared" si="92"/>
        <v>Depósitos Salud Púbica</v>
      </c>
      <c r="AT409" t="str">
        <f t="shared" si="93"/>
        <v>61Depósitos Salud Púbica165342460,18</v>
      </c>
      <c r="AU409" t="str">
        <f>+_xlfn.XLOOKUP(AT409,CRUCE!K:K,CRUCE!M:M)</f>
        <v>READY</v>
      </c>
      <c r="AV409" t="s">
        <v>1907</v>
      </c>
    </row>
    <row r="410" spans="1:48" x14ac:dyDescent="0.3">
      <c r="A410">
        <v>2023</v>
      </c>
      <c r="B410">
        <v>318</v>
      </c>
      <c r="C410">
        <v>120502023</v>
      </c>
      <c r="D410" s="5">
        <v>161</v>
      </c>
      <c r="E410" s="8" t="s">
        <v>1288</v>
      </c>
      <c r="F410">
        <v>120502023</v>
      </c>
      <c r="G410" s="8" t="s">
        <v>1289</v>
      </c>
      <c r="H410" t="s">
        <v>643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51993.03</v>
      </c>
      <c r="X410" s="11">
        <v>0</v>
      </c>
      <c r="Y410" s="17">
        <v>51993.03</v>
      </c>
      <c r="Z410" s="11">
        <v>0</v>
      </c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11">
        <v>51993.03</v>
      </c>
      <c r="AG410" s="11">
        <v>0</v>
      </c>
      <c r="AH410" s="12">
        <v>51993.03</v>
      </c>
      <c r="AI410" s="11">
        <v>51993.03</v>
      </c>
      <c r="AJ410" s="11">
        <v>0</v>
      </c>
      <c r="AK410" s="11">
        <v>0</v>
      </c>
      <c r="AL410" s="11">
        <v>51993.03</v>
      </c>
      <c r="AM410" s="11">
        <v>51993.03</v>
      </c>
      <c r="AN410" s="11">
        <v>0</v>
      </c>
      <c r="AO410" s="11">
        <v>51993.03</v>
      </c>
      <c r="AP410" s="11">
        <v>0</v>
      </c>
      <c r="AQ410" s="11">
        <v>0</v>
      </c>
      <c r="AR410" t="s">
        <v>853</v>
      </c>
      <c r="AS410" s="4" t="str">
        <f t="shared" si="92"/>
        <v>Depósitos Cofinanciación Nacional Salud Púbilca</v>
      </c>
      <c r="AT410" t="str">
        <f t="shared" si="93"/>
        <v>161Depósitos Cofinanciación Nacional Salud Púbilca51993,03</v>
      </c>
      <c r="AU410" t="str">
        <f>+_xlfn.XLOOKUP(AT410,CRUCE!K:K,CRUCE!M:M)</f>
        <v>READY</v>
      </c>
      <c r="AV410" t="s">
        <v>1907</v>
      </c>
    </row>
    <row r="411" spans="1:48" x14ac:dyDescent="0.3">
      <c r="A411">
        <v>2023</v>
      </c>
      <c r="B411">
        <v>318</v>
      </c>
      <c r="C411">
        <v>120502024</v>
      </c>
      <c r="D411" s="5">
        <v>102</v>
      </c>
      <c r="E411" s="8" t="s">
        <v>1290</v>
      </c>
      <c r="F411">
        <v>120502024</v>
      </c>
      <c r="G411" s="8" t="s">
        <v>1291</v>
      </c>
      <c r="H411" t="s">
        <v>643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1363.66</v>
      </c>
      <c r="X411" s="11">
        <v>0</v>
      </c>
      <c r="Y411" s="17">
        <v>1363.66</v>
      </c>
      <c r="Z411" s="11">
        <v>0</v>
      </c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11">
        <v>1363.66</v>
      </c>
      <c r="AG411" s="11">
        <v>0</v>
      </c>
      <c r="AH411" s="12">
        <v>1363.66</v>
      </c>
      <c r="AI411" s="11">
        <v>1363.66</v>
      </c>
      <c r="AJ411" s="11">
        <v>0</v>
      </c>
      <c r="AK411" s="11">
        <v>0</v>
      </c>
      <c r="AL411" s="11">
        <v>1363.66</v>
      </c>
      <c r="AM411" s="11">
        <v>1363.66</v>
      </c>
      <c r="AN411" s="11">
        <v>0</v>
      </c>
      <c r="AO411" s="11">
        <v>1363.66</v>
      </c>
      <c r="AP411" s="11">
        <v>0</v>
      </c>
      <c r="AQ411" s="11">
        <v>0</v>
      </c>
      <c r="AR411" t="s">
        <v>856</v>
      </c>
      <c r="AS411" s="4" t="str">
        <f t="shared" si="92"/>
        <v>Depósitos Cofinanciación Nacional de Otros Gastos en salud</v>
      </c>
      <c r="AT411" t="str">
        <f t="shared" si="93"/>
        <v>102Depósitos Cofinanciación Nacional de Otros Gastos en salud1363,66</v>
      </c>
      <c r="AU411" t="str">
        <f>+_xlfn.XLOOKUP(AT411,CRUCE!K:K,CRUCE!M:M)</f>
        <v>READY</v>
      </c>
      <c r="AV411" t="s">
        <v>1907</v>
      </c>
    </row>
    <row r="412" spans="1:48" x14ac:dyDescent="0.3">
      <c r="A412">
        <v>2023</v>
      </c>
      <c r="B412">
        <v>318</v>
      </c>
      <c r="C412">
        <v>120502026</v>
      </c>
      <c r="D412" s="5">
        <v>152</v>
      </c>
      <c r="E412" s="8" t="s">
        <v>1292</v>
      </c>
      <c r="F412">
        <v>120502026</v>
      </c>
      <c r="G412" s="8" t="s">
        <v>1293</v>
      </c>
      <c r="H412" t="s">
        <v>643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59.04</v>
      </c>
      <c r="X412" s="11">
        <v>0</v>
      </c>
      <c r="Y412" s="17">
        <v>59.04</v>
      </c>
      <c r="Z412" s="11">
        <v>0</v>
      </c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59.04</v>
      </c>
      <c r="AG412" s="11">
        <v>0</v>
      </c>
      <c r="AH412" s="12">
        <v>59.04</v>
      </c>
      <c r="AI412" s="11">
        <v>59.04</v>
      </c>
      <c r="AJ412" s="11">
        <v>0</v>
      </c>
      <c r="AK412" s="11">
        <v>0</v>
      </c>
      <c r="AL412" s="11">
        <v>59.04</v>
      </c>
      <c r="AM412" s="11">
        <v>59.04</v>
      </c>
      <c r="AN412" s="11">
        <v>0</v>
      </c>
      <c r="AO412" s="11">
        <v>59.04</v>
      </c>
      <c r="AP412" s="11">
        <v>0</v>
      </c>
      <c r="AQ412" s="11">
        <v>0</v>
      </c>
      <c r="AR412" t="s">
        <v>844</v>
      </c>
      <c r="AS412" s="4" t="str">
        <f t="shared" si="92"/>
        <v>Depósitos Excedentes Aportes Patronales</v>
      </c>
      <c r="AT412" t="str">
        <f t="shared" si="93"/>
        <v>152Depósitos Excedentes Aportes Patronales59,04</v>
      </c>
      <c r="AU412" t="str">
        <f>+_xlfn.XLOOKUP(AT412,CRUCE!K:K,CRUCE!M:M)</f>
        <v>READY</v>
      </c>
      <c r="AV412" t="s">
        <v>1907</v>
      </c>
    </row>
    <row r="413" spans="1:48" x14ac:dyDescent="0.3">
      <c r="A413">
        <v>2023</v>
      </c>
      <c r="B413">
        <v>318</v>
      </c>
      <c r="C413">
        <v>120502027</v>
      </c>
      <c r="D413" s="5">
        <v>154</v>
      </c>
      <c r="E413" s="8" t="s">
        <v>1294</v>
      </c>
      <c r="F413">
        <v>120502027</v>
      </c>
      <c r="G413" s="8" t="s">
        <v>1295</v>
      </c>
      <c r="H413" t="s">
        <v>643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132034682.04000001</v>
      </c>
      <c r="X413" s="11">
        <v>68239.759999999995</v>
      </c>
      <c r="Y413" s="17">
        <v>131966442.28</v>
      </c>
      <c r="Z413" s="11">
        <v>0</v>
      </c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11">
        <v>132034682.04000001</v>
      </c>
      <c r="AG413" s="11">
        <v>68239.759999999995</v>
      </c>
      <c r="AH413" s="12">
        <v>131966442.28</v>
      </c>
      <c r="AI413" s="11">
        <v>131966442.28</v>
      </c>
      <c r="AJ413" s="11">
        <v>0</v>
      </c>
      <c r="AK413" s="11">
        <v>0</v>
      </c>
      <c r="AL413" s="11">
        <v>131966442.28</v>
      </c>
      <c r="AM413" s="11">
        <v>132034682.04000001</v>
      </c>
      <c r="AN413" s="11">
        <v>68239.759999999995</v>
      </c>
      <c r="AO413" s="11">
        <v>132034682.04000001</v>
      </c>
      <c r="AP413" s="11">
        <v>0</v>
      </c>
      <c r="AQ413" s="11">
        <v>68239.759999999995</v>
      </c>
      <c r="AR413" t="s">
        <v>651</v>
      </c>
      <c r="AS413" s="4" t="str">
        <f t="shared" si="92"/>
        <v>Depósitos Recursos ADRES</v>
      </c>
      <c r="AT413" t="str">
        <f t="shared" si="93"/>
        <v>154Depósitos Recursos ADRES131966442,28</v>
      </c>
      <c r="AU413" t="str">
        <f>+_xlfn.XLOOKUP(AT413,CRUCE!K:K,CRUCE!M:M)</f>
        <v>READY</v>
      </c>
      <c r="AV413" t="s">
        <v>1907</v>
      </c>
    </row>
    <row r="414" spans="1:48" x14ac:dyDescent="0.3">
      <c r="A414">
        <v>2023</v>
      </c>
      <c r="B414">
        <v>318</v>
      </c>
      <c r="C414">
        <v>120502027</v>
      </c>
      <c r="D414" s="5">
        <v>167</v>
      </c>
      <c r="E414" s="8" t="s">
        <v>1296</v>
      </c>
      <c r="F414">
        <v>120502027</v>
      </c>
      <c r="G414" s="8" t="s">
        <v>1295</v>
      </c>
      <c r="H414" t="s">
        <v>643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418696.91</v>
      </c>
      <c r="X414" s="11">
        <v>0</v>
      </c>
      <c r="Y414" s="17">
        <v>418696.91</v>
      </c>
      <c r="Z414" s="11">
        <v>0</v>
      </c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11">
        <v>418696.91</v>
      </c>
      <c r="AG414" s="11">
        <v>0</v>
      </c>
      <c r="AH414" s="12">
        <v>418696.91</v>
      </c>
      <c r="AI414" s="11">
        <v>418696.91</v>
      </c>
      <c r="AJ414" s="11">
        <v>0</v>
      </c>
      <c r="AK414" s="11">
        <v>0</v>
      </c>
      <c r="AL414" s="11">
        <v>418696.91</v>
      </c>
      <c r="AM414" s="11">
        <v>418696.91</v>
      </c>
      <c r="AN414" s="11">
        <v>0</v>
      </c>
      <c r="AO414" s="11">
        <v>418696.91</v>
      </c>
      <c r="AP414" s="11">
        <v>0</v>
      </c>
      <c r="AQ414" s="11">
        <v>0</v>
      </c>
      <c r="AR414" t="s">
        <v>847</v>
      </c>
      <c r="AS414" s="4" t="str">
        <f t="shared" si="92"/>
        <v>Depósitos Recursos ADRES</v>
      </c>
      <c r="AT414" t="str">
        <f t="shared" si="93"/>
        <v>167Depósitos Recursos ADRES418696,91</v>
      </c>
      <c r="AU414" t="str">
        <f>+_xlfn.XLOOKUP(AT414,CRUCE!K:K,CRUCE!M:M)</f>
        <v>READY</v>
      </c>
      <c r="AV414" t="s">
        <v>1907</v>
      </c>
    </row>
    <row r="415" spans="1:48" x14ac:dyDescent="0.3">
      <c r="A415">
        <v>2023</v>
      </c>
      <c r="B415">
        <v>318</v>
      </c>
      <c r="C415">
        <v>120502028</v>
      </c>
      <c r="D415" s="5">
        <v>65</v>
      </c>
      <c r="E415" s="8" t="s">
        <v>1297</v>
      </c>
      <c r="F415">
        <v>120502028</v>
      </c>
      <c r="G415" s="8" t="s">
        <v>1298</v>
      </c>
      <c r="H415" t="s">
        <v>643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6420920.21</v>
      </c>
      <c r="X415" s="11">
        <v>0</v>
      </c>
      <c r="Y415" s="17">
        <v>6420920.21</v>
      </c>
      <c r="Z415" s="11">
        <v>0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6420920.21</v>
      </c>
      <c r="AG415" s="11">
        <v>0</v>
      </c>
      <c r="AH415" s="12">
        <v>6420920.21</v>
      </c>
      <c r="AI415" s="11">
        <v>6420920.21</v>
      </c>
      <c r="AJ415" s="11">
        <v>0</v>
      </c>
      <c r="AK415" s="11">
        <v>0</v>
      </c>
      <c r="AL415" s="11">
        <v>6420920.21</v>
      </c>
      <c r="AM415" s="11">
        <v>6420920.21</v>
      </c>
      <c r="AN415" s="11">
        <v>0</v>
      </c>
      <c r="AO415" s="11">
        <v>6420920.21</v>
      </c>
      <c r="AP415" s="11">
        <v>0</v>
      </c>
      <c r="AQ415" s="11">
        <v>0</v>
      </c>
      <c r="AR415" t="s">
        <v>840</v>
      </c>
      <c r="AS415" s="4" t="str">
        <f t="shared" si="92"/>
        <v>Depositos Aportes de la Nacion</v>
      </c>
      <c r="AT415" t="str">
        <f t="shared" si="93"/>
        <v>65Depositos Aportes de la Nacion6420920,21</v>
      </c>
      <c r="AU415" t="str">
        <f>+_xlfn.XLOOKUP(AT415,CRUCE!K:K,CRUCE!M:M)</f>
        <v>READY</v>
      </c>
      <c r="AV415" t="s">
        <v>1907</v>
      </c>
    </row>
    <row r="416" spans="1:48" x14ac:dyDescent="0.3">
      <c r="A416">
        <v>2023</v>
      </c>
      <c r="B416">
        <v>318</v>
      </c>
      <c r="C416">
        <v>120502029</v>
      </c>
      <c r="D416" s="5">
        <v>96</v>
      </c>
      <c r="E416" s="8" t="s">
        <v>1299</v>
      </c>
      <c r="F416">
        <v>120502029</v>
      </c>
      <c r="G416" s="8" t="s">
        <v>1300</v>
      </c>
      <c r="H416" t="s">
        <v>643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9350.33</v>
      </c>
      <c r="X416" s="11">
        <v>0</v>
      </c>
      <c r="Y416" s="17">
        <v>9350.33</v>
      </c>
      <c r="Z416" s="11">
        <v>0</v>
      </c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9350.33</v>
      </c>
      <c r="AG416" s="11">
        <v>0</v>
      </c>
      <c r="AH416" s="12">
        <v>9350.33</v>
      </c>
      <c r="AI416" s="11">
        <v>9350.33</v>
      </c>
      <c r="AJ416" s="11">
        <v>0</v>
      </c>
      <c r="AK416" s="11">
        <v>0</v>
      </c>
      <c r="AL416" s="11">
        <v>9350.33</v>
      </c>
      <c r="AM416" s="11">
        <v>9350.33</v>
      </c>
      <c r="AN416" s="11">
        <v>0</v>
      </c>
      <c r="AO416" s="11">
        <v>9350.33</v>
      </c>
      <c r="AP416" s="11">
        <v>0</v>
      </c>
      <c r="AQ416" s="11">
        <v>0</v>
      </c>
      <c r="AR416" t="s">
        <v>850</v>
      </c>
      <c r="AS416" s="4" t="str">
        <f t="shared" si="92"/>
        <v>Depósitos  Superávit Rentas Cedidas</v>
      </c>
      <c r="AT416" t="str">
        <f t="shared" si="93"/>
        <v>96Depósitos  Superávit Rentas Cedidas9350,33</v>
      </c>
      <c r="AU416" t="str">
        <f>+_xlfn.XLOOKUP(AT416,CRUCE!K:K,CRUCE!M:M)</f>
        <v>READY</v>
      </c>
      <c r="AV416" t="s">
        <v>1907</v>
      </c>
    </row>
    <row r="417" spans="1:48" x14ac:dyDescent="0.3">
      <c r="A417">
        <v>2023</v>
      </c>
      <c r="B417">
        <v>318</v>
      </c>
      <c r="C417">
        <v>120506</v>
      </c>
      <c r="D417" s="5">
        <v>154</v>
      </c>
      <c r="E417" s="8" t="s">
        <v>1426</v>
      </c>
      <c r="F417">
        <v>120506</v>
      </c>
      <c r="G417" s="8" t="s">
        <v>1427</v>
      </c>
      <c r="H417" t="s">
        <v>643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7">
        <v>0</v>
      </c>
      <c r="Z417" s="11">
        <v>0</v>
      </c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12">
        <v>0</v>
      </c>
      <c r="AI417" s="11">
        <v>0</v>
      </c>
      <c r="AJ417" s="11">
        <v>0</v>
      </c>
      <c r="AK417" s="11">
        <v>0</v>
      </c>
      <c r="AL417" s="11">
        <v>0</v>
      </c>
      <c r="AM417" s="11">
        <v>0</v>
      </c>
      <c r="AN417" s="11">
        <v>0</v>
      </c>
      <c r="AO417" s="11">
        <v>0</v>
      </c>
      <c r="AP417" s="11">
        <v>0</v>
      </c>
      <c r="AQ417" s="11">
        <v>0</v>
      </c>
      <c r="AR417" t="s">
        <v>651</v>
      </c>
      <c r="AS417" s="4" t="str">
        <f>+G417</f>
        <v>Rendimientos recursos de terceros</v>
      </c>
      <c r="AT417" t="str">
        <f t="shared" si="93"/>
        <v>154Rendimientos recursos de terceros0</v>
      </c>
      <c r="AU417" t="str">
        <f>+_xlfn.XLOOKUP(AT417,CRUCE!K:K,CRUCE!M:M)</f>
        <v>READY</v>
      </c>
      <c r="AV417" t="s">
        <v>1907</v>
      </c>
    </row>
    <row r="418" spans="1:48" hidden="1" x14ac:dyDescent="0.3">
      <c r="A418">
        <v>2023</v>
      </c>
      <c r="B418">
        <v>318</v>
      </c>
      <c r="C418">
        <v>1208</v>
      </c>
      <c r="D418" s="5" t="s">
        <v>44</v>
      </c>
      <c r="E418" s="8" t="s">
        <v>857</v>
      </c>
      <c r="F418">
        <v>1208</v>
      </c>
      <c r="G418" s="8" t="s">
        <v>858</v>
      </c>
      <c r="H418" t="s">
        <v>643</v>
      </c>
      <c r="I418" s="11">
        <v>636817959</v>
      </c>
      <c r="J418" s="11">
        <v>636817959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636817959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2235874949.7600002</v>
      </c>
      <c r="X418" s="11">
        <v>10860000</v>
      </c>
      <c r="Y418" s="17">
        <v>2225014949.7600002</v>
      </c>
      <c r="Z418" s="11">
        <v>0</v>
      </c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11">
        <v>2235874949.7600002</v>
      </c>
      <c r="AG418" s="11">
        <v>10860000</v>
      </c>
      <c r="AH418" s="12">
        <v>2225014949.7600002</v>
      </c>
      <c r="AI418" s="11">
        <v>2225014949.7600002</v>
      </c>
      <c r="AJ418" s="11">
        <v>2225014949.7600002</v>
      </c>
      <c r="AK418" s="11">
        <v>2225014949.7600002</v>
      </c>
      <c r="AL418" s="11">
        <v>0</v>
      </c>
      <c r="AM418" s="11">
        <v>0</v>
      </c>
      <c r="AN418" s="11">
        <v>0</v>
      </c>
      <c r="AO418" s="11">
        <v>0</v>
      </c>
      <c r="AP418" s="11">
        <v>0</v>
      </c>
      <c r="AQ418" s="11">
        <v>0</v>
      </c>
      <c r="AR418" t="s">
        <v>48</v>
      </c>
      <c r="AS418"/>
    </row>
    <row r="419" spans="1:48" hidden="1" x14ac:dyDescent="0.3">
      <c r="A419">
        <v>2023</v>
      </c>
      <c r="B419">
        <v>318</v>
      </c>
      <c r="C419">
        <v>120804</v>
      </c>
      <c r="D419" s="5" t="s">
        <v>44</v>
      </c>
      <c r="E419" s="8" t="s">
        <v>859</v>
      </c>
      <c r="F419">
        <v>120804</v>
      </c>
      <c r="G419" s="8" t="s">
        <v>860</v>
      </c>
      <c r="H419" t="s">
        <v>643</v>
      </c>
      <c r="I419" s="11">
        <v>636817959</v>
      </c>
      <c r="J419" s="11">
        <v>636817959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636817959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2235874949.7600002</v>
      </c>
      <c r="X419" s="11">
        <v>10860000</v>
      </c>
      <c r="Y419" s="17">
        <v>2225014949.7600002</v>
      </c>
      <c r="Z419" s="11">
        <v>0</v>
      </c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11">
        <v>2235874949.7600002</v>
      </c>
      <c r="AG419" s="11">
        <v>10860000</v>
      </c>
      <c r="AH419" s="12">
        <v>2225014949.7600002</v>
      </c>
      <c r="AI419" s="11">
        <v>2225014949.7600002</v>
      </c>
      <c r="AJ419" s="11">
        <v>2225014949.7600002</v>
      </c>
      <c r="AK419" s="11">
        <v>2225014949.7600002</v>
      </c>
      <c r="AL419" s="11">
        <v>0</v>
      </c>
      <c r="AM419" s="11">
        <v>0</v>
      </c>
      <c r="AN419" s="11">
        <v>0</v>
      </c>
      <c r="AO419" s="11">
        <v>0</v>
      </c>
      <c r="AP419" s="11">
        <v>0</v>
      </c>
      <c r="AQ419" s="11">
        <v>0</v>
      </c>
      <c r="AR419" t="s">
        <v>48</v>
      </c>
      <c r="AS419"/>
    </row>
    <row r="420" spans="1:48" hidden="1" x14ac:dyDescent="0.3">
      <c r="A420">
        <v>2023</v>
      </c>
      <c r="B420">
        <v>318</v>
      </c>
      <c r="C420">
        <v>120804001</v>
      </c>
      <c r="D420" s="5" t="s">
        <v>44</v>
      </c>
      <c r="E420" s="8" t="s">
        <v>861</v>
      </c>
      <c r="F420">
        <v>120804001</v>
      </c>
      <c r="G420" s="8" t="s">
        <v>862</v>
      </c>
      <c r="H420" t="s">
        <v>643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2235874949.7600002</v>
      </c>
      <c r="X420" s="11">
        <v>10860000</v>
      </c>
      <c r="Y420" s="17">
        <v>2225014949.7600002</v>
      </c>
      <c r="Z420" s="11">
        <v>0</v>
      </c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11">
        <v>2235874949.7600002</v>
      </c>
      <c r="AG420" s="11">
        <v>10860000</v>
      </c>
      <c r="AH420" s="12">
        <v>2225014949.7600002</v>
      </c>
      <c r="AI420" s="11">
        <v>2225014949.7600002</v>
      </c>
      <c r="AJ420" s="11">
        <v>2225014949.7600002</v>
      </c>
      <c r="AK420" s="11">
        <v>2225014949.7600002</v>
      </c>
      <c r="AL420" s="11">
        <v>0</v>
      </c>
      <c r="AM420" s="11">
        <v>0</v>
      </c>
      <c r="AN420" s="11">
        <v>0</v>
      </c>
      <c r="AO420" s="11">
        <v>0</v>
      </c>
      <c r="AP420" s="11">
        <v>0</v>
      </c>
      <c r="AQ420" s="11">
        <v>0</v>
      </c>
      <c r="AR420" t="s">
        <v>48</v>
      </c>
      <c r="AS420"/>
    </row>
    <row r="421" spans="1:48" x14ac:dyDescent="0.3">
      <c r="A421">
        <v>2023</v>
      </c>
      <c r="B421">
        <v>318</v>
      </c>
      <c r="C421">
        <v>12080400101</v>
      </c>
      <c r="D421" s="5">
        <v>154</v>
      </c>
      <c r="E421" s="8" t="s">
        <v>863</v>
      </c>
      <c r="F421">
        <v>12080400101</v>
      </c>
      <c r="G421" s="8" t="s">
        <v>864</v>
      </c>
      <c r="H421" t="s">
        <v>643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1265108696.76</v>
      </c>
      <c r="X421" s="11">
        <v>0</v>
      </c>
      <c r="Y421" s="17">
        <v>1265108696.76</v>
      </c>
      <c r="Z421" s="11">
        <v>0</v>
      </c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11">
        <v>1265108696.76</v>
      </c>
      <c r="AG421" s="11">
        <v>0</v>
      </c>
      <c r="AH421" s="12">
        <v>1265108696.76</v>
      </c>
      <c r="AI421" s="11">
        <v>1265108696.76</v>
      </c>
      <c r="AJ421" s="11">
        <v>1265108696.76</v>
      </c>
      <c r="AK421" s="11">
        <v>1265108696.76</v>
      </c>
      <c r="AL421" s="11">
        <v>0</v>
      </c>
      <c r="AM421" s="11">
        <v>0</v>
      </c>
      <c r="AN421" s="11">
        <v>0</v>
      </c>
      <c r="AO421" s="11">
        <v>0</v>
      </c>
      <c r="AP421" s="11">
        <v>0</v>
      </c>
      <c r="AQ421" s="11">
        <v>0</v>
      </c>
      <c r="AR421" t="s">
        <v>651</v>
      </c>
      <c r="AS421" s="4" t="str">
        <f t="shared" ref="AS421:AS423" si="94">+G421</f>
        <v>Premios de juegos de suerte y azar no reclamados - Juego de Loterias</v>
      </c>
      <c r="AT421" t="str">
        <f t="shared" ref="AT421:AT424" si="95">+D421&amp;AS421&amp;Y421</f>
        <v>154Premios de juegos de suerte y azar no reclamados - Juego de Loterias1265108696,76</v>
      </c>
      <c r="AU421" t="str">
        <f>+_xlfn.XLOOKUP(AT421,CRUCE!K:K,CRUCE!M:M)</f>
        <v>READY</v>
      </c>
      <c r="AV421" t="s">
        <v>1907</v>
      </c>
    </row>
    <row r="422" spans="1:48" x14ac:dyDescent="0.3">
      <c r="A422">
        <v>2023</v>
      </c>
      <c r="B422">
        <v>318</v>
      </c>
      <c r="C422">
        <v>12080400102</v>
      </c>
      <c r="D422" s="5">
        <v>154</v>
      </c>
      <c r="E422" s="8" t="s">
        <v>865</v>
      </c>
      <c r="F422">
        <v>12080400102</v>
      </c>
      <c r="G422" s="8" t="s">
        <v>866</v>
      </c>
      <c r="H422" t="s">
        <v>643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  <c r="V422" s="11">
        <v>0</v>
      </c>
      <c r="W422" s="11">
        <v>502798068</v>
      </c>
      <c r="X422" s="11">
        <v>10860000</v>
      </c>
      <c r="Y422" s="17">
        <v>491938068</v>
      </c>
      <c r="Z422" s="11">
        <v>0</v>
      </c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11">
        <v>502798068</v>
      </c>
      <c r="AG422" s="11">
        <v>10860000</v>
      </c>
      <c r="AH422" s="12">
        <v>491938068</v>
      </c>
      <c r="AI422" s="11">
        <v>491938068</v>
      </c>
      <c r="AJ422" s="11">
        <v>491938068</v>
      </c>
      <c r="AK422" s="11">
        <v>491938068</v>
      </c>
      <c r="AL422" s="11">
        <v>0</v>
      </c>
      <c r="AM422" s="11">
        <v>0</v>
      </c>
      <c r="AN422" s="11">
        <v>0</v>
      </c>
      <c r="AO422" s="11">
        <v>0</v>
      </c>
      <c r="AP422" s="11">
        <v>0</v>
      </c>
      <c r="AQ422" s="11">
        <v>0</v>
      </c>
      <c r="AR422" t="s">
        <v>651</v>
      </c>
      <c r="AS422" s="4" t="str">
        <f t="shared" si="94"/>
        <v>Premios de juegos de suerte y azar no reclamados - Juego de apuestas permanentes o chance</v>
      </c>
      <c r="AT422" t="str">
        <f t="shared" si="95"/>
        <v>154Premios de juegos de suerte y azar no reclamados - Juego de apuestas permanentes o chance491938068</v>
      </c>
      <c r="AU422" t="str">
        <f>+_xlfn.XLOOKUP(AT422,CRUCE!K:K,CRUCE!M:M)</f>
        <v>READY</v>
      </c>
      <c r="AV422" t="s">
        <v>1907</v>
      </c>
    </row>
    <row r="423" spans="1:48" x14ac:dyDescent="0.3">
      <c r="A423">
        <v>2023</v>
      </c>
      <c r="B423">
        <v>318</v>
      </c>
      <c r="C423">
        <v>12080400103</v>
      </c>
      <c r="D423" s="5">
        <v>154</v>
      </c>
      <c r="E423" s="8" t="s">
        <v>867</v>
      </c>
      <c r="F423">
        <v>12080400103</v>
      </c>
      <c r="G423" s="8" t="s">
        <v>868</v>
      </c>
      <c r="H423" t="s">
        <v>643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467968185</v>
      </c>
      <c r="X423" s="11">
        <v>0</v>
      </c>
      <c r="Y423" s="17">
        <v>467968185</v>
      </c>
      <c r="Z423" s="11">
        <v>0</v>
      </c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467968185</v>
      </c>
      <c r="AG423" s="11">
        <v>0</v>
      </c>
      <c r="AH423" s="12">
        <v>467968185</v>
      </c>
      <c r="AI423" s="11">
        <v>467968185</v>
      </c>
      <c r="AJ423" s="11">
        <v>467968185</v>
      </c>
      <c r="AK423" s="11">
        <v>467968185</v>
      </c>
      <c r="AL423" s="11">
        <v>0</v>
      </c>
      <c r="AM423" s="11">
        <v>0</v>
      </c>
      <c r="AN423" s="11">
        <v>0</v>
      </c>
      <c r="AO423" s="11">
        <v>0</v>
      </c>
      <c r="AP423" s="11">
        <v>0</v>
      </c>
      <c r="AQ423" s="11">
        <v>0</v>
      </c>
      <c r="AR423" t="s">
        <v>651</v>
      </c>
      <c r="AS423" s="4" t="str">
        <f t="shared" si="94"/>
        <v>Premios de juegos de suerte y azar no reclamados - Juegos novedosos - superastro</v>
      </c>
      <c r="AT423" t="str">
        <f t="shared" si="95"/>
        <v>154Premios de juegos de suerte y azar no reclamados - Juegos novedosos - superastro467968185</v>
      </c>
      <c r="AU423" t="str">
        <f>+_xlfn.XLOOKUP(AT423,CRUCE!K:K,CRUCE!M:M)</f>
        <v>READY</v>
      </c>
      <c r="AV423" t="s">
        <v>1907</v>
      </c>
    </row>
    <row r="424" spans="1:48" x14ac:dyDescent="0.3">
      <c r="A424">
        <v>2023</v>
      </c>
      <c r="B424">
        <v>318</v>
      </c>
      <c r="C424">
        <v>120804002</v>
      </c>
      <c r="D424" s="5">
        <v>154</v>
      </c>
      <c r="E424" s="8" t="s">
        <v>1428</v>
      </c>
      <c r="F424">
        <v>120804002</v>
      </c>
      <c r="G424" s="8" t="s">
        <v>1429</v>
      </c>
      <c r="H424" t="s">
        <v>643</v>
      </c>
      <c r="I424" s="11">
        <v>636817959</v>
      </c>
      <c r="J424" s="11">
        <v>636817959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636817959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7">
        <v>0</v>
      </c>
      <c r="Z424" s="11">
        <v>0</v>
      </c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12">
        <v>0</v>
      </c>
      <c r="AI424" s="11">
        <v>0</v>
      </c>
      <c r="AJ424" s="11">
        <v>0</v>
      </c>
      <c r="AK424" s="11">
        <v>0</v>
      </c>
      <c r="AL424" s="11">
        <v>0</v>
      </c>
      <c r="AM424" s="11">
        <v>0</v>
      </c>
      <c r="AN424" s="11">
        <v>0</v>
      </c>
      <c r="AO424" s="11">
        <v>0</v>
      </c>
      <c r="AP424" s="11">
        <v>0</v>
      </c>
      <c r="AQ424" s="11">
        <v>0</v>
      </c>
      <c r="AR424" t="s">
        <v>651</v>
      </c>
      <c r="AS424" s="4" t="str">
        <f>+G424</f>
        <v>Premios de loterías</v>
      </c>
      <c r="AT424" t="str">
        <f t="shared" si="95"/>
        <v>154Premios de loterías0</v>
      </c>
      <c r="AU424" t="str">
        <f>+_xlfn.XLOOKUP(AT424,CRUCE!K:K,CRUCE!M:M)</f>
        <v>READY</v>
      </c>
      <c r="AV424" t="s">
        <v>1907</v>
      </c>
    </row>
    <row r="425" spans="1:48" hidden="1" x14ac:dyDescent="0.3">
      <c r="A425">
        <v>2023</v>
      </c>
      <c r="B425">
        <v>318</v>
      </c>
      <c r="C425">
        <v>1210</v>
      </c>
      <c r="D425" s="5" t="s">
        <v>44</v>
      </c>
      <c r="E425" s="8" t="s">
        <v>1430</v>
      </c>
      <c r="F425">
        <v>1210</v>
      </c>
      <c r="G425" s="8" t="s">
        <v>474</v>
      </c>
      <c r="H425" t="s">
        <v>643</v>
      </c>
      <c r="I425" s="11">
        <v>0</v>
      </c>
      <c r="J425" s="11">
        <v>0</v>
      </c>
      <c r="K425" s="11">
        <v>8145259586.8599997</v>
      </c>
      <c r="L425" s="11">
        <v>0</v>
      </c>
      <c r="M425" s="11">
        <v>8145259586.8599997</v>
      </c>
      <c r="N425" s="11">
        <v>8145259586.8599997</v>
      </c>
      <c r="O425" s="11">
        <v>0</v>
      </c>
      <c r="P425" s="11">
        <v>8145259586.8599997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8145259586.8599997</v>
      </c>
      <c r="X425" s="11">
        <v>0</v>
      </c>
      <c r="Y425" s="17">
        <v>8145259586.8599997</v>
      </c>
      <c r="Z425" s="11">
        <v>0</v>
      </c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8145259586.8599997</v>
      </c>
      <c r="AG425" s="11">
        <v>0</v>
      </c>
      <c r="AH425" s="12">
        <v>8145259586.8599997</v>
      </c>
      <c r="AI425" s="11">
        <v>8145259586.8599997</v>
      </c>
      <c r="AJ425" s="11">
        <v>8145259586.8599997</v>
      </c>
      <c r="AK425" s="11">
        <v>8145259586.8599997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t="s">
        <v>48</v>
      </c>
      <c r="AS425"/>
    </row>
    <row r="426" spans="1:48" hidden="1" x14ac:dyDescent="0.3">
      <c r="A426">
        <v>2023</v>
      </c>
      <c r="B426">
        <v>318</v>
      </c>
      <c r="C426">
        <v>121002</v>
      </c>
      <c r="D426" s="5" t="s">
        <v>44</v>
      </c>
      <c r="E426" s="8" t="s">
        <v>1431</v>
      </c>
      <c r="F426">
        <v>121002</v>
      </c>
      <c r="G426" s="8" t="s">
        <v>476</v>
      </c>
      <c r="H426" t="s">
        <v>643</v>
      </c>
      <c r="I426" s="11">
        <v>0</v>
      </c>
      <c r="J426" s="11">
        <v>0</v>
      </c>
      <c r="K426" s="11">
        <v>8145259586.8599997</v>
      </c>
      <c r="L426" s="11">
        <v>0</v>
      </c>
      <c r="M426" s="11">
        <v>8145259586.8599997</v>
      </c>
      <c r="N426" s="11">
        <v>8145259586.8599997</v>
      </c>
      <c r="O426" s="11">
        <v>0</v>
      </c>
      <c r="P426" s="11">
        <v>8145259586.8599997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8145259586.8599997</v>
      </c>
      <c r="X426" s="11">
        <v>0</v>
      </c>
      <c r="Y426" s="17">
        <v>8145259586.8599997</v>
      </c>
      <c r="Z426" s="11">
        <v>0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8145259586.8599997</v>
      </c>
      <c r="AG426" s="11">
        <v>0</v>
      </c>
      <c r="AH426" s="12">
        <v>8145259586.8599997</v>
      </c>
      <c r="AI426" s="11">
        <v>8145259586.8599997</v>
      </c>
      <c r="AJ426" s="11">
        <v>8145259586.8599997</v>
      </c>
      <c r="AK426" s="11">
        <v>8145259586.8599997</v>
      </c>
      <c r="AL426" s="11">
        <v>0</v>
      </c>
      <c r="AM426" s="11">
        <v>0</v>
      </c>
      <c r="AN426" s="11">
        <v>0</v>
      </c>
      <c r="AO426" s="11">
        <v>0</v>
      </c>
      <c r="AP426" s="11">
        <v>0</v>
      </c>
      <c r="AQ426" s="11">
        <v>0</v>
      </c>
      <c r="AR426" t="s">
        <v>48</v>
      </c>
      <c r="AS426"/>
    </row>
    <row r="427" spans="1:48" hidden="1" x14ac:dyDescent="0.3">
      <c r="A427">
        <v>2023</v>
      </c>
      <c r="B427">
        <v>318</v>
      </c>
      <c r="C427">
        <v>121002002</v>
      </c>
      <c r="D427" s="5" t="s">
        <v>44</v>
      </c>
      <c r="E427" s="8" t="s">
        <v>1432</v>
      </c>
      <c r="F427">
        <v>121002002</v>
      </c>
      <c r="G427" s="8" t="s">
        <v>482</v>
      </c>
      <c r="H427" t="s">
        <v>643</v>
      </c>
      <c r="I427" s="11">
        <v>0</v>
      </c>
      <c r="J427" s="11">
        <v>0</v>
      </c>
      <c r="K427" s="11">
        <v>8145259586.8599997</v>
      </c>
      <c r="L427" s="11">
        <v>0</v>
      </c>
      <c r="M427" s="11">
        <v>8145259586.8599997</v>
      </c>
      <c r="N427" s="11">
        <v>8145259586.8599997</v>
      </c>
      <c r="O427" s="11">
        <v>0</v>
      </c>
      <c r="P427" s="11">
        <v>8145259586.8599997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8145259586.8599997</v>
      </c>
      <c r="X427" s="11">
        <v>0</v>
      </c>
      <c r="Y427" s="17">
        <v>8145259586.8599997</v>
      </c>
      <c r="Z427" s="11">
        <v>0</v>
      </c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11">
        <v>8145259586.8599997</v>
      </c>
      <c r="AG427" s="11">
        <v>0</v>
      </c>
      <c r="AH427" s="12">
        <v>8145259586.8599997</v>
      </c>
      <c r="AI427" s="11">
        <v>8145259586.8599997</v>
      </c>
      <c r="AJ427" s="11">
        <v>8145259586.8599997</v>
      </c>
      <c r="AK427" s="11">
        <v>8145259586.8599997</v>
      </c>
      <c r="AL427" s="11">
        <v>0</v>
      </c>
      <c r="AM427" s="11">
        <v>0</v>
      </c>
      <c r="AN427" s="11">
        <v>0</v>
      </c>
      <c r="AO427" s="11">
        <v>0</v>
      </c>
      <c r="AP427" s="11">
        <v>0</v>
      </c>
      <c r="AQ427" s="11">
        <v>0</v>
      </c>
      <c r="AR427" t="s">
        <v>48</v>
      </c>
      <c r="AS427"/>
    </row>
    <row r="428" spans="1:48" x14ac:dyDescent="0.3">
      <c r="A428">
        <v>2023</v>
      </c>
      <c r="B428">
        <v>318</v>
      </c>
      <c r="C428">
        <v>12100200204</v>
      </c>
      <c r="D428" s="5">
        <v>98</v>
      </c>
      <c r="E428" s="8" t="s">
        <v>872</v>
      </c>
      <c r="F428">
        <v>12100200204</v>
      </c>
      <c r="G428" s="8" t="s">
        <v>873</v>
      </c>
      <c r="H428" t="s">
        <v>643</v>
      </c>
      <c r="I428" s="11">
        <v>0</v>
      </c>
      <c r="J428" s="11">
        <v>0</v>
      </c>
      <c r="K428" s="11">
        <v>1060639061.29</v>
      </c>
      <c r="L428" s="11">
        <v>0</v>
      </c>
      <c r="M428" s="11">
        <v>1060639061.29</v>
      </c>
      <c r="N428" s="11">
        <v>1060639061.29</v>
      </c>
      <c r="O428" s="11">
        <v>0</v>
      </c>
      <c r="P428" s="11">
        <v>1060639061.29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1060639061.29</v>
      </c>
      <c r="X428" s="11">
        <v>0</v>
      </c>
      <c r="Y428" s="17">
        <v>1060639061.29</v>
      </c>
      <c r="Z428" s="11">
        <v>0</v>
      </c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11">
        <v>1060639061.29</v>
      </c>
      <c r="AG428" s="11">
        <v>0</v>
      </c>
      <c r="AH428" s="12">
        <v>1060639061.29</v>
      </c>
      <c r="AI428" s="11">
        <v>1060639061.29</v>
      </c>
      <c r="AJ428" s="11">
        <v>1060639061.29</v>
      </c>
      <c r="AK428" s="11">
        <v>1060639061.29</v>
      </c>
      <c r="AL428" s="11">
        <v>0</v>
      </c>
      <c r="AM428" s="11">
        <v>0</v>
      </c>
      <c r="AN428" s="11">
        <v>0</v>
      </c>
      <c r="AO428" s="11">
        <v>0</v>
      </c>
      <c r="AP428" s="11">
        <v>0</v>
      </c>
      <c r="AQ428" s="11">
        <v>0</v>
      </c>
      <c r="AR428" t="s">
        <v>874</v>
      </c>
      <c r="AS428" s="4" t="str">
        <f>+G428</f>
        <v>Superávit SGP Salud Pública</v>
      </c>
      <c r="AT428" t="str">
        <f t="shared" ref="AT428:AT439" si="96">+D428&amp;AS428&amp;Y428</f>
        <v>98Superávit SGP Salud Pública1060639061,29</v>
      </c>
      <c r="AU428" t="str">
        <f>+_xlfn.XLOOKUP(AT428,CRUCE!K:K,CRUCE!M:M)</f>
        <v>READY</v>
      </c>
      <c r="AV428" t="s">
        <v>1907</v>
      </c>
    </row>
    <row r="429" spans="1:48" x14ac:dyDescent="0.3">
      <c r="A429">
        <v>2023</v>
      </c>
      <c r="B429">
        <v>318</v>
      </c>
      <c r="C429">
        <v>12100200226</v>
      </c>
      <c r="D429" s="5">
        <v>199</v>
      </c>
      <c r="E429" s="8" t="s">
        <v>883</v>
      </c>
      <c r="F429">
        <v>12100200226</v>
      </c>
      <c r="G429" s="8" t="s">
        <v>884</v>
      </c>
      <c r="H429" t="s">
        <v>643</v>
      </c>
      <c r="I429" s="11">
        <v>0</v>
      </c>
      <c r="J429" s="11">
        <v>0</v>
      </c>
      <c r="K429" s="11">
        <v>780549861.13</v>
      </c>
      <c r="L429" s="11">
        <v>0</v>
      </c>
      <c r="M429" s="11">
        <v>780549861.13</v>
      </c>
      <c r="N429" s="11">
        <v>780549861.13</v>
      </c>
      <c r="O429" s="11">
        <v>0</v>
      </c>
      <c r="P429" s="11">
        <v>780549861.13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780549861.13</v>
      </c>
      <c r="X429" s="11">
        <v>0</v>
      </c>
      <c r="Y429" s="17">
        <v>780549861.13</v>
      </c>
      <c r="Z429" s="11">
        <v>0</v>
      </c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780549861.13</v>
      </c>
      <c r="AG429" s="11">
        <v>0</v>
      </c>
      <c r="AH429" s="12">
        <v>780549861.13</v>
      </c>
      <c r="AI429" s="11">
        <v>780549861.13</v>
      </c>
      <c r="AJ429" s="11">
        <v>780549861.13</v>
      </c>
      <c r="AK429" s="11">
        <v>780549861.13</v>
      </c>
      <c r="AL429" s="11">
        <v>0</v>
      </c>
      <c r="AM429" s="11">
        <v>0</v>
      </c>
      <c r="AN429" s="11">
        <v>0</v>
      </c>
      <c r="AO429" s="11">
        <v>0</v>
      </c>
      <c r="AP429" s="11">
        <v>0</v>
      </c>
      <c r="AQ429" s="11">
        <v>0</v>
      </c>
      <c r="AR429" t="s">
        <v>885</v>
      </c>
      <c r="AS429" s="4" t="str">
        <f>+G429</f>
        <v>Superávit Rentas Cedidas Subcuenta Otros Gastos en Salud</v>
      </c>
      <c r="AT429" t="str">
        <f t="shared" si="96"/>
        <v>199Superávit Rentas Cedidas Subcuenta Otros Gastos en Salud780549861,13</v>
      </c>
      <c r="AU429" t="str">
        <f>+_xlfn.XLOOKUP(AT429,CRUCE!K:K,CRUCE!M:M)</f>
        <v>READY</v>
      </c>
      <c r="AV429" t="s">
        <v>1907</v>
      </c>
    </row>
    <row r="430" spans="1:48" x14ac:dyDescent="0.3">
      <c r="A430">
        <v>2023</v>
      </c>
      <c r="B430">
        <v>318</v>
      </c>
      <c r="C430">
        <v>12100200227</v>
      </c>
      <c r="D430" s="5">
        <v>200</v>
      </c>
      <c r="E430" s="8" t="s">
        <v>886</v>
      </c>
      <c r="F430">
        <v>12100200227</v>
      </c>
      <c r="G430" s="8" t="s">
        <v>887</v>
      </c>
      <c r="H430" t="s">
        <v>643</v>
      </c>
      <c r="I430" s="11">
        <v>0</v>
      </c>
      <c r="J430" s="11">
        <v>0</v>
      </c>
      <c r="K430" s="11">
        <v>4075229.73</v>
      </c>
      <c r="L430" s="11">
        <v>0</v>
      </c>
      <c r="M430" s="11">
        <v>4075229.73</v>
      </c>
      <c r="N430" s="11">
        <v>4075229.73</v>
      </c>
      <c r="O430" s="11">
        <v>0</v>
      </c>
      <c r="P430" s="11">
        <v>4075229.73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4075229.73</v>
      </c>
      <c r="X430" s="11">
        <v>0</v>
      </c>
      <c r="Y430" s="17">
        <v>4075229.73</v>
      </c>
      <c r="Z430" s="11">
        <v>0</v>
      </c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11">
        <v>4075229.73</v>
      </c>
      <c r="AG430" s="11">
        <v>0</v>
      </c>
      <c r="AH430" s="12">
        <v>4075229.73</v>
      </c>
      <c r="AI430" s="11">
        <v>4075229.73</v>
      </c>
      <c r="AJ430" s="11">
        <v>4075229.73</v>
      </c>
      <c r="AK430" s="11">
        <v>4075229.73</v>
      </c>
      <c r="AL430" s="11">
        <v>0</v>
      </c>
      <c r="AM430" s="11">
        <v>0</v>
      </c>
      <c r="AN430" s="11">
        <v>0</v>
      </c>
      <c r="AO430" s="11">
        <v>0</v>
      </c>
      <c r="AP430" s="11">
        <v>0</v>
      </c>
      <c r="AQ430" s="11">
        <v>0</v>
      </c>
      <c r="AR430" t="s">
        <v>888</v>
      </c>
      <c r="AS430" s="4" t="str">
        <f t="shared" ref="AS430:AS434" si="97">+G430</f>
        <v>Superávit COLCIENCIAS</v>
      </c>
      <c r="AT430" t="str">
        <f t="shared" si="96"/>
        <v>200Superávit COLCIENCIAS4075229,73</v>
      </c>
      <c r="AU430" t="str">
        <f>+_xlfn.XLOOKUP(AT430,CRUCE!K:K,CRUCE!M:M)</f>
        <v>READY</v>
      </c>
      <c r="AV430" t="s">
        <v>1907</v>
      </c>
    </row>
    <row r="431" spans="1:48" x14ac:dyDescent="0.3">
      <c r="A431">
        <v>2023</v>
      </c>
      <c r="B431">
        <v>318</v>
      </c>
      <c r="C431">
        <v>12100200228</v>
      </c>
      <c r="D431" s="5">
        <v>99</v>
      </c>
      <c r="E431" s="8" t="s">
        <v>889</v>
      </c>
      <c r="F431">
        <v>12100200228</v>
      </c>
      <c r="G431" s="8" t="s">
        <v>890</v>
      </c>
      <c r="H431" t="s">
        <v>643</v>
      </c>
      <c r="I431" s="11">
        <v>0</v>
      </c>
      <c r="J431" s="11">
        <v>0</v>
      </c>
      <c r="K431" s="11">
        <v>696666298.64999998</v>
      </c>
      <c r="L431" s="11">
        <v>0</v>
      </c>
      <c r="M431" s="11">
        <v>696666298.64999998</v>
      </c>
      <c r="N431" s="11">
        <v>696666298.64999998</v>
      </c>
      <c r="O431" s="11">
        <v>0</v>
      </c>
      <c r="P431" s="11">
        <v>696666298.64999998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696666298.64999998</v>
      </c>
      <c r="X431" s="11">
        <v>0</v>
      </c>
      <c r="Y431" s="17">
        <v>696666298.64999998</v>
      </c>
      <c r="Z431" s="11">
        <v>0</v>
      </c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11">
        <v>696666298.64999998</v>
      </c>
      <c r="AG431" s="11">
        <v>0</v>
      </c>
      <c r="AH431" s="12">
        <v>696666298.64999998</v>
      </c>
      <c r="AI431" s="11">
        <v>696666298.64999998</v>
      </c>
      <c r="AJ431" s="11">
        <v>696666298.64999998</v>
      </c>
      <c r="AK431" s="11">
        <v>696666298.64999998</v>
      </c>
      <c r="AL431" s="11">
        <v>0</v>
      </c>
      <c r="AM431" s="11">
        <v>0</v>
      </c>
      <c r="AN431" s="11">
        <v>0</v>
      </c>
      <c r="AO431" s="11">
        <v>0</v>
      </c>
      <c r="AP431" s="11">
        <v>0</v>
      </c>
      <c r="AQ431" s="11">
        <v>0</v>
      </c>
      <c r="AR431" t="s">
        <v>891</v>
      </c>
      <c r="AS431" s="4" t="str">
        <f t="shared" si="97"/>
        <v>Superávit Fondo de Estupefacientes</v>
      </c>
      <c r="AT431" t="str">
        <f t="shared" si="96"/>
        <v>99Superávit Fondo de Estupefacientes696666298,65</v>
      </c>
      <c r="AU431" t="str">
        <f>+_xlfn.XLOOKUP(AT431,CRUCE!K:K,CRUCE!M:M)</f>
        <v>READY</v>
      </c>
      <c r="AV431" t="s">
        <v>1907</v>
      </c>
    </row>
    <row r="432" spans="1:48" x14ac:dyDescent="0.3">
      <c r="A432">
        <v>2023</v>
      </c>
      <c r="B432">
        <v>318</v>
      </c>
      <c r="C432">
        <v>12100200231</v>
      </c>
      <c r="D432" s="5">
        <v>192</v>
      </c>
      <c r="E432" s="8" t="s">
        <v>898</v>
      </c>
      <c r="F432">
        <v>12100200231</v>
      </c>
      <c r="G432" s="8" t="s">
        <v>899</v>
      </c>
      <c r="H432" t="s">
        <v>643</v>
      </c>
      <c r="I432" s="11">
        <v>0</v>
      </c>
      <c r="J432" s="11">
        <v>0</v>
      </c>
      <c r="K432" s="11">
        <v>156125011.09999999</v>
      </c>
      <c r="L432" s="11">
        <v>0</v>
      </c>
      <c r="M432" s="11">
        <v>156125011.09999999</v>
      </c>
      <c r="N432" s="11">
        <v>156125011.09999999</v>
      </c>
      <c r="O432" s="11">
        <v>0</v>
      </c>
      <c r="P432" s="11">
        <v>156125011.09999999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156125011.09999999</v>
      </c>
      <c r="X432" s="11">
        <v>0</v>
      </c>
      <c r="Y432" s="17">
        <v>156125011.09999999</v>
      </c>
      <c r="Z432" s="11">
        <v>0</v>
      </c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11">
        <v>156125011.09999999</v>
      </c>
      <c r="AG432" s="11">
        <v>0</v>
      </c>
      <c r="AH432" s="12">
        <v>156125011.09999999</v>
      </c>
      <c r="AI432" s="11">
        <v>156125011.09999999</v>
      </c>
      <c r="AJ432" s="11">
        <v>156125011.09999999</v>
      </c>
      <c r="AK432" s="11">
        <v>156125011.09999999</v>
      </c>
      <c r="AL432" s="11">
        <v>0</v>
      </c>
      <c r="AM432" s="11">
        <v>0</v>
      </c>
      <c r="AN432" s="11">
        <v>0</v>
      </c>
      <c r="AO432" s="11">
        <v>0</v>
      </c>
      <c r="AP432" s="11">
        <v>0</v>
      </c>
      <c r="AQ432" s="11">
        <v>0</v>
      </c>
      <c r="AR432" t="s">
        <v>900</v>
      </c>
      <c r="AS432" s="4" t="str">
        <f t="shared" si="97"/>
        <v>Superávit SGP Subsidio de la Oferta</v>
      </c>
      <c r="AT432" t="str">
        <f t="shared" si="96"/>
        <v>192Superávit SGP Subsidio de la Oferta156125011,1</v>
      </c>
      <c r="AU432" t="str">
        <f>+_xlfn.XLOOKUP(AT432,CRUCE!K:K,CRUCE!M:M)</f>
        <v>READY</v>
      </c>
      <c r="AV432" t="s">
        <v>1907</v>
      </c>
    </row>
    <row r="433" spans="1:48" x14ac:dyDescent="0.3">
      <c r="A433">
        <v>2023</v>
      </c>
      <c r="B433">
        <v>318</v>
      </c>
      <c r="C433">
        <v>12100200232</v>
      </c>
      <c r="D433" s="5">
        <v>193</v>
      </c>
      <c r="E433" s="8" t="s">
        <v>901</v>
      </c>
      <c r="F433">
        <v>12100200232</v>
      </c>
      <c r="G433" s="8" t="s">
        <v>902</v>
      </c>
      <c r="H433" t="s">
        <v>643</v>
      </c>
      <c r="I433" s="11">
        <v>0</v>
      </c>
      <c r="J433" s="11">
        <v>0</v>
      </c>
      <c r="K433" s="11">
        <v>1040464361.47</v>
      </c>
      <c r="L433" s="11">
        <v>0</v>
      </c>
      <c r="M433" s="11">
        <v>1040464361.47</v>
      </c>
      <c r="N433" s="11">
        <v>1040464361.47</v>
      </c>
      <c r="O433" s="11">
        <v>0</v>
      </c>
      <c r="P433" s="11">
        <v>1040464361.47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1040464361.47</v>
      </c>
      <c r="X433" s="11">
        <v>0</v>
      </c>
      <c r="Y433" s="17">
        <v>1040464361.47</v>
      </c>
      <c r="Z433" s="11">
        <v>0</v>
      </c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11">
        <v>1040464361.47</v>
      </c>
      <c r="AG433" s="11">
        <v>0</v>
      </c>
      <c r="AH433" s="12">
        <v>1040464361.47</v>
      </c>
      <c r="AI433" s="11">
        <v>1040464361.47</v>
      </c>
      <c r="AJ433" s="11">
        <v>1040464361.47</v>
      </c>
      <c r="AK433" s="11">
        <v>1040464361.47</v>
      </c>
      <c r="AL433" s="11">
        <v>0</v>
      </c>
      <c r="AM433" s="11">
        <v>0</v>
      </c>
      <c r="AN433" s="11">
        <v>0</v>
      </c>
      <c r="AO433" s="11">
        <v>0</v>
      </c>
      <c r="AP433" s="11">
        <v>0</v>
      </c>
      <c r="AQ433" s="11">
        <v>0</v>
      </c>
      <c r="AR433" t="s">
        <v>903</v>
      </c>
      <c r="AS433" s="4" t="str">
        <f t="shared" si="97"/>
        <v>Superávit Rentas Cedidas Prestacion del Servicio</v>
      </c>
      <c r="AT433" t="str">
        <f t="shared" si="96"/>
        <v>193Superávit Rentas Cedidas Prestacion del Servicio1040464361,47</v>
      </c>
      <c r="AU433" t="str">
        <f>+_xlfn.XLOOKUP(AT433,CRUCE!K:K,CRUCE!M:M)</f>
        <v>READY</v>
      </c>
      <c r="AV433" t="s">
        <v>1907</v>
      </c>
    </row>
    <row r="434" spans="1:48" x14ac:dyDescent="0.3">
      <c r="A434">
        <v>2023</v>
      </c>
      <c r="B434">
        <v>318</v>
      </c>
      <c r="C434">
        <v>12100200257</v>
      </c>
      <c r="D434" s="5">
        <v>169</v>
      </c>
      <c r="E434" s="8" t="s">
        <v>1307</v>
      </c>
      <c r="F434">
        <v>12100200257</v>
      </c>
      <c r="G434" s="8" t="s">
        <v>1308</v>
      </c>
      <c r="H434" t="s">
        <v>643</v>
      </c>
      <c r="I434" s="11">
        <v>0</v>
      </c>
      <c r="J434" s="11">
        <v>0</v>
      </c>
      <c r="K434" s="11">
        <v>4356206814.6300001</v>
      </c>
      <c r="L434" s="11">
        <v>0</v>
      </c>
      <c r="M434" s="11">
        <v>4356206814.6300001</v>
      </c>
      <c r="N434" s="11">
        <v>4356206814.6300001</v>
      </c>
      <c r="O434" s="11">
        <v>0</v>
      </c>
      <c r="P434" s="11">
        <v>4356206814.6300001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4356206814.6300001</v>
      </c>
      <c r="X434" s="11">
        <v>0</v>
      </c>
      <c r="Y434" s="17">
        <v>4356206814.6300001</v>
      </c>
      <c r="Z434" s="11">
        <v>0</v>
      </c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11">
        <v>4356206814.6300001</v>
      </c>
      <c r="AG434" s="11">
        <v>0</v>
      </c>
      <c r="AH434" s="12">
        <v>4356206814.6300001</v>
      </c>
      <c r="AI434" s="11">
        <v>4356206814.6300001</v>
      </c>
      <c r="AJ434" s="11">
        <v>4356206814.6300001</v>
      </c>
      <c r="AK434" s="11">
        <v>4356206814.6300001</v>
      </c>
      <c r="AL434" s="11">
        <v>0</v>
      </c>
      <c r="AM434" s="11">
        <v>0</v>
      </c>
      <c r="AN434" s="11">
        <v>0</v>
      </c>
      <c r="AO434" s="11">
        <v>0</v>
      </c>
      <c r="AP434" s="11">
        <v>0</v>
      </c>
      <c r="AQ434" s="11">
        <v>0</v>
      </c>
      <c r="AR434" t="s">
        <v>1309</v>
      </c>
      <c r="AS434" s="4" t="str">
        <f t="shared" si="97"/>
        <v>Superávit Recursos SGSS Salud Adres</v>
      </c>
      <c r="AT434" t="str">
        <f t="shared" si="96"/>
        <v>169Superávit Recursos SGSS Salud Adres4356206814,63</v>
      </c>
      <c r="AU434" t="str">
        <f>+_xlfn.XLOOKUP(AT434,CRUCE!K:K,CRUCE!M:M)</f>
        <v>READY</v>
      </c>
      <c r="AV434" t="s">
        <v>1907</v>
      </c>
    </row>
    <row r="435" spans="1:48" x14ac:dyDescent="0.3">
      <c r="A435">
        <v>2023</v>
      </c>
      <c r="B435">
        <v>318</v>
      </c>
      <c r="C435">
        <v>12100200263</v>
      </c>
      <c r="D435" s="5">
        <v>127</v>
      </c>
      <c r="E435" s="8" t="s">
        <v>1433</v>
      </c>
      <c r="F435">
        <v>12100200263</v>
      </c>
      <c r="G435" s="8" t="s">
        <v>1434</v>
      </c>
      <c r="H435" t="s">
        <v>643</v>
      </c>
      <c r="I435" s="11">
        <v>0</v>
      </c>
      <c r="J435" s="11">
        <v>0</v>
      </c>
      <c r="K435" s="11">
        <v>31354345.460000001</v>
      </c>
      <c r="L435" s="11">
        <v>0</v>
      </c>
      <c r="M435" s="11">
        <v>31354345.460000001</v>
      </c>
      <c r="N435" s="11">
        <v>31354345.460000001</v>
      </c>
      <c r="O435" s="11">
        <v>0</v>
      </c>
      <c r="P435" s="11">
        <v>31354345.460000001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31354345.460000001</v>
      </c>
      <c r="X435" s="11">
        <v>0</v>
      </c>
      <c r="Y435" s="17">
        <v>31354345.460000001</v>
      </c>
      <c r="Z435" s="11">
        <v>0</v>
      </c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11">
        <v>31354345.460000001</v>
      </c>
      <c r="AG435" s="11">
        <v>0</v>
      </c>
      <c r="AH435" s="12">
        <v>31354345.460000001</v>
      </c>
      <c r="AI435" s="11">
        <v>31354345.460000001</v>
      </c>
      <c r="AJ435" s="11">
        <v>31354345.460000001</v>
      </c>
      <c r="AK435" s="11">
        <v>31354345.460000001</v>
      </c>
      <c r="AL435" s="11">
        <v>0</v>
      </c>
      <c r="AM435" s="11">
        <v>0</v>
      </c>
      <c r="AN435" s="11">
        <v>0</v>
      </c>
      <c r="AO435" s="11">
        <v>0</v>
      </c>
      <c r="AP435" s="11">
        <v>0</v>
      </c>
      <c r="AQ435" s="11">
        <v>0</v>
      </c>
      <c r="AR435" t="s">
        <v>1435</v>
      </c>
      <c r="AS435" s="4" t="str">
        <f>+G435</f>
        <v>Superávit Iva Licores Nacionales</v>
      </c>
      <c r="AT435" t="str">
        <f t="shared" si="96"/>
        <v>127Superávit Iva Licores Nacionales31354345,46</v>
      </c>
      <c r="AU435" t="str">
        <f>+_xlfn.XLOOKUP(AT435,CRUCE!K:K,CRUCE!M:M)</f>
        <v>READY</v>
      </c>
      <c r="AV435" t="s">
        <v>1907</v>
      </c>
    </row>
    <row r="436" spans="1:48" x14ac:dyDescent="0.3">
      <c r="A436">
        <v>2023</v>
      </c>
      <c r="B436">
        <v>318</v>
      </c>
      <c r="C436">
        <v>12100200264</v>
      </c>
      <c r="D436" s="5">
        <v>167</v>
      </c>
      <c r="E436" s="8" t="s">
        <v>1436</v>
      </c>
      <c r="F436">
        <v>12100200264</v>
      </c>
      <c r="G436" s="8" t="s">
        <v>1437</v>
      </c>
      <c r="H436" t="s">
        <v>643</v>
      </c>
      <c r="I436" s="11">
        <v>0</v>
      </c>
      <c r="J436" s="11">
        <v>0</v>
      </c>
      <c r="K436" s="11">
        <v>4451929.72</v>
      </c>
      <c r="L436" s="11">
        <v>0</v>
      </c>
      <c r="M436" s="11">
        <v>4451929.72</v>
      </c>
      <c r="N436" s="11">
        <v>4451929.72</v>
      </c>
      <c r="O436" s="11">
        <v>0</v>
      </c>
      <c r="P436" s="11">
        <v>4451929.72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4451929.72</v>
      </c>
      <c r="X436" s="11">
        <v>0</v>
      </c>
      <c r="Y436" s="17">
        <v>4451929.72</v>
      </c>
      <c r="Z436" s="11">
        <v>0</v>
      </c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11">
        <v>4451929.72</v>
      </c>
      <c r="AG436" s="11">
        <v>0</v>
      </c>
      <c r="AH436" s="12">
        <v>4451929.72</v>
      </c>
      <c r="AI436" s="11">
        <v>4451929.72</v>
      </c>
      <c r="AJ436" s="11">
        <v>4451929.72</v>
      </c>
      <c r="AK436" s="11">
        <v>4451929.72</v>
      </c>
      <c r="AL436" s="11">
        <v>0</v>
      </c>
      <c r="AM436" s="11">
        <v>0</v>
      </c>
      <c r="AN436" s="11">
        <v>0</v>
      </c>
      <c r="AO436" s="11">
        <v>0</v>
      </c>
      <c r="AP436" s="11">
        <v>0</v>
      </c>
      <c r="AQ436" s="11">
        <v>0</v>
      </c>
      <c r="AR436" t="s">
        <v>847</v>
      </c>
      <c r="AS436" s="4" t="str">
        <f>+G436</f>
        <v>Superavít Recursos Adres Res 2359/2019</v>
      </c>
      <c r="AT436" t="str">
        <f t="shared" si="96"/>
        <v>167Superavít Recursos Adres Res 2359/20194451929,72</v>
      </c>
      <c r="AU436" t="str">
        <f>+_xlfn.XLOOKUP(AT436,CRUCE!K:K,CRUCE!M:M)</f>
        <v>READY</v>
      </c>
      <c r="AV436" t="s">
        <v>1907</v>
      </c>
    </row>
    <row r="437" spans="1:48" x14ac:dyDescent="0.3">
      <c r="A437">
        <v>2023</v>
      </c>
      <c r="B437">
        <v>318</v>
      </c>
      <c r="C437">
        <v>12100200265</v>
      </c>
      <c r="D437" s="5">
        <v>232</v>
      </c>
      <c r="E437" s="8" t="s">
        <v>1438</v>
      </c>
      <c r="F437">
        <v>12100200265</v>
      </c>
      <c r="G437" s="8" t="s">
        <v>1439</v>
      </c>
      <c r="H437" t="s">
        <v>643</v>
      </c>
      <c r="I437" s="11">
        <v>0</v>
      </c>
      <c r="J437" s="11">
        <v>0</v>
      </c>
      <c r="K437" s="11">
        <v>138821.76000000001</v>
      </c>
      <c r="L437" s="11">
        <v>0</v>
      </c>
      <c r="M437" s="11">
        <v>138821.76000000001</v>
      </c>
      <c r="N437" s="11">
        <v>138821.76000000001</v>
      </c>
      <c r="O437" s="11">
        <v>0</v>
      </c>
      <c r="P437" s="11">
        <v>138821.76000000001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138821.76000000001</v>
      </c>
      <c r="X437" s="11">
        <v>0</v>
      </c>
      <c r="Y437" s="17">
        <v>138821.76000000001</v>
      </c>
      <c r="Z437" s="11">
        <v>0</v>
      </c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11">
        <v>138821.76000000001</v>
      </c>
      <c r="AG437" s="11">
        <v>0</v>
      </c>
      <c r="AH437" s="12">
        <v>138821.76000000001</v>
      </c>
      <c r="AI437" s="11">
        <v>138821.76000000001</v>
      </c>
      <c r="AJ437" s="11">
        <v>138821.76000000001</v>
      </c>
      <c r="AK437" s="11">
        <v>138821.76000000001</v>
      </c>
      <c r="AL437" s="11">
        <v>0</v>
      </c>
      <c r="AM437" s="11">
        <v>0</v>
      </c>
      <c r="AN437" s="11">
        <v>0</v>
      </c>
      <c r="AO437" s="11">
        <v>0</v>
      </c>
      <c r="AP437" s="11">
        <v>0</v>
      </c>
      <c r="AQ437" s="11">
        <v>0</v>
      </c>
      <c r="AR437" t="s">
        <v>1440</v>
      </c>
      <c r="AS437" s="4" t="str">
        <f>+G437</f>
        <v>Superavít Rendimientos Adres Res 2359/2019</v>
      </c>
      <c r="AT437" t="str">
        <f t="shared" si="96"/>
        <v>232Superavít Rendimientos Adres Res 2359/2019138821,76</v>
      </c>
      <c r="AU437" t="str">
        <f>+_xlfn.XLOOKUP(AT437,CRUCE!K:K,CRUCE!M:M)</f>
        <v>READY</v>
      </c>
      <c r="AV437" t="s">
        <v>1907</v>
      </c>
    </row>
    <row r="438" spans="1:48" x14ac:dyDescent="0.3">
      <c r="A438">
        <v>2023</v>
      </c>
      <c r="B438">
        <v>318</v>
      </c>
      <c r="C438">
        <v>12100200266</v>
      </c>
      <c r="D438" s="5">
        <v>233</v>
      </c>
      <c r="E438" s="8" t="s">
        <v>1441</v>
      </c>
      <c r="F438">
        <v>12100200266</v>
      </c>
      <c r="G438" s="8" t="s">
        <v>1442</v>
      </c>
      <c r="H438" t="s">
        <v>643</v>
      </c>
      <c r="I438" s="11">
        <v>0</v>
      </c>
      <c r="J438" s="11">
        <v>0</v>
      </c>
      <c r="K438" s="11">
        <v>14202359.43</v>
      </c>
      <c r="L438" s="11">
        <v>0</v>
      </c>
      <c r="M438" s="11">
        <v>14202359.43</v>
      </c>
      <c r="N438" s="11">
        <v>14202359.43</v>
      </c>
      <c r="O438" s="11">
        <v>0</v>
      </c>
      <c r="P438" s="11">
        <v>14202359.43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14202359.43</v>
      </c>
      <c r="X438" s="11">
        <v>0</v>
      </c>
      <c r="Y438" s="17">
        <v>14202359.43</v>
      </c>
      <c r="Z438" s="11">
        <v>0</v>
      </c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14202359.43</v>
      </c>
      <c r="AG438" s="11">
        <v>0</v>
      </c>
      <c r="AH438" s="12">
        <v>14202359.43</v>
      </c>
      <c r="AI438" s="11">
        <v>14202359.43</v>
      </c>
      <c r="AJ438" s="11">
        <v>14202359.43</v>
      </c>
      <c r="AK438" s="11">
        <v>14202359.43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t="s">
        <v>1443</v>
      </c>
      <c r="AS438" s="4" t="str">
        <f>+G438</f>
        <v xml:space="preserve">Superavít Rentas Cedidas Prestación de Servicios en Salud </v>
      </c>
      <c r="AT438" t="str">
        <f t="shared" si="96"/>
        <v>233Superavít Rentas Cedidas Prestación de Servicios en Salud 14202359,43</v>
      </c>
      <c r="AU438" t="str">
        <f>+_xlfn.XLOOKUP(AT438,CRUCE!K:K,CRUCE!M:M)</f>
        <v>READY</v>
      </c>
      <c r="AV438" t="s">
        <v>1907</v>
      </c>
    </row>
    <row r="439" spans="1:48" x14ac:dyDescent="0.3">
      <c r="A439">
        <v>2023</v>
      </c>
      <c r="B439">
        <v>318</v>
      </c>
      <c r="C439">
        <v>12100200267</v>
      </c>
      <c r="D439" s="5">
        <v>234</v>
      </c>
      <c r="E439" s="8" t="s">
        <v>1444</v>
      </c>
      <c r="F439">
        <v>12100200267</v>
      </c>
      <c r="G439" s="8" t="s">
        <v>1445</v>
      </c>
      <c r="H439" t="s">
        <v>643</v>
      </c>
      <c r="I439" s="11">
        <v>0</v>
      </c>
      <c r="J439" s="11">
        <v>0</v>
      </c>
      <c r="K439" s="11">
        <v>385492.49</v>
      </c>
      <c r="L439" s="11">
        <v>0</v>
      </c>
      <c r="M439" s="11">
        <v>385492.49</v>
      </c>
      <c r="N439" s="11">
        <v>385492.49</v>
      </c>
      <c r="O439" s="11">
        <v>0</v>
      </c>
      <c r="P439" s="11">
        <v>385492.49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385492.49</v>
      </c>
      <c r="X439" s="11">
        <v>0</v>
      </c>
      <c r="Y439" s="17">
        <v>385492.49</v>
      </c>
      <c r="Z439" s="11">
        <v>0</v>
      </c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11">
        <v>385492.49</v>
      </c>
      <c r="AG439" s="11">
        <v>0</v>
      </c>
      <c r="AH439" s="12">
        <v>385492.49</v>
      </c>
      <c r="AI439" s="11">
        <v>385492.49</v>
      </c>
      <c r="AJ439" s="11">
        <v>385492.49</v>
      </c>
      <c r="AK439" s="11">
        <v>385492.49</v>
      </c>
      <c r="AL439" s="11">
        <v>0</v>
      </c>
      <c r="AM439" s="11">
        <v>0</v>
      </c>
      <c r="AN439" s="11">
        <v>0</v>
      </c>
      <c r="AO439" s="11">
        <v>0</v>
      </c>
      <c r="AP439" s="11">
        <v>0</v>
      </c>
      <c r="AQ439" s="11">
        <v>0</v>
      </c>
      <c r="AR439" t="s">
        <v>1446</v>
      </c>
      <c r="AS439" s="4" t="str">
        <f>+G439</f>
        <v>Superavít Rendimientos Adres Vigencia 2020</v>
      </c>
      <c r="AT439" t="str">
        <f t="shared" si="96"/>
        <v>234Superavít Rendimientos Adres Vigencia 2020385492,49</v>
      </c>
      <c r="AU439" t="str">
        <f>+_xlfn.XLOOKUP(AT439,CRUCE!K:K,CRUCE!M:M)</f>
        <v>READY</v>
      </c>
      <c r="AV439" t="s">
        <v>1907</v>
      </c>
    </row>
    <row r="440" spans="1:48" hidden="1" x14ac:dyDescent="0.3">
      <c r="A440">
        <v>2023</v>
      </c>
      <c r="B440">
        <v>6</v>
      </c>
      <c r="C440">
        <v>1</v>
      </c>
      <c r="D440" s="5" t="s">
        <v>44</v>
      </c>
      <c r="E440" s="8">
        <v>45297</v>
      </c>
      <c r="F440">
        <v>1</v>
      </c>
      <c r="G440" s="8" t="s">
        <v>46</v>
      </c>
      <c r="H440" t="s">
        <v>909</v>
      </c>
      <c r="I440" s="11">
        <v>0</v>
      </c>
      <c r="J440" s="11">
        <v>0</v>
      </c>
      <c r="K440" s="11">
        <v>82843353967.880005</v>
      </c>
      <c r="L440" s="11">
        <v>1491990499.4000001</v>
      </c>
      <c r="M440" s="11">
        <v>81351363468.479996</v>
      </c>
      <c r="N440" s="11">
        <v>82843353967.880005</v>
      </c>
      <c r="O440" s="11">
        <v>1491990499.4000001</v>
      </c>
      <c r="P440" s="11">
        <v>81351363468.479996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26289440808.32</v>
      </c>
      <c r="X440" s="11">
        <v>42914028.990000002</v>
      </c>
      <c r="Y440" s="17">
        <v>26246526779.330002</v>
      </c>
      <c r="Z440" s="11">
        <v>0</v>
      </c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11">
        <v>26289440808.32</v>
      </c>
      <c r="AG440" s="11">
        <v>42914028.990000002</v>
      </c>
      <c r="AH440" s="12">
        <v>26246526779.330002</v>
      </c>
      <c r="AI440" s="11">
        <v>26246526779.330002</v>
      </c>
      <c r="AJ440" s="11">
        <v>26245157678.099998</v>
      </c>
      <c r="AK440" s="11">
        <v>26245157678.099998</v>
      </c>
      <c r="AL440" s="11">
        <v>1369101.23</v>
      </c>
      <c r="AM440" s="11">
        <v>1596629.22</v>
      </c>
      <c r="AN440" s="11">
        <v>227527.99</v>
      </c>
      <c r="AO440" s="11">
        <v>1596629.22</v>
      </c>
      <c r="AP440" s="11">
        <v>0</v>
      </c>
      <c r="AQ440" s="11">
        <v>227527.99</v>
      </c>
      <c r="AR440" t="s">
        <v>48</v>
      </c>
      <c r="AS440"/>
    </row>
    <row r="441" spans="1:48" hidden="1" x14ac:dyDescent="0.3">
      <c r="A441">
        <v>2023</v>
      </c>
      <c r="B441">
        <v>6</v>
      </c>
      <c r="C441">
        <v>11</v>
      </c>
      <c r="D441" s="5" t="s">
        <v>44</v>
      </c>
      <c r="E441" s="8">
        <v>45602</v>
      </c>
      <c r="F441">
        <v>11</v>
      </c>
      <c r="G441" s="8" t="s">
        <v>50</v>
      </c>
      <c r="H441" t="s">
        <v>909</v>
      </c>
      <c r="I441" s="11">
        <v>0</v>
      </c>
      <c r="J441" s="11">
        <v>0</v>
      </c>
      <c r="K441" s="11">
        <v>82843353967.880005</v>
      </c>
      <c r="L441" s="11">
        <v>1491990499.4000001</v>
      </c>
      <c r="M441" s="11">
        <v>81351363468.479996</v>
      </c>
      <c r="N441" s="11">
        <v>82843353967.880005</v>
      </c>
      <c r="O441" s="11">
        <v>1491990499.4000001</v>
      </c>
      <c r="P441" s="11">
        <v>81351363468.479996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26287844179.099998</v>
      </c>
      <c r="X441" s="11">
        <v>42686501</v>
      </c>
      <c r="Y441" s="17">
        <v>26245157678.099998</v>
      </c>
      <c r="Z441" s="11">
        <v>0</v>
      </c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11">
        <v>26287844179.099998</v>
      </c>
      <c r="AG441" s="11">
        <v>42686501</v>
      </c>
      <c r="AH441" s="12">
        <v>26245157678.099998</v>
      </c>
      <c r="AI441" s="11">
        <v>26245157678.099998</v>
      </c>
      <c r="AJ441" s="11">
        <v>26245157678.099998</v>
      </c>
      <c r="AK441" s="11">
        <v>26245157678.099998</v>
      </c>
      <c r="AL441" s="11">
        <v>0</v>
      </c>
      <c r="AM441" s="11">
        <v>0</v>
      </c>
      <c r="AN441" s="11">
        <v>0</v>
      </c>
      <c r="AO441" s="11">
        <v>0</v>
      </c>
      <c r="AP441" s="11">
        <v>0</v>
      </c>
      <c r="AQ441" s="11">
        <v>0</v>
      </c>
      <c r="AR441" t="s">
        <v>48</v>
      </c>
      <c r="AS441"/>
    </row>
    <row r="442" spans="1:48" hidden="1" x14ac:dyDescent="0.3">
      <c r="A442">
        <v>2023</v>
      </c>
      <c r="B442">
        <v>6</v>
      </c>
      <c r="C442">
        <v>1102</v>
      </c>
      <c r="D442" s="5" t="s">
        <v>44</v>
      </c>
      <c r="E442" s="8" t="s">
        <v>910</v>
      </c>
      <c r="F442">
        <v>1102</v>
      </c>
      <c r="G442" s="8" t="s">
        <v>145</v>
      </c>
      <c r="H442" t="s">
        <v>909</v>
      </c>
      <c r="I442" s="11">
        <v>0</v>
      </c>
      <c r="J442" s="11">
        <v>0</v>
      </c>
      <c r="K442" s="11">
        <v>82843353967.880005</v>
      </c>
      <c r="L442" s="11">
        <v>1491990499.4000001</v>
      </c>
      <c r="M442" s="11">
        <v>81351363468.479996</v>
      </c>
      <c r="N442" s="11">
        <v>82843353967.880005</v>
      </c>
      <c r="O442" s="11">
        <v>1491990499.4000001</v>
      </c>
      <c r="P442" s="11">
        <v>81351363468.479996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26287844179.099998</v>
      </c>
      <c r="X442" s="11">
        <v>42686501</v>
      </c>
      <c r="Y442" s="17">
        <v>26245157678.099998</v>
      </c>
      <c r="Z442" s="11">
        <v>0</v>
      </c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11">
        <v>26287844179.099998</v>
      </c>
      <c r="AG442" s="11">
        <v>42686501</v>
      </c>
      <c r="AH442" s="12">
        <v>26245157678.099998</v>
      </c>
      <c r="AI442" s="11">
        <v>26245157678.099998</v>
      </c>
      <c r="AJ442" s="11">
        <v>26245157678.099998</v>
      </c>
      <c r="AK442" s="11">
        <v>26245157678.099998</v>
      </c>
      <c r="AL442" s="11">
        <v>0</v>
      </c>
      <c r="AM442" s="11">
        <v>0</v>
      </c>
      <c r="AN442" s="11">
        <v>0</v>
      </c>
      <c r="AO442" s="11">
        <v>0</v>
      </c>
      <c r="AP442" s="11">
        <v>0</v>
      </c>
      <c r="AQ442" s="11">
        <v>0</v>
      </c>
      <c r="AR442" t="s">
        <v>48</v>
      </c>
      <c r="AS442"/>
    </row>
    <row r="443" spans="1:48" hidden="1" x14ac:dyDescent="0.3">
      <c r="A443">
        <v>2023</v>
      </c>
      <c r="B443">
        <v>6</v>
      </c>
      <c r="C443">
        <v>110206</v>
      </c>
      <c r="D443" s="5" t="s">
        <v>44</v>
      </c>
      <c r="E443" s="8" t="s">
        <v>911</v>
      </c>
      <c r="F443">
        <v>110206</v>
      </c>
      <c r="G443" s="8" t="s">
        <v>242</v>
      </c>
      <c r="H443" t="s">
        <v>909</v>
      </c>
      <c r="I443" s="11">
        <v>0</v>
      </c>
      <c r="J443" s="11">
        <v>0</v>
      </c>
      <c r="K443" s="11">
        <v>82843353967.880005</v>
      </c>
      <c r="L443" s="11">
        <v>1491990499.4000001</v>
      </c>
      <c r="M443" s="11">
        <v>81351363468.479996</v>
      </c>
      <c r="N443" s="11">
        <v>82843353967.880005</v>
      </c>
      <c r="O443" s="11">
        <v>1491990499.4000001</v>
      </c>
      <c r="P443" s="11">
        <v>81351363468.479996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26287844179.099998</v>
      </c>
      <c r="X443" s="11">
        <v>42686501</v>
      </c>
      <c r="Y443" s="17">
        <v>26245157678.099998</v>
      </c>
      <c r="Z443" s="11">
        <v>0</v>
      </c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11">
        <v>26287844179.099998</v>
      </c>
      <c r="AG443" s="11">
        <v>42686501</v>
      </c>
      <c r="AH443" s="12">
        <v>26245157678.099998</v>
      </c>
      <c r="AI443" s="11">
        <v>26245157678.099998</v>
      </c>
      <c r="AJ443" s="11">
        <v>26245157678.099998</v>
      </c>
      <c r="AK443" s="11">
        <v>26245157678.099998</v>
      </c>
      <c r="AL443" s="11">
        <v>0</v>
      </c>
      <c r="AM443" s="11">
        <v>0</v>
      </c>
      <c r="AN443" s="11">
        <v>0</v>
      </c>
      <c r="AO443" s="11">
        <v>0</v>
      </c>
      <c r="AP443" s="11">
        <v>0</v>
      </c>
      <c r="AQ443" s="11">
        <v>0</v>
      </c>
      <c r="AR443" t="s">
        <v>48</v>
      </c>
      <c r="AS443"/>
    </row>
    <row r="444" spans="1:48" hidden="1" x14ac:dyDescent="0.3">
      <c r="A444">
        <v>2023</v>
      </c>
      <c r="B444">
        <v>6</v>
      </c>
      <c r="C444">
        <v>110206002</v>
      </c>
      <c r="D444" s="5" t="s">
        <v>44</v>
      </c>
      <c r="E444" s="8" t="s">
        <v>912</v>
      </c>
      <c r="F444">
        <v>110206002</v>
      </c>
      <c r="G444" s="8" t="s">
        <v>1447</v>
      </c>
      <c r="H444" t="s">
        <v>909</v>
      </c>
      <c r="I444" s="11">
        <v>0</v>
      </c>
      <c r="J444" s="11">
        <v>0</v>
      </c>
      <c r="K444" s="11">
        <v>82843353967.880005</v>
      </c>
      <c r="L444" s="11">
        <v>1491990499.4000001</v>
      </c>
      <c r="M444" s="11">
        <v>81351363468.479996</v>
      </c>
      <c r="N444" s="11">
        <v>82843353967.880005</v>
      </c>
      <c r="O444" s="11">
        <v>1491990499.4000001</v>
      </c>
      <c r="P444" s="11">
        <v>81351363468.479996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26287844179.099998</v>
      </c>
      <c r="X444" s="11">
        <v>42686501</v>
      </c>
      <c r="Y444" s="17">
        <v>26245157678.099998</v>
      </c>
      <c r="Z444" s="11">
        <v>0</v>
      </c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11">
        <v>26287844179.099998</v>
      </c>
      <c r="AG444" s="11">
        <v>42686501</v>
      </c>
      <c r="AH444" s="12">
        <v>26245157678.099998</v>
      </c>
      <c r="AI444" s="11">
        <v>26245157678.099998</v>
      </c>
      <c r="AJ444" s="11">
        <v>26245157678.099998</v>
      </c>
      <c r="AK444" s="11">
        <v>26245157678.099998</v>
      </c>
      <c r="AL444" s="11">
        <v>0</v>
      </c>
      <c r="AM444" s="11">
        <v>0</v>
      </c>
      <c r="AN444" s="11">
        <v>0</v>
      </c>
      <c r="AO444" s="11">
        <v>0</v>
      </c>
      <c r="AP444" s="11">
        <v>0</v>
      </c>
      <c r="AQ444" s="11">
        <v>0</v>
      </c>
      <c r="AR444" t="s">
        <v>48</v>
      </c>
      <c r="AS444"/>
    </row>
    <row r="445" spans="1:48" hidden="1" x14ac:dyDescent="0.3">
      <c r="A445">
        <v>2023</v>
      </c>
      <c r="B445">
        <v>6</v>
      </c>
      <c r="C445">
        <v>11020600201</v>
      </c>
      <c r="D445" s="5" t="s">
        <v>44</v>
      </c>
      <c r="E445" s="8" t="s">
        <v>914</v>
      </c>
      <c r="F445">
        <v>11020600201</v>
      </c>
      <c r="G445" s="8" t="s">
        <v>1448</v>
      </c>
      <c r="H445" t="s">
        <v>909</v>
      </c>
      <c r="I445" s="11">
        <v>0</v>
      </c>
      <c r="J445" s="11">
        <v>0</v>
      </c>
      <c r="K445" s="11">
        <v>82843353967.880005</v>
      </c>
      <c r="L445" s="11">
        <v>1491990499.4000001</v>
      </c>
      <c r="M445" s="11">
        <v>81351363468.479996</v>
      </c>
      <c r="N445" s="11">
        <v>82843353967.880005</v>
      </c>
      <c r="O445" s="11">
        <v>1491990499.4000001</v>
      </c>
      <c r="P445" s="11">
        <v>81351363468.479996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26287844179.099998</v>
      </c>
      <c r="X445" s="11">
        <v>42686501</v>
      </c>
      <c r="Y445" s="17">
        <v>26245157678.099998</v>
      </c>
      <c r="Z445" s="11">
        <v>0</v>
      </c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11">
        <v>26287844179.099998</v>
      </c>
      <c r="AG445" s="11">
        <v>42686501</v>
      </c>
      <c r="AH445" s="12">
        <v>26245157678.099998</v>
      </c>
      <c r="AI445" s="11">
        <v>26245157678.099998</v>
      </c>
      <c r="AJ445" s="11">
        <v>26245157678.099998</v>
      </c>
      <c r="AK445" s="11">
        <v>26245157678.099998</v>
      </c>
      <c r="AL445" s="11">
        <v>0</v>
      </c>
      <c r="AM445" s="11">
        <v>0</v>
      </c>
      <c r="AN445" s="11">
        <v>0</v>
      </c>
      <c r="AO445" s="11">
        <v>0</v>
      </c>
      <c r="AP445" s="11">
        <v>0</v>
      </c>
      <c r="AQ445" s="11">
        <v>0</v>
      </c>
      <c r="AR445" t="s">
        <v>48</v>
      </c>
      <c r="AS445"/>
    </row>
    <row r="446" spans="1:48" hidden="1" x14ac:dyDescent="0.3">
      <c r="A446">
        <v>2023</v>
      </c>
      <c r="B446">
        <v>6</v>
      </c>
      <c r="C446">
        <v>1102060020101</v>
      </c>
      <c r="D446" s="5" t="s">
        <v>44</v>
      </c>
      <c r="E446" s="8" t="s">
        <v>1449</v>
      </c>
      <c r="F446">
        <v>1102060020101</v>
      </c>
      <c r="G446" s="8" t="s">
        <v>1450</v>
      </c>
      <c r="H446" t="s">
        <v>909</v>
      </c>
      <c r="I446" s="11">
        <v>0</v>
      </c>
      <c r="J446" s="11">
        <v>0</v>
      </c>
      <c r="K446" s="11">
        <v>51105967.200000003</v>
      </c>
      <c r="L446" s="11">
        <v>0</v>
      </c>
      <c r="M446" s="11">
        <v>51105967.200000003</v>
      </c>
      <c r="N446" s="11">
        <v>51105967.200000003</v>
      </c>
      <c r="O446" s="11">
        <v>0</v>
      </c>
      <c r="P446" s="11">
        <v>51105967.200000003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5648071.2000000002</v>
      </c>
      <c r="X446" s="11">
        <v>0</v>
      </c>
      <c r="Y446" s="17">
        <v>5648071.2000000002</v>
      </c>
      <c r="Z446" s="11">
        <v>0</v>
      </c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11">
        <v>5648071.2000000002</v>
      </c>
      <c r="AG446" s="11">
        <v>0</v>
      </c>
      <c r="AH446" s="12">
        <v>5648071.2000000002</v>
      </c>
      <c r="AI446" s="11">
        <v>5648071.2000000002</v>
      </c>
      <c r="AJ446" s="11">
        <v>5648071.2000000002</v>
      </c>
      <c r="AK446" s="11">
        <v>5648071.2000000002</v>
      </c>
      <c r="AL446" s="11">
        <v>0</v>
      </c>
      <c r="AM446" s="11">
        <v>0</v>
      </c>
      <c r="AN446" s="11">
        <v>0</v>
      </c>
      <c r="AO446" s="11">
        <v>0</v>
      </c>
      <c r="AP446" s="11">
        <v>0</v>
      </c>
      <c r="AQ446" s="11">
        <v>0</v>
      </c>
      <c r="AR446" t="s">
        <v>48</v>
      </c>
      <c r="AS446"/>
    </row>
    <row r="447" spans="1:48" hidden="1" x14ac:dyDescent="0.3">
      <c r="A447">
        <v>2023</v>
      </c>
      <c r="B447">
        <v>6</v>
      </c>
      <c r="C447">
        <v>110206002010101</v>
      </c>
      <c r="D447" s="5" t="s">
        <v>44</v>
      </c>
      <c r="E447" s="8" t="s">
        <v>1451</v>
      </c>
      <c r="F447">
        <v>110206002010101</v>
      </c>
      <c r="G447" s="8" t="s">
        <v>1452</v>
      </c>
      <c r="H447" t="s">
        <v>909</v>
      </c>
      <c r="I447" s="11">
        <v>0</v>
      </c>
      <c r="J447" s="11">
        <v>0</v>
      </c>
      <c r="K447" s="11">
        <v>51105967.200000003</v>
      </c>
      <c r="L447" s="11">
        <v>0</v>
      </c>
      <c r="M447" s="11">
        <v>51105967.200000003</v>
      </c>
      <c r="N447" s="11">
        <v>51105967.200000003</v>
      </c>
      <c r="O447" s="11">
        <v>0</v>
      </c>
      <c r="P447" s="11">
        <v>51105967.200000003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5648071.2000000002</v>
      </c>
      <c r="X447" s="11">
        <v>0</v>
      </c>
      <c r="Y447" s="17">
        <v>5648071.2000000002</v>
      </c>
      <c r="Z447" s="11">
        <v>0</v>
      </c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11">
        <v>5648071.2000000002</v>
      </c>
      <c r="AG447" s="11">
        <v>0</v>
      </c>
      <c r="AH447" s="12">
        <v>5648071.2000000002</v>
      </c>
      <c r="AI447" s="11">
        <v>5648071.2000000002</v>
      </c>
      <c r="AJ447" s="11">
        <v>5648071.2000000002</v>
      </c>
      <c r="AK447" s="11">
        <v>5648071.2000000002</v>
      </c>
      <c r="AL447" s="11">
        <v>0</v>
      </c>
      <c r="AM447" s="11">
        <v>0</v>
      </c>
      <c r="AN447" s="11">
        <v>0</v>
      </c>
      <c r="AO447" s="11">
        <v>0</v>
      </c>
      <c r="AP447" s="11">
        <v>0</v>
      </c>
      <c r="AQ447" s="11">
        <v>0</v>
      </c>
      <c r="AR447" t="s">
        <v>48</v>
      </c>
      <c r="AS447"/>
    </row>
    <row r="448" spans="1:48" x14ac:dyDescent="0.3">
      <c r="A448">
        <v>2023</v>
      </c>
      <c r="B448">
        <v>6</v>
      </c>
      <c r="C448">
        <v>1.1020600201010099E+17</v>
      </c>
      <c r="D448" s="5">
        <v>70</v>
      </c>
      <c r="E448" s="8" t="s">
        <v>1453</v>
      </c>
      <c r="F448">
        <v>1.1020600201010099E+17</v>
      </c>
      <c r="G448" s="8" t="s">
        <v>1454</v>
      </c>
      <c r="H448" t="s">
        <v>909</v>
      </c>
      <c r="I448" s="11">
        <v>0</v>
      </c>
      <c r="J448" s="11">
        <v>0</v>
      </c>
      <c r="K448" s="11">
        <v>51105967.200000003</v>
      </c>
      <c r="L448" s="11">
        <v>0</v>
      </c>
      <c r="M448" s="11">
        <v>51105967.200000003</v>
      </c>
      <c r="N448" s="11">
        <v>51105967.200000003</v>
      </c>
      <c r="O448" s="11">
        <v>0</v>
      </c>
      <c r="P448" s="11">
        <v>51105967.200000003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5648071.2000000002</v>
      </c>
      <c r="X448" s="11">
        <v>0</v>
      </c>
      <c r="Y448" s="17">
        <v>5648071.2000000002</v>
      </c>
      <c r="Z448" s="11">
        <v>0</v>
      </c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11">
        <v>5648071.2000000002</v>
      </c>
      <c r="AG448" s="11">
        <v>0</v>
      </c>
      <c r="AH448" s="12">
        <v>5648071.2000000002</v>
      </c>
      <c r="AI448" s="11">
        <v>5648071.2000000002</v>
      </c>
      <c r="AJ448" s="11">
        <v>5648071.2000000002</v>
      </c>
      <c r="AK448" s="11">
        <v>5648071.2000000002</v>
      </c>
      <c r="AL448" s="11">
        <v>0</v>
      </c>
      <c r="AM448" s="11">
        <v>0</v>
      </c>
      <c r="AN448" s="11">
        <v>0</v>
      </c>
      <c r="AO448" s="11">
        <v>0</v>
      </c>
      <c r="AP448" s="11">
        <v>0</v>
      </c>
      <c r="AQ448" s="11">
        <v>0</v>
      </c>
      <c r="AR448" t="s">
        <v>918</v>
      </c>
      <c r="AS448" s="4" t="str">
        <f>+G448</f>
        <v>Saldos a 31 de diciembre, para fortalecimiento de las oficinas de planeación y/o las secretarías téc</v>
      </c>
      <c r="AT448" t="str">
        <f>+D448&amp;AS448&amp;Y448</f>
        <v>70Saldos a 31 de diciembre, para fortalecimiento de las oficinas de planeación y/o las secretarías téc5648071,2</v>
      </c>
      <c r="AU448" t="str">
        <f>+_xlfn.XLOOKUP(AT448,CRUCE!K:K,CRUCE!M:M)</f>
        <v>READY</v>
      </c>
      <c r="AV448" t="s">
        <v>1907</v>
      </c>
    </row>
    <row r="449" spans="1:48" hidden="1" x14ac:dyDescent="0.3">
      <c r="A449">
        <v>2023</v>
      </c>
      <c r="B449">
        <v>6</v>
      </c>
      <c r="C449">
        <v>1102060020103</v>
      </c>
      <c r="D449" s="5" t="s">
        <v>44</v>
      </c>
      <c r="E449" s="8" t="s">
        <v>1455</v>
      </c>
      <c r="F449">
        <v>1102060020103</v>
      </c>
      <c r="G449" s="8" t="s">
        <v>1456</v>
      </c>
      <c r="H449" t="s">
        <v>909</v>
      </c>
      <c r="I449" s="11">
        <v>0</v>
      </c>
      <c r="J449" s="11">
        <v>0</v>
      </c>
      <c r="K449" s="11">
        <v>82792248000.679993</v>
      </c>
      <c r="L449" s="11">
        <v>1491990499.4000001</v>
      </c>
      <c r="M449" s="11">
        <v>81300257501.279999</v>
      </c>
      <c r="N449" s="11">
        <v>82792248000.679993</v>
      </c>
      <c r="O449" s="11">
        <v>1491990499.4000001</v>
      </c>
      <c r="P449" s="11">
        <v>81300257501.279999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26282196107.900002</v>
      </c>
      <c r="X449" s="11">
        <v>42686501</v>
      </c>
      <c r="Y449" s="17">
        <v>26239509606.900002</v>
      </c>
      <c r="Z449" s="11">
        <v>0</v>
      </c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11">
        <v>26282196107.900002</v>
      </c>
      <c r="AG449" s="11">
        <v>42686501</v>
      </c>
      <c r="AH449" s="12">
        <v>26239509606.900002</v>
      </c>
      <c r="AI449" s="11">
        <v>26239509606.900002</v>
      </c>
      <c r="AJ449" s="11">
        <v>26239509606.900002</v>
      </c>
      <c r="AK449" s="11">
        <v>26239509606.900002</v>
      </c>
      <c r="AL449" s="11">
        <v>0</v>
      </c>
      <c r="AM449" s="11">
        <v>0</v>
      </c>
      <c r="AN449" s="11">
        <v>0</v>
      </c>
      <c r="AO449" s="11">
        <v>0</v>
      </c>
      <c r="AP449" s="11">
        <v>0</v>
      </c>
      <c r="AQ449" s="11">
        <v>0</v>
      </c>
      <c r="AR449" t="s">
        <v>48</v>
      </c>
      <c r="AS449"/>
    </row>
    <row r="450" spans="1:48" hidden="1" x14ac:dyDescent="0.3">
      <c r="A450">
        <v>2023</v>
      </c>
      <c r="B450">
        <v>6</v>
      </c>
      <c r="C450">
        <v>110206002010301</v>
      </c>
      <c r="D450" s="5" t="s">
        <v>44</v>
      </c>
      <c r="E450" s="8" t="s">
        <v>1457</v>
      </c>
      <c r="F450">
        <v>110206002010301</v>
      </c>
      <c r="G450" s="8" t="s">
        <v>1458</v>
      </c>
      <c r="H450" t="s">
        <v>909</v>
      </c>
      <c r="I450" s="11">
        <v>0</v>
      </c>
      <c r="J450" s="11">
        <v>0</v>
      </c>
      <c r="K450" s="11">
        <v>3595821300.9899998</v>
      </c>
      <c r="L450" s="11">
        <v>1491990499.4000001</v>
      </c>
      <c r="M450" s="11">
        <v>2103830801.5899999</v>
      </c>
      <c r="N450" s="11">
        <v>3595821300.9899998</v>
      </c>
      <c r="O450" s="11">
        <v>1491990499.4000001</v>
      </c>
      <c r="P450" s="11">
        <v>2103830801.5899999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609283447.94000006</v>
      </c>
      <c r="X450" s="11">
        <v>42686501</v>
      </c>
      <c r="Y450" s="17">
        <v>566596946.94000006</v>
      </c>
      <c r="Z450" s="11">
        <v>0</v>
      </c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11">
        <v>609283447.94000006</v>
      </c>
      <c r="AG450" s="11">
        <v>42686501</v>
      </c>
      <c r="AH450" s="12">
        <v>566596946.94000006</v>
      </c>
      <c r="AI450" s="11">
        <v>566596946.94000006</v>
      </c>
      <c r="AJ450" s="11">
        <v>566596946.94000006</v>
      </c>
      <c r="AK450" s="11">
        <v>566596946.94000006</v>
      </c>
      <c r="AL450" s="11">
        <v>0</v>
      </c>
      <c r="AM450" s="11">
        <v>0</v>
      </c>
      <c r="AN450" s="11">
        <v>0</v>
      </c>
      <c r="AO450" s="11">
        <v>0</v>
      </c>
      <c r="AP450" s="11">
        <v>0</v>
      </c>
      <c r="AQ450" s="11">
        <v>0</v>
      </c>
      <c r="AR450" t="s">
        <v>48</v>
      </c>
      <c r="AS450"/>
    </row>
    <row r="451" spans="1:48" hidden="1" x14ac:dyDescent="0.3">
      <c r="A451">
        <v>2023</v>
      </c>
      <c r="B451">
        <v>6</v>
      </c>
      <c r="C451">
        <v>1.1020600201030099E+17</v>
      </c>
      <c r="D451" s="5" t="s">
        <v>44</v>
      </c>
      <c r="E451" s="8" t="s">
        <v>1459</v>
      </c>
      <c r="F451">
        <v>1.1020600201030099E+17</v>
      </c>
      <c r="G451" s="8" t="s">
        <v>1460</v>
      </c>
      <c r="H451" t="s">
        <v>909</v>
      </c>
      <c r="I451" s="11">
        <v>0</v>
      </c>
      <c r="J451" s="11">
        <v>0</v>
      </c>
      <c r="K451" s="11">
        <v>3595821300.9899998</v>
      </c>
      <c r="L451" s="11">
        <v>1491990499.4000001</v>
      </c>
      <c r="M451" s="11">
        <v>2103830801.5899999</v>
      </c>
      <c r="N451" s="11">
        <v>3595821300.9899998</v>
      </c>
      <c r="O451" s="11">
        <v>1491990499.4000001</v>
      </c>
      <c r="P451" s="11">
        <v>2103830801.5899999</v>
      </c>
      <c r="Q451" s="11">
        <v>0</v>
      </c>
      <c r="R451" s="11">
        <v>0</v>
      </c>
      <c r="S451" s="11">
        <v>0</v>
      </c>
      <c r="T451" s="11">
        <v>0</v>
      </c>
      <c r="U451" s="11">
        <v>0</v>
      </c>
      <c r="V451" s="11">
        <v>0</v>
      </c>
      <c r="W451" s="11">
        <v>609283447.94000006</v>
      </c>
      <c r="X451" s="11">
        <v>42686501</v>
      </c>
      <c r="Y451" s="17">
        <v>566596946.94000006</v>
      </c>
      <c r="Z451" s="11">
        <v>0</v>
      </c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11">
        <v>609283447.94000006</v>
      </c>
      <c r="AG451" s="11">
        <v>42686501</v>
      </c>
      <c r="AH451" s="12">
        <v>566596946.94000006</v>
      </c>
      <c r="AI451" s="11">
        <v>566596946.94000006</v>
      </c>
      <c r="AJ451" s="11">
        <v>566596946.94000006</v>
      </c>
      <c r="AK451" s="11">
        <v>566596946.94000006</v>
      </c>
      <c r="AL451" s="11">
        <v>0</v>
      </c>
      <c r="AM451" s="11">
        <v>0</v>
      </c>
      <c r="AN451" s="11">
        <v>0</v>
      </c>
      <c r="AO451" s="11">
        <v>0</v>
      </c>
      <c r="AP451" s="11">
        <v>0</v>
      </c>
      <c r="AQ451" s="11">
        <v>0</v>
      </c>
      <c r="AR451" t="s">
        <v>48</v>
      </c>
      <c r="AS451"/>
    </row>
    <row r="452" spans="1:48" hidden="1" x14ac:dyDescent="0.3">
      <c r="A452">
        <v>2023</v>
      </c>
      <c r="B452">
        <v>6</v>
      </c>
      <c r="C452">
        <v>1.1020600201030101E+20</v>
      </c>
      <c r="D452" s="5" t="s">
        <v>44</v>
      </c>
      <c r="E452" s="8" t="s">
        <v>1461</v>
      </c>
      <c r="F452">
        <v>1.1020600201030101E+20</v>
      </c>
      <c r="G452" s="8" t="s">
        <v>1460</v>
      </c>
      <c r="H452" t="s">
        <v>909</v>
      </c>
      <c r="I452" s="11">
        <v>0</v>
      </c>
      <c r="J452" s="11">
        <v>0</v>
      </c>
      <c r="K452" s="11">
        <v>3595821300.9899998</v>
      </c>
      <c r="L452" s="11">
        <v>1491990499.4000001</v>
      </c>
      <c r="M452" s="11">
        <v>2103830801.5899999</v>
      </c>
      <c r="N452" s="11">
        <v>3595821300.9899998</v>
      </c>
      <c r="O452" s="11">
        <v>1491990499.4000001</v>
      </c>
      <c r="P452" s="11">
        <v>2103830801.5899999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609283447.94000006</v>
      </c>
      <c r="X452" s="11">
        <v>42686501</v>
      </c>
      <c r="Y452" s="17">
        <v>566596946.94000006</v>
      </c>
      <c r="Z452" s="11">
        <v>0</v>
      </c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11">
        <v>609283447.94000006</v>
      </c>
      <c r="AG452" s="11">
        <v>42686501</v>
      </c>
      <c r="AH452" s="12">
        <v>566596946.94000006</v>
      </c>
      <c r="AI452" s="11">
        <v>566596946.94000006</v>
      </c>
      <c r="AJ452" s="11">
        <v>566596946.94000006</v>
      </c>
      <c r="AK452" s="11">
        <v>566596946.94000006</v>
      </c>
      <c r="AL452" s="11">
        <v>0</v>
      </c>
      <c r="AM452" s="11">
        <v>0</v>
      </c>
      <c r="AN452" s="11">
        <v>0</v>
      </c>
      <c r="AO452" s="11">
        <v>0</v>
      </c>
      <c r="AP452" s="11">
        <v>0</v>
      </c>
      <c r="AQ452" s="11">
        <v>0</v>
      </c>
      <c r="AR452" t="s">
        <v>48</v>
      </c>
      <c r="AS452"/>
    </row>
    <row r="453" spans="1:48" x14ac:dyDescent="0.3">
      <c r="A453">
        <v>2023</v>
      </c>
      <c r="B453">
        <v>6</v>
      </c>
      <c r="C453">
        <v>1.1020600201030101E+35</v>
      </c>
      <c r="D453" s="5">
        <v>70</v>
      </c>
      <c r="E453" s="8" t="s">
        <v>1462</v>
      </c>
      <c r="F453">
        <v>1.1020600201030101E+35</v>
      </c>
      <c r="G453" s="8" t="s">
        <v>923</v>
      </c>
      <c r="H453" t="s">
        <v>909</v>
      </c>
      <c r="I453" s="11">
        <v>0</v>
      </c>
      <c r="J453" s="11">
        <v>0</v>
      </c>
      <c r="K453" s="11">
        <v>611840302.19000006</v>
      </c>
      <c r="L453" s="11">
        <v>0</v>
      </c>
      <c r="M453" s="11">
        <v>611840302.19000006</v>
      </c>
      <c r="N453" s="11">
        <v>611840302.19000006</v>
      </c>
      <c r="O453" s="11">
        <v>0</v>
      </c>
      <c r="P453" s="11">
        <v>611840302.19000006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592399447.94000006</v>
      </c>
      <c r="X453" s="11">
        <v>42686501</v>
      </c>
      <c r="Y453" s="17">
        <v>549712946.94000006</v>
      </c>
      <c r="Z453" s="11">
        <v>0</v>
      </c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11">
        <v>592399447.94000006</v>
      </c>
      <c r="AG453" s="11">
        <v>42686501</v>
      </c>
      <c r="AH453" s="12">
        <v>549712946.94000006</v>
      </c>
      <c r="AI453" s="11">
        <v>549712946.94000006</v>
      </c>
      <c r="AJ453" s="11">
        <v>549712946.94000006</v>
      </c>
      <c r="AK453" s="11">
        <v>549712946.94000006</v>
      </c>
      <c r="AL453" s="11">
        <v>0</v>
      </c>
      <c r="AM453" s="11">
        <v>0</v>
      </c>
      <c r="AN453" s="11">
        <v>0</v>
      </c>
      <c r="AO453" s="11">
        <v>0</v>
      </c>
      <c r="AP453" s="11">
        <v>0</v>
      </c>
      <c r="AQ453" s="11">
        <v>0</v>
      </c>
      <c r="AR453" t="s">
        <v>918</v>
      </c>
      <c r="AS453" s="4" t="str">
        <f>+G453</f>
        <v>Fortalecimiento de la prestación de servicios de salud y las acciones de salud pública durante la pa</v>
      </c>
      <c r="AT453" t="str">
        <f t="shared" ref="AT453:AT455" si="98">+D453&amp;AS453&amp;Y453</f>
        <v>70Fortalecimiento de la prestación de servicios de salud y las acciones de salud pública durante la pa549712946,94</v>
      </c>
      <c r="AU453" t="str">
        <f>+_xlfn.XLOOKUP(AT453,CRUCE!K:K,CRUCE!M:M)</f>
        <v>READY</v>
      </c>
      <c r="AV453" t="s">
        <v>1907</v>
      </c>
    </row>
    <row r="454" spans="1:48" x14ac:dyDescent="0.3">
      <c r="A454">
        <v>2023</v>
      </c>
      <c r="B454">
        <v>6</v>
      </c>
      <c r="C454">
        <v>1.1020600201030101E+35</v>
      </c>
      <c r="D454" s="5">
        <v>70</v>
      </c>
      <c r="E454" s="8" t="s">
        <v>1462</v>
      </c>
      <c r="F454">
        <v>1.1020600201030101E+35</v>
      </c>
      <c r="G454" s="8" t="s">
        <v>923</v>
      </c>
      <c r="H454" t="s">
        <v>909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7">
        <v>0</v>
      </c>
      <c r="Z454" s="11">
        <v>0</v>
      </c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12">
        <v>0</v>
      </c>
      <c r="AI454" s="11">
        <v>0</v>
      </c>
      <c r="AJ454" s="11">
        <v>0</v>
      </c>
      <c r="AK454" s="11">
        <v>0</v>
      </c>
      <c r="AL454" s="11">
        <v>0</v>
      </c>
      <c r="AM454" s="11">
        <v>0</v>
      </c>
      <c r="AN454" s="11">
        <v>0</v>
      </c>
      <c r="AO454" s="11">
        <v>0</v>
      </c>
      <c r="AP454" s="11">
        <v>0</v>
      </c>
      <c r="AQ454" s="11">
        <v>0</v>
      </c>
      <c r="AR454" t="s">
        <v>918</v>
      </c>
      <c r="AS454" s="4" t="str">
        <f t="shared" ref="AS454:AS455" si="99">+G454</f>
        <v>Fortalecimiento de la prestación de servicios de salud y las acciones de salud pública durante la pa</v>
      </c>
      <c r="AT454" t="str">
        <f t="shared" si="98"/>
        <v>70Fortalecimiento de la prestación de servicios de salud y las acciones de salud pública durante la pa0</v>
      </c>
      <c r="AU454" t="e">
        <f>+_xlfn.XLOOKUP(AT454,CRUCE!K:K,CRUCE!M:M)</f>
        <v>#N/A</v>
      </c>
      <c r="AV454" t="s">
        <v>1907</v>
      </c>
    </row>
    <row r="455" spans="1:48" x14ac:dyDescent="0.3">
      <c r="A455">
        <v>2023</v>
      </c>
      <c r="B455">
        <v>6</v>
      </c>
      <c r="C455">
        <v>1.1020600201030101E+35</v>
      </c>
      <c r="D455" s="5">
        <v>70</v>
      </c>
      <c r="E455" s="8" t="s">
        <v>1463</v>
      </c>
      <c r="F455">
        <v>1.1020600201030101E+35</v>
      </c>
      <c r="G455" s="8" t="s">
        <v>1464</v>
      </c>
      <c r="H455" t="s">
        <v>909</v>
      </c>
      <c r="I455" s="11">
        <v>0</v>
      </c>
      <c r="J455" s="11">
        <v>0</v>
      </c>
      <c r="K455" s="11">
        <v>2983980998.8000002</v>
      </c>
      <c r="L455" s="11">
        <v>1491990499.4000001</v>
      </c>
      <c r="M455" s="11">
        <v>1491990499.4000001</v>
      </c>
      <c r="N455" s="11">
        <v>2983980998.8000002</v>
      </c>
      <c r="O455" s="11">
        <v>1491990499.4000001</v>
      </c>
      <c r="P455" s="11">
        <v>1491990499.4000001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16884000</v>
      </c>
      <c r="X455" s="11">
        <v>0</v>
      </c>
      <c r="Y455" s="17">
        <v>16884000</v>
      </c>
      <c r="Z455" s="11">
        <v>0</v>
      </c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11">
        <v>16884000</v>
      </c>
      <c r="AG455" s="11">
        <v>0</v>
      </c>
      <c r="AH455" s="12">
        <v>16884000</v>
      </c>
      <c r="AI455" s="11">
        <v>16884000</v>
      </c>
      <c r="AJ455" s="11">
        <v>16884000</v>
      </c>
      <c r="AK455" s="11">
        <v>16884000</v>
      </c>
      <c r="AL455" s="11">
        <v>0</v>
      </c>
      <c r="AM455" s="11">
        <v>0</v>
      </c>
      <c r="AN455" s="11">
        <v>0</v>
      </c>
      <c r="AO455" s="11">
        <v>0</v>
      </c>
      <c r="AP455" s="11">
        <v>0</v>
      </c>
      <c r="AQ455" s="11">
        <v>0</v>
      </c>
      <c r="AR455" t="s">
        <v>918</v>
      </c>
      <c r="AS455" s="4" t="str">
        <f t="shared" si="99"/>
        <v xml:space="preserve">DESARROLLO DE INSTRUMENTOS Y HERRAMIENTAS PARA LA PLANEACION Y GESTION DEL ORDENAMIENTO TERRITORIAL </v>
      </c>
      <c r="AT455" t="str">
        <f t="shared" si="98"/>
        <v>70DESARROLLO DE INSTRUMENTOS Y HERRAMIENTAS PARA LA PLANEACION Y GESTION DEL ORDENAMIENTO TERRITORIAL 16884000</v>
      </c>
      <c r="AU455" t="str">
        <f>+_xlfn.XLOOKUP(AT455,CRUCE!K:K,CRUCE!M:M)</f>
        <v>READY</v>
      </c>
      <c r="AV455" t="s">
        <v>1907</v>
      </c>
    </row>
    <row r="456" spans="1:48" hidden="1" x14ac:dyDescent="0.3">
      <c r="A456">
        <v>2023</v>
      </c>
      <c r="B456">
        <v>6</v>
      </c>
      <c r="C456">
        <v>110206002010303</v>
      </c>
      <c r="D456" s="5" t="s">
        <v>44</v>
      </c>
      <c r="E456" s="8" t="s">
        <v>1465</v>
      </c>
      <c r="F456">
        <v>110206002010303</v>
      </c>
      <c r="G456" s="8" t="s">
        <v>1466</v>
      </c>
      <c r="H456" t="s">
        <v>909</v>
      </c>
      <c r="I456" s="11">
        <v>0</v>
      </c>
      <c r="J456" s="11">
        <v>0</v>
      </c>
      <c r="K456" s="11">
        <v>78101655124.690002</v>
      </c>
      <c r="L456" s="11">
        <v>0</v>
      </c>
      <c r="M456" s="11">
        <v>78101655124.690002</v>
      </c>
      <c r="N456" s="11">
        <v>78101655124.690002</v>
      </c>
      <c r="O456" s="11">
        <v>0</v>
      </c>
      <c r="P456" s="11">
        <v>78101655124.690002</v>
      </c>
      <c r="Q456" s="11">
        <v>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25122436909.060001</v>
      </c>
      <c r="X456" s="11">
        <v>0</v>
      </c>
      <c r="Y456" s="17">
        <v>25122436909.060001</v>
      </c>
      <c r="Z456" s="11">
        <v>0</v>
      </c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11">
        <v>25122436909.060001</v>
      </c>
      <c r="AG456" s="11">
        <v>0</v>
      </c>
      <c r="AH456" s="12">
        <v>25122436909.060001</v>
      </c>
      <c r="AI456" s="11">
        <v>25122436909.060001</v>
      </c>
      <c r="AJ456" s="11">
        <v>25122436909.060001</v>
      </c>
      <c r="AK456" s="11">
        <v>25122436909.060001</v>
      </c>
      <c r="AL456" s="11">
        <v>0</v>
      </c>
      <c r="AM456" s="11">
        <v>0</v>
      </c>
      <c r="AN456" s="11">
        <v>0</v>
      </c>
      <c r="AO456" s="11">
        <v>0</v>
      </c>
      <c r="AP456" s="11">
        <v>0</v>
      </c>
      <c r="AQ456" s="11">
        <v>0</v>
      </c>
      <c r="AR456" t="s">
        <v>48</v>
      </c>
      <c r="AS456"/>
    </row>
    <row r="457" spans="1:48" hidden="1" x14ac:dyDescent="0.3">
      <c r="A457">
        <v>2023</v>
      </c>
      <c r="B457">
        <v>6</v>
      </c>
      <c r="C457">
        <v>1.1020600201030301E+17</v>
      </c>
      <c r="D457" s="5" t="s">
        <v>44</v>
      </c>
      <c r="E457" s="8" t="s">
        <v>1467</v>
      </c>
      <c r="F457">
        <v>1.1020600201030301E+17</v>
      </c>
      <c r="G457" s="8" t="s">
        <v>1468</v>
      </c>
      <c r="H457" t="s">
        <v>909</v>
      </c>
      <c r="I457" s="11">
        <v>0</v>
      </c>
      <c r="J457" s="11">
        <v>0</v>
      </c>
      <c r="K457" s="11">
        <v>78101655124.690002</v>
      </c>
      <c r="L457" s="11">
        <v>0</v>
      </c>
      <c r="M457" s="11">
        <v>78101655124.690002</v>
      </c>
      <c r="N457" s="11">
        <v>78101655124.690002</v>
      </c>
      <c r="O457" s="11">
        <v>0</v>
      </c>
      <c r="P457" s="11">
        <v>78101655124.690002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25122436909.060001</v>
      </c>
      <c r="X457" s="11">
        <v>0</v>
      </c>
      <c r="Y457" s="17">
        <v>25122436909.060001</v>
      </c>
      <c r="Z457" s="11">
        <v>0</v>
      </c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11">
        <v>25122436909.060001</v>
      </c>
      <c r="AG457" s="11">
        <v>0</v>
      </c>
      <c r="AH457" s="12">
        <v>25122436909.060001</v>
      </c>
      <c r="AI457" s="11">
        <v>25122436909.060001</v>
      </c>
      <c r="AJ457" s="11">
        <v>25122436909.060001</v>
      </c>
      <c r="AK457" s="11">
        <v>25122436909.060001</v>
      </c>
      <c r="AL457" s="11">
        <v>0</v>
      </c>
      <c r="AM457" s="11">
        <v>0</v>
      </c>
      <c r="AN457" s="11">
        <v>0</v>
      </c>
      <c r="AO457" s="11">
        <v>0</v>
      </c>
      <c r="AP457" s="11">
        <v>0</v>
      </c>
      <c r="AQ457" s="11">
        <v>0</v>
      </c>
      <c r="AR457" t="s">
        <v>48</v>
      </c>
      <c r="AS457"/>
    </row>
    <row r="458" spans="1:48" hidden="1" x14ac:dyDescent="0.3">
      <c r="A458">
        <v>2023</v>
      </c>
      <c r="B458">
        <v>6</v>
      </c>
      <c r="C458">
        <v>1.10206002010303E+20</v>
      </c>
      <c r="D458" s="5" t="s">
        <v>44</v>
      </c>
      <c r="E458" s="8" t="s">
        <v>1469</v>
      </c>
      <c r="F458">
        <v>1.10206002010303E+20</v>
      </c>
      <c r="G458" s="8" t="s">
        <v>1468</v>
      </c>
      <c r="H458" t="s">
        <v>909</v>
      </c>
      <c r="I458" s="11">
        <v>0</v>
      </c>
      <c r="J458" s="11">
        <v>0</v>
      </c>
      <c r="K458" s="11">
        <v>78101655124.690002</v>
      </c>
      <c r="L458" s="11">
        <v>0</v>
      </c>
      <c r="M458" s="11">
        <v>78101655124.690002</v>
      </c>
      <c r="N458" s="11">
        <v>78101655124.690002</v>
      </c>
      <c r="O458" s="11">
        <v>0</v>
      </c>
      <c r="P458" s="11">
        <v>78101655124.690002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25122436909.060001</v>
      </c>
      <c r="X458" s="11">
        <v>0</v>
      </c>
      <c r="Y458" s="17">
        <v>25122436909.060001</v>
      </c>
      <c r="Z458" s="11">
        <v>0</v>
      </c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11">
        <v>25122436909.060001</v>
      </c>
      <c r="AG458" s="11">
        <v>0</v>
      </c>
      <c r="AH458" s="12">
        <v>25122436909.060001</v>
      </c>
      <c r="AI458" s="11">
        <v>25122436909.060001</v>
      </c>
      <c r="AJ458" s="11">
        <v>25122436909.060001</v>
      </c>
      <c r="AK458" s="11">
        <v>25122436909.060001</v>
      </c>
      <c r="AL458" s="11">
        <v>0</v>
      </c>
      <c r="AM458" s="11">
        <v>0</v>
      </c>
      <c r="AN458" s="11">
        <v>0</v>
      </c>
      <c r="AO458" s="11">
        <v>0</v>
      </c>
      <c r="AP458" s="11">
        <v>0</v>
      </c>
      <c r="AQ458" s="11">
        <v>0</v>
      </c>
      <c r="AR458" t="s">
        <v>48</v>
      </c>
      <c r="AS458"/>
    </row>
    <row r="459" spans="1:48" x14ac:dyDescent="0.3">
      <c r="A459">
        <v>2023</v>
      </c>
      <c r="B459">
        <v>6</v>
      </c>
      <c r="C459">
        <v>1.10206002010303E+35</v>
      </c>
      <c r="D459" s="5">
        <v>70</v>
      </c>
      <c r="E459" s="8" t="s">
        <v>1470</v>
      </c>
      <c r="F459">
        <v>1.10206002010303E+35</v>
      </c>
      <c r="G459" s="8" t="s">
        <v>1471</v>
      </c>
      <c r="H459" t="s">
        <v>909</v>
      </c>
      <c r="I459" s="11">
        <v>0</v>
      </c>
      <c r="J459" s="11">
        <v>0</v>
      </c>
      <c r="K459" s="11">
        <v>4205222353.3200002</v>
      </c>
      <c r="L459" s="11">
        <v>0</v>
      </c>
      <c r="M459" s="11">
        <v>4205222353.3200002</v>
      </c>
      <c r="N459" s="11">
        <v>4205222353.3200002</v>
      </c>
      <c r="O459" s="11">
        <v>0</v>
      </c>
      <c r="P459" s="11">
        <v>4205222353.3200002</v>
      </c>
      <c r="Q459" s="11">
        <v>0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2860757248</v>
      </c>
      <c r="X459" s="11">
        <v>0</v>
      </c>
      <c r="Y459" s="17">
        <v>2860757248</v>
      </c>
      <c r="Z459" s="11">
        <v>0</v>
      </c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11">
        <v>2860757248</v>
      </c>
      <c r="AG459" s="11">
        <v>0</v>
      </c>
      <c r="AH459" s="12">
        <v>2860757248</v>
      </c>
      <c r="AI459" s="11">
        <v>2860757248</v>
      </c>
      <c r="AJ459" s="11">
        <v>2860757248</v>
      </c>
      <c r="AK459" s="11">
        <v>2860757248</v>
      </c>
      <c r="AL459" s="11">
        <v>0</v>
      </c>
      <c r="AM459" s="11">
        <v>0</v>
      </c>
      <c r="AN459" s="11">
        <v>0</v>
      </c>
      <c r="AO459" s="11">
        <v>0</v>
      </c>
      <c r="AP459" s="11">
        <v>0</v>
      </c>
      <c r="AQ459" s="11">
        <v>0</v>
      </c>
      <c r="AR459" t="s">
        <v>918</v>
      </c>
      <c r="AS459" s="4" t="str">
        <f t="shared" ref="AS459:AS460" si="100">+G459</f>
        <v>Implementación del programa integral de bilingüismo Quindío bilingüe y competitivo en el departamen"</v>
      </c>
      <c r="AT459" t="str">
        <f t="shared" ref="AT459:AT470" si="101">+D459&amp;AS459&amp;Y459</f>
        <v>70Implementación del programa integral de bilingüismo Quindío bilingüe y competitivo en el departamen"2860757248</v>
      </c>
      <c r="AU459" t="str">
        <f>+_xlfn.XLOOKUP(AT459,CRUCE!K:K,CRUCE!M:M)</f>
        <v>READY</v>
      </c>
      <c r="AV459" t="s">
        <v>1907</v>
      </c>
    </row>
    <row r="460" spans="1:48" x14ac:dyDescent="0.3">
      <c r="A460">
        <v>2023</v>
      </c>
      <c r="B460">
        <v>6</v>
      </c>
      <c r="C460">
        <v>1.10206002010303E+35</v>
      </c>
      <c r="D460" s="5">
        <v>70</v>
      </c>
      <c r="E460" s="8" t="s">
        <v>1472</v>
      </c>
      <c r="F460">
        <v>1.10206002010303E+35</v>
      </c>
      <c r="G460" s="8" t="s">
        <v>1473</v>
      </c>
      <c r="H460" t="s">
        <v>909</v>
      </c>
      <c r="I460" s="11">
        <v>0</v>
      </c>
      <c r="J460" s="11">
        <v>0</v>
      </c>
      <c r="K460" s="11">
        <v>87533753.769999996</v>
      </c>
      <c r="L460" s="11">
        <v>0</v>
      </c>
      <c r="M460" s="11">
        <v>87533753.769999996</v>
      </c>
      <c r="N460" s="11">
        <v>87533753.769999996</v>
      </c>
      <c r="O460" s="11">
        <v>0</v>
      </c>
      <c r="P460" s="11">
        <v>87533753.769999996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7">
        <v>0</v>
      </c>
      <c r="Z460" s="11">
        <v>0</v>
      </c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12">
        <v>0</v>
      </c>
      <c r="AI460" s="11">
        <v>0</v>
      </c>
      <c r="AJ460" s="11">
        <v>0</v>
      </c>
      <c r="AK460" s="11">
        <v>0</v>
      </c>
      <c r="AL460" s="11">
        <v>0</v>
      </c>
      <c r="AM460" s="11">
        <v>0</v>
      </c>
      <c r="AN460" s="11">
        <v>0</v>
      </c>
      <c r="AO460" s="11">
        <v>0</v>
      </c>
      <c r="AP460" s="11">
        <v>0</v>
      </c>
      <c r="AQ460" s="11">
        <v>0</v>
      </c>
      <c r="AR460" t="s">
        <v>918</v>
      </c>
      <c r="AS460" s="4" t="str">
        <f t="shared" si="100"/>
        <v>Construcción de pavimento en concreto asfaltico para el desarrollo regional y la conectividad en los</v>
      </c>
      <c r="AT460" t="str">
        <f t="shared" si="101"/>
        <v>70Construcción de pavimento en concreto asfaltico para el desarrollo regional y la conectividad en los0</v>
      </c>
      <c r="AU460" t="str">
        <f>+_xlfn.XLOOKUP(AT460,CRUCE!K:K,CRUCE!M:M)</f>
        <v>READY</v>
      </c>
      <c r="AV460" t="s">
        <v>1907</v>
      </c>
    </row>
    <row r="461" spans="1:48" x14ac:dyDescent="0.3">
      <c r="A461">
        <v>2023</v>
      </c>
      <c r="B461">
        <v>6</v>
      </c>
      <c r="C461">
        <v>1.10206002010303E+35</v>
      </c>
      <c r="D461" s="5">
        <v>70</v>
      </c>
      <c r="E461" s="8" t="s">
        <v>1474</v>
      </c>
      <c r="F461">
        <v>1.10206002010303E+35</v>
      </c>
      <c r="G461" s="8" t="s">
        <v>927</v>
      </c>
      <c r="H461" t="s">
        <v>909</v>
      </c>
      <c r="I461" s="11">
        <v>0</v>
      </c>
      <c r="J461" s="11">
        <v>0</v>
      </c>
      <c r="K461" s="11">
        <v>1202955908.3299999</v>
      </c>
      <c r="L461" s="11">
        <v>0</v>
      </c>
      <c r="M461" s="11">
        <v>1202955908.3299999</v>
      </c>
      <c r="N461" s="11">
        <v>1202955908.3299999</v>
      </c>
      <c r="O461" s="11">
        <v>0</v>
      </c>
      <c r="P461" s="11">
        <v>1202955908.3299999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950198669.01999998</v>
      </c>
      <c r="X461" s="11">
        <v>0</v>
      </c>
      <c r="Y461" s="17">
        <v>950198669.01999998</v>
      </c>
      <c r="Z461" s="11">
        <v>0</v>
      </c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11">
        <v>950198669.01999998</v>
      </c>
      <c r="AG461" s="11">
        <v>0</v>
      </c>
      <c r="AH461" s="12">
        <v>950198669.01999998</v>
      </c>
      <c r="AI461" s="11">
        <v>950198669.01999998</v>
      </c>
      <c r="AJ461" s="11">
        <v>950198669.01999998</v>
      </c>
      <c r="AK461" s="11">
        <v>950198669.01999998</v>
      </c>
      <c r="AL461" s="11">
        <v>0</v>
      </c>
      <c r="AM461" s="11">
        <v>0</v>
      </c>
      <c r="AN461" s="11">
        <v>0</v>
      </c>
      <c r="AO461" s="11">
        <v>0</v>
      </c>
      <c r="AP461" s="11">
        <v>0</v>
      </c>
      <c r="AQ461" s="11">
        <v>0</v>
      </c>
      <c r="AR461" t="s">
        <v>918</v>
      </c>
      <c r="AS461" s="4" t="str">
        <f t="shared" ref="AS461:AS469" si="102">+G461</f>
        <v xml:space="preserve">Remodelación, modernización y equipamiento de áreas resultantes del reforzamiento estructural y del </v>
      </c>
      <c r="AT461" t="str">
        <f t="shared" si="101"/>
        <v>70Remodelación, modernización y equipamiento de áreas resultantes del reforzamiento estructural y del 950198669,02</v>
      </c>
      <c r="AU461" t="str">
        <f>+_xlfn.XLOOKUP(AT461,CRUCE!K:K,CRUCE!M:M)</f>
        <v>READY</v>
      </c>
      <c r="AV461" t="s">
        <v>1907</v>
      </c>
    </row>
    <row r="462" spans="1:48" x14ac:dyDescent="0.3">
      <c r="A462">
        <v>2023</v>
      </c>
      <c r="B462">
        <v>6</v>
      </c>
      <c r="C462">
        <v>1.10206002010303E+35</v>
      </c>
      <c r="D462" s="5">
        <v>70</v>
      </c>
      <c r="E462" s="8" t="s">
        <v>1475</v>
      </c>
      <c r="F462">
        <v>1.10206002010303E+35</v>
      </c>
      <c r="G462" s="8" t="s">
        <v>1476</v>
      </c>
      <c r="H462" t="s">
        <v>909</v>
      </c>
      <c r="I462" s="11">
        <v>0</v>
      </c>
      <c r="J462" s="11">
        <v>0</v>
      </c>
      <c r="K462" s="11">
        <v>78482636.319999993</v>
      </c>
      <c r="L462" s="11">
        <v>0</v>
      </c>
      <c r="M462" s="11">
        <v>78482636.319999993</v>
      </c>
      <c r="N462" s="11">
        <v>78482636.319999993</v>
      </c>
      <c r="O462" s="11">
        <v>0</v>
      </c>
      <c r="P462" s="11">
        <v>78482636.319999993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78456441.030000001</v>
      </c>
      <c r="X462" s="11">
        <v>0</v>
      </c>
      <c r="Y462" s="17">
        <v>78456441.030000001</v>
      </c>
      <c r="Z462" s="11">
        <v>0</v>
      </c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11">
        <v>78456441.030000001</v>
      </c>
      <c r="AG462" s="11">
        <v>0</v>
      </c>
      <c r="AH462" s="12">
        <v>78456441.030000001</v>
      </c>
      <c r="AI462" s="11">
        <v>78456441.030000001</v>
      </c>
      <c r="AJ462" s="11">
        <v>78456441.030000001</v>
      </c>
      <c r="AK462" s="11">
        <v>78456441.030000001</v>
      </c>
      <c r="AL462" s="11">
        <v>0</v>
      </c>
      <c r="AM462" s="11">
        <v>0</v>
      </c>
      <c r="AN462" s="11">
        <v>0</v>
      </c>
      <c r="AO462" s="11">
        <v>0</v>
      </c>
      <c r="AP462" s="11">
        <v>0</v>
      </c>
      <c r="AQ462" s="11">
        <v>0</v>
      </c>
      <c r="AR462" t="s">
        <v>918</v>
      </c>
      <c r="AS462" s="4" t="str">
        <f t="shared" si="102"/>
        <v>Remodelación Y optimización DE escenarios deportivos, obras DE urbanismo complementarias y movilidad</v>
      </c>
      <c r="AT462" t="str">
        <f t="shared" si="101"/>
        <v>70Remodelación Y optimización DE escenarios deportivos, obras DE urbanismo complementarias y movilidad78456441,03</v>
      </c>
      <c r="AU462" t="str">
        <f>+_xlfn.XLOOKUP(AT462,CRUCE!K:K,CRUCE!M:M)</f>
        <v>READY</v>
      </c>
      <c r="AV462" t="s">
        <v>1907</v>
      </c>
    </row>
    <row r="463" spans="1:48" x14ac:dyDescent="0.3">
      <c r="A463">
        <v>2023</v>
      </c>
      <c r="B463">
        <v>6</v>
      </c>
      <c r="C463">
        <v>1.10206002010303E+35</v>
      </c>
      <c r="D463" s="5">
        <v>70</v>
      </c>
      <c r="E463" s="8" t="s">
        <v>1477</v>
      </c>
      <c r="F463">
        <v>1.10206002010303E+35</v>
      </c>
      <c r="G463" s="8" t="s">
        <v>1478</v>
      </c>
      <c r="H463" t="s">
        <v>909</v>
      </c>
      <c r="I463" s="11">
        <v>0</v>
      </c>
      <c r="J463" s="11">
        <v>0</v>
      </c>
      <c r="K463" s="11">
        <v>5437701350.6999998</v>
      </c>
      <c r="L463" s="11">
        <v>0</v>
      </c>
      <c r="M463" s="11">
        <v>5437701350.6999998</v>
      </c>
      <c r="N463" s="11">
        <v>5437701350.6999998</v>
      </c>
      <c r="O463" s="11">
        <v>0</v>
      </c>
      <c r="P463" s="11">
        <v>5437701350.6999998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590023688</v>
      </c>
      <c r="X463" s="11">
        <v>0</v>
      </c>
      <c r="Y463" s="17">
        <v>590023688</v>
      </c>
      <c r="Z463" s="11">
        <v>0</v>
      </c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11">
        <v>590023688</v>
      </c>
      <c r="AG463" s="11">
        <v>0</v>
      </c>
      <c r="AH463" s="12">
        <v>590023688</v>
      </c>
      <c r="AI463" s="11">
        <v>590023688</v>
      </c>
      <c r="AJ463" s="11">
        <v>590023688</v>
      </c>
      <c r="AK463" s="11">
        <v>590023688</v>
      </c>
      <c r="AL463" s="11">
        <v>0</v>
      </c>
      <c r="AM463" s="11">
        <v>0</v>
      </c>
      <c r="AN463" s="11">
        <v>0</v>
      </c>
      <c r="AO463" s="11">
        <v>0</v>
      </c>
      <c r="AP463" s="11">
        <v>0</v>
      </c>
      <c r="AQ463" s="11">
        <v>0</v>
      </c>
      <c r="AR463" t="s">
        <v>918</v>
      </c>
      <c r="AS463" s="4" t="str">
        <f t="shared" si="102"/>
        <v>Generación DE INSTRUMENTOS DE VALORACIÓN DE LA AMENAZA SÍSMICA PARA EL DESARROLLO DE PROCESOS DE RED</v>
      </c>
      <c r="AT463" t="str">
        <f t="shared" si="101"/>
        <v>70Generación DE INSTRUMENTOS DE VALORACIÓN DE LA AMENAZA SÍSMICA PARA EL DESARROLLO DE PROCESOS DE RED590023688</v>
      </c>
      <c r="AU463" t="str">
        <f>+_xlfn.XLOOKUP(AT463,CRUCE!K:K,CRUCE!M:M)</f>
        <v>READY</v>
      </c>
      <c r="AV463" t="s">
        <v>1907</v>
      </c>
    </row>
    <row r="464" spans="1:48" x14ac:dyDescent="0.3">
      <c r="A464">
        <v>2023</v>
      </c>
      <c r="B464">
        <v>6</v>
      </c>
      <c r="C464">
        <v>1.10206002010303E+35</v>
      </c>
      <c r="D464" s="5">
        <v>70</v>
      </c>
      <c r="E464" s="8" t="s">
        <v>1479</v>
      </c>
      <c r="F464">
        <v>1.10206002010303E+35</v>
      </c>
      <c r="G464" s="8" t="s">
        <v>1480</v>
      </c>
      <c r="H464" t="s">
        <v>909</v>
      </c>
      <c r="I464" s="11">
        <v>0</v>
      </c>
      <c r="J464" s="11">
        <v>0</v>
      </c>
      <c r="K464" s="11">
        <v>13569353481</v>
      </c>
      <c r="L464" s="11">
        <v>0</v>
      </c>
      <c r="M464" s="11">
        <v>13569353481</v>
      </c>
      <c r="N464" s="11">
        <v>13569353481</v>
      </c>
      <c r="O464" s="11">
        <v>0</v>
      </c>
      <c r="P464" s="11">
        <v>13569353481</v>
      </c>
      <c r="Q464" s="11">
        <v>0</v>
      </c>
      <c r="R464" s="11">
        <v>0</v>
      </c>
      <c r="S464" s="11">
        <v>0</v>
      </c>
      <c r="T464" s="11">
        <v>0</v>
      </c>
      <c r="U464" s="11">
        <v>0</v>
      </c>
      <c r="V464" s="11">
        <v>0</v>
      </c>
      <c r="W464" s="11">
        <v>7080731234</v>
      </c>
      <c r="X464" s="11">
        <v>0</v>
      </c>
      <c r="Y464" s="17">
        <v>7080731234</v>
      </c>
      <c r="Z464" s="11">
        <v>0</v>
      </c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11">
        <v>7080731234</v>
      </c>
      <c r="AG464" s="11">
        <v>0</v>
      </c>
      <c r="AH464" s="12">
        <v>7080731234</v>
      </c>
      <c r="AI464" s="11">
        <v>7080731234</v>
      </c>
      <c r="AJ464" s="11">
        <v>7080731234</v>
      </c>
      <c r="AK464" s="11">
        <v>7080731234</v>
      </c>
      <c r="AL464" s="11">
        <v>0</v>
      </c>
      <c r="AM464" s="11">
        <v>0</v>
      </c>
      <c r="AN464" s="11">
        <v>0</v>
      </c>
      <c r="AO464" s="11">
        <v>0</v>
      </c>
      <c r="AP464" s="11">
        <v>0</v>
      </c>
      <c r="AQ464" s="11">
        <v>0</v>
      </c>
      <c r="AR464" t="s">
        <v>918</v>
      </c>
      <c r="AS464" s="4" t="str">
        <f t="shared" si="102"/>
        <v>Implementación de acciones de adaptación etapa i del plan de gestión integral del cambio climático (</v>
      </c>
      <c r="AT464" t="str">
        <f t="shared" si="101"/>
        <v>70Implementación de acciones de adaptación etapa i del plan de gestión integral del cambio climático (7080731234</v>
      </c>
      <c r="AU464" t="str">
        <f>+_xlfn.XLOOKUP(AT464,CRUCE!K:K,CRUCE!M:M)</f>
        <v>READY</v>
      </c>
      <c r="AV464" t="s">
        <v>1907</v>
      </c>
    </row>
    <row r="465" spans="1:48" x14ac:dyDescent="0.3">
      <c r="A465">
        <v>2023</v>
      </c>
      <c r="B465">
        <v>6</v>
      </c>
      <c r="C465">
        <v>1.10206002010303E+35</v>
      </c>
      <c r="D465" s="5">
        <v>70</v>
      </c>
      <c r="E465" s="8" t="s">
        <v>1481</v>
      </c>
      <c r="F465">
        <v>1.10206002010303E+35</v>
      </c>
      <c r="G465" s="8" t="s">
        <v>1482</v>
      </c>
      <c r="H465" t="s">
        <v>909</v>
      </c>
      <c r="I465" s="11">
        <v>0</v>
      </c>
      <c r="J465" s="11">
        <v>0</v>
      </c>
      <c r="K465" s="11">
        <v>8021290382.5299997</v>
      </c>
      <c r="L465" s="11">
        <v>0</v>
      </c>
      <c r="M465" s="11">
        <v>8021290382.5299997</v>
      </c>
      <c r="N465" s="11">
        <v>8021290382.5299997</v>
      </c>
      <c r="O465" s="11">
        <v>0</v>
      </c>
      <c r="P465" s="11">
        <v>8021290382.5299997</v>
      </c>
      <c r="Q465" s="11">
        <v>0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7560254069.0100002</v>
      </c>
      <c r="X465" s="11">
        <v>0</v>
      </c>
      <c r="Y465" s="17">
        <v>7560254069.0100002</v>
      </c>
      <c r="Z465" s="11">
        <v>0</v>
      </c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11">
        <v>7560254069.0100002</v>
      </c>
      <c r="AG465" s="11">
        <v>0</v>
      </c>
      <c r="AH465" s="12">
        <v>7560254069.0100002</v>
      </c>
      <c r="AI465" s="11">
        <v>7560254069.0100002</v>
      </c>
      <c r="AJ465" s="11">
        <v>7560254069.0100002</v>
      </c>
      <c r="AK465" s="11">
        <v>7560254069.0100002</v>
      </c>
      <c r="AL465" s="11">
        <v>0</v>
      </c>
      <c r="AM465" s="11">
        <v>0</v>
      </c>
      <c r="AN465" s="11">
        <v>0</v>
      </c>
      <c r="AO465" s="11">
        <v>0</v>
      </c>
      <c r="AP465" s="11">
        <v>0</v>
      </c>
      <c r="AQ465" s="11">
        <v>0</v>
      </c>
      <c r="AR465" t="s">
        <v>918</v>
      </c>
      <c r="AS465" s="4" t="str">
        <f t="shared" si="102"/>
        <v>Mejoramiento DE LA VÍA circasia - Montenegro CON CÓDIGO 29bqn03, EN LOS MUNICIPIOS DE circasia Y Mon</v>
      </c>
      <c r="AT465" t="str">
        <f t="shared" si="101"/>
        <v>70Mejoramiento DE LA VÍA circasia - Montenegro CON CÓDIGO 29bqn03, EN LOS MUNICIPIOS DE circasia Y Mon7560254069,01</v>
      </c>
      <c r="AU465" t="str">
        <f>+_xlfn.XLOOKUP(AT465,CRUCE!K:K,CRUCE!M:M)</f>
        <v>READY</v>
      </c>
      <c r="AV465" t="s">
        <v>1907</v>
      </c>
    </row>
    <row r="466" spans="1:48" x14ac:dyDescent="0.3">
      <c r="A466">
        <v>2023</v>
      </c>
      <c r="B466">
        <v>6</v>
      </c>
      <c r="C466">
        <v>1.10206002010303E+35</v>
      </c>
      <c r="D466" s="5">
        <v>70</v>
      </c>
      <c r="E466" s="8" t="s">
        <v>1483</v>
      </c>
      <c r="F466">
        <v>1.10206002010303E+35</v>
      </c>
      <c r="G466" s="8" t="s">
        <v>1484</v>
      </c>
      <c r="H466" t="s">
        <v>909</v>
      </c>
      <c r="I466" s="11">
        <v>0</v>
      </c>
      <c r="J466" s="11">
        <v>0</v>
      </c>
      <c r="K466" s="11">
        <v>6900730032.8900003</v>
      </c>
      <c r="L466" s="11">
        <v>0</v>
      </c>
      <c r="M466" s="11">
        <v>6900730032.8900003</v>
      </c>
      <c r="N466" s="11">
        <v>6900730032.8900003</v>
      </c>
      <c r="O466" s="11">
        <v>0</v>
      </c>
      <c r="P466" s="11">
        <v>6900730032.8900003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1114055102</v>
      </c>
      <c r="X466" s="11">
        <v>0</v>
      </c>
      <c r="Y466" s="17">
        <v>1114055102</v>
      </c>
      <c r="Z466" s="11">
        <v>0</v>
      </c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11">
        <v>1114055102</v>
      </c>
      <c r="AG466" s="11">
        <v>0</v>
      </c>
      <c r="AH466" s="12">
        <v>1114055102</v>
      </c>
      <c r="AI466" s="11">
        <v>1114055102</v>
      </c>
      <c r="AJ466" s="11">
        <v>1114055102</v>
      </c>
      <c r="AK466" s="11">
        <v>1114055102</v>
      </c>
      <c r="AL466" s="11">
        <v>0</v>
      </c>
      <c r="AM466" s="11">
        <v>0</v>
      </c>
      <c r="AN466" s="11">
        <v>0</v>
      </c>
      <c r="AO466" s="11">
        <v>0</v>
      </c>
      <c r="AP466" s="11">
        <v>0</v>
      </c>
      <c r="AQ466" s="11">
        <v>0</v>
      </c>
      <c r="AR466" t="s">
        <v>918</v>
      </c>
      <c r="AS466" s="4" t="str">
        <f t="shared" si="102"/>
        <v xml:space="preserve">Desarrollo DE instrumentos Y herramientas PARA LA PLANEACIÓN Y GESTIÓN DEL ORDENAMIENTO TERRITORIAL </v>
      </c>
      <c r="AT466" t="str">
        <f t="shared" si="101"/>
        <v>70Desarrollo DE instrumentos Y herramientas PARA LA PLANEACIÓN Y GESTIÓN DEL ORDENAMIENTO TERRITORIAL 1114055102</v>
      </c>
      <c r="AU466" t="str">
        <f>+_xlfn.XLOOKUP(AT466,CRUCE!K:K,CRUCE!M:M)</f>
        <v>READY</v>
      </c>
      <c r="AV466" t="s">
        <v>1907</v>
      </c>
    </row>
    <row r="467" spans="1:48" x14ac:dyDescent="0.3">
      <c r="A467">
        <v>2023</v>
      </c>
      <c r="B467">
        <v>6</v>
      </c>
      <c r="C467">
        <v>1.10206002010303E+35</v>
      </c>
      <c r="D467" s="5">
        <v>70</v>
      </c>
      <c r="E467" s="8" t="s">
        <v>1485</v>
      </c>
      <c r="F467">
        <v>1.10206002010303E+35</v>
      </c>
      <c r="G467" s="8" t="s">
        <v>1486</v>
      </c>
      <c r="H467" t="s">
        <v>909</v>
      </c>
      <c r="I467" s="11">
        <v>0</v>
      </c>
      <c r="J467" s="11">
        <v>0</v>
      </c>
      <c r="K467" s="11">
        <v>3121938369</v>
      </c>
      <c r="L467" s="11">
        <v>0</v>
      </c>
      <c r="M467" s="11">
        <v>3121938369</v>
      </c>
      <c r="N467" s="11">
        <v>3121938369</v>
      </c>
      <c r="O467" s="11">
        <v>0</v>
      </c>
      <c r="P467" s="11">
        <v>3121938369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771174080</v>
      </c>
      <c r="X467" s="11">
        <v>0</v>
      </c>
      <c r="Y467" s="17">
        <v>771174080</v>
      </c>
      <c r="Z467" s="11">
        <v>0</v>
      </c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11">
        <v>771174080</v>
      </c>
      <c r="AG467" s="11">
        <v>0</v>
      </c>
      <c r="AH467" s="12">
        <v>771174080</v>
      </c>
      <c r="AI467" s="11">
        <v>771174080</v>
      </c>
      <c r="AJ467" s="11">
        <v>771174080</v>
      </c>
      <c r="AK467" s="11">
        <v>771174080</v>
      </c>
      <c r="AL467" s="11">
        <v>0</v>
      </c>
      <c r="AM467" s="11">
        <v>0</v>
      </c>
      <c r="AN467" s="11">
        <v>0</v>
      </c>
      <c r="AO467" s="11">
        <v>0</v>
      </c>
      <c r="AP467" s="11">
        <v>0</v>
      </c>
      <c r="AQ467" s="11">
        <v>0</v>
      </c>
      <c r="AR467" t="s">
        <v>918</v>
      </c>
      <c r="AS467" s="4" t="str">
        <f t="shared" si="102"/>
        <v>Implementación DE UN PROGRAMA DE EDUCACIÓN SUPERIOR PARA LA PROFESIONALIZACIÓN DE LOS ARTISTAS, COMO</v>
      </c>
      <c r="AT467" t="str">
        <f t="shared" si="101"/>
        <v>70Implementación DE UN PROGRAMA DE EDUCACIÓN SUPERIOR PARA LA PROFESIONALIZACIÓN DE LOS ARTISTAS, COMO771174080</v>
      </c>
      <c r="AU467" t="str">
        <f>+_xlfn.XLOOKUP(AT467,CRUCE!K:K,CRUCE!M:M)</f>
        <v>READY</v>
      </c>
      <c r="AV467" t="s">
        <v>1907</v>
      </c>
    </row>
    <row r="468" spans="1:48" x14ac:dyDescent="0.3">
      <c r="A468">
        <v>2023</v>
      </c>
      <c r="B468">
        <v>6</v>
      </c>
      <c r="C468">
        <v>1.10206002010303E+35</v>
      </c>
      <c r="D468" s="5">
        <v>70</v>
      </c>
      <c r="E468" s="8" t="s">
        <v>1487</v>
      </c>
      <c r="F468">
        <v>1.10206002010303E+35</v>
      </c>
      <c r="G468" s="8" t="s">
        <v>1488</v>
      </c>
      <c r="H468" t="s">
        <v>909</v>
      </c>
      <c r="I468" s="11">
        <v>0</v>
      </c>
      <c r="J468" s="11">
        <v>0</v>
      </c>
      <c r="K468" s="11">
        <v>736376434</v>
      </c>
      <c r="L468" s="11">
        <v>0</v>
      </c>
      <c r="M468" s="11">
        <v>736376434</v>
      </c>
      <c r="N468" s="11">
        <v>736376434</v>
      </c>
      <c r="O468" s="11">
        <v>0</v>
      </c>
      <c r="P468" s="11">
        <v>736376434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734147338</v>
      </c>
      <c r="X468" s="11">
        <v>0</v>
      </c>
      <c r="Y468" s="17">
        <v>734147338</v>
      </c>
      <c r="Z468" s="11">
        <v>0</v>
      </c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11">
        <v>734147338</v>
      </c>
      <c r="AG468" s="11">
        <v>0</v>
      </c>
      <c r="AH468" s="12">
        <v>734147338</v>
      </c>
      <c r="AI468" s="11">
        <v>734147338</v>
      </c>
      <c r="AJ468" s="11">
        <v>734147338</v>
      </c>
      <c r="AK468" s="11">
        <v>734147338</v>
      </c>
      <c r="AL468" s="11">
        <v>0</v>
      </c>
      <c r="AM468" s="11">
        <v>0</v>
      </c>
      <c r="AN468" s="11">
        <v>0</v>
      </c>
      <c r="AO468" s="11">
        <v>0</v>
      </c>
      <c r="AP468" s="11">
        <v>0</v>
      </c>
      <c r="AQ468" s="11">
        <v>0</v>
      </c>
      <c r="AR468" t="s">
        <v>918</v>
      </c>
      <c r="AS468" s="4" t="str">
        <f t="shared" si="102"/>
        <v>Fortalecimiento del ecosistema de emprendimiento mediante el acompañamiento técnico y servicio de ap</v>
      </c>
      <c r="AT468" t="str">
        <f t="shared" si="101"/>
        <v>70Fortalecimiento del ecosistema de emprendimiento mediante el acompañamiento técnico y servicio de ap734147338</v>
      </c>
      <c r="AU468" t="str">
        <f>+_xlfn.XLOOKUP(AT468,CRUCE!K:K,CRUCE!M:M)</f>
        <v>READY</v>
      </c>
      <c r="AV468" t="s">
        <v>1907</v>
      </c>
    </row>
    <row r="469" spans="1:48" x14ac:dyDescent="0.3">
      <c r="A469">
        <v>2023</v>
      </c>
      <c r="B469">
        <v>6</v>
      </c>
      <c r="C469">
        <v>1.10206002010303E+35</v>
      </c>
      <c r="D469" s="5">
        <v>70</v>
      </c>
      <c r="E469" s="8" t="s">
        <v>1489</v>
      </c>
      <c r="F469">
        <v>1.10206002010303E+35</v>
      </c>
      <c r="G469" s="8" t="s">
        <v>1490</v>
      </c>
      <c r="H469" t="s">
        <v>909</v>
      </c>
      <c r="I469" s="11">
        <v>0</v>
      </c>
      <c r="J469" s="11">
        <v>0</v>
      </c>
      <c r="K469" s="11">
        <v>14236983783</v>
      </c>
      <c r="L469" s="11">
        <v>0</v>
      </c>
      <c r="M469" s="11">
        <v>14236983783</v>
      </c>
      <c r="N469" s="11">
        <v>14236983783</v>
      </c>
      <c r="O469" s="11">
        <v>0</v>
      </c>
      <c r="P469" s="11">
        <v>14236983783</v>
      </c>
      <c r="Q469" s="11">
        <v>0</v>
      </c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82500000</v>
      </c>
      <c r="X469" s="11">
        <v>0</v>
      </c>
      <c r="Y469" s="17">
        <v>82500000</v>
      </c>
      <c r="Z469" s="11">
        <v>0</v>
      </c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11">
        <v>82500000</v>
      </c>
      <c r="AG469" s="11">
        <v>0</v>
      </c>
      <c r="AH469" s="12">
        <v>82500000</v>
      </c>
      <c r="AI469" s="11">
        <v>82500000</v>
      </c>
      <c r="AJ469" s="11">
        <v>82500000</v>
      </c>
      <c r="AK469" s="11">
        <v>82500000</v>
      </c>
      <c r="AL469" s="11">
        <v>0</v>
      </c>
      <c r="AM469" s="11">
        <v>0</v>
      </c>
      <c r="AN469" s="11">
        <v>0</v>
      </c>
      <c r="AO469" s="11">
        <v>0</v>
      </c>
      <c r="AP469" s="11">
        <v>0</v>
      </c>
      <c r="AQ469" s="11">
        <v>0</v>
      </c>
      <c r="AR469" t="s">
        <v>918</v>
      </c>
      <c r="AS469" s="4" t="str">
        <f t="shared" si="102"/>
        <v>MODERNIZACION DEL LABORATORIO DE SALUD PUBLICA DEPARTAMENTAL QUINDIO</v>
      </c>
      <c r="AT469" t="str">
        <f t="shared" si="101"/>
        <v>70MODERNIZACION DEL LABORATORIO DE SALUD PUBLICA DEPARTAMENTAL QUINDIO82500000</v>
      </c>
      <c r="AU469" t="str">
        <f>+_xlfn.XLOOKUP(AT469,CRUCE!K:K,CRUCE!M:M)</f>
        <v>READY</v>
      </c>
      <c r="AV469" t="s">
        <v>1907</v>
      </c>
    </row>
    <row r="470" spans="1:48" x14ac:dyDescent="0.3">
      <c r="A470">
        <v>2023</v>
      </c>
      <c r="B470">
        <v>6</v>
      </c>
      <c r="C470">
        <v>1.10206002010303E+35</v>
      </c>
      <c r="D470" s="5">
        <v>70</v>
      </c>
      <c r="E470" s="8" t="s">
        <v>1491</v>
      </c>
      <c r="F470">
        <v>1.10206002010303E+35</v>
      </c>
      <c r="G470" s="8" t="s">
        <v>1492</v>
      </c>
      <c r="H470" t="s">
        <v>909</v>
      </c>
      <c r="I470" s="11">
        <v>0</v>
      </c>
      <c r="J470" s="11">
        <v>0</v>
      </c>
      <c r="K470" s="11">
        <v>20503086639.830002</v>
      </c>
      <c r="L470" s="11">
        <v>0</v>
      </c>
      <c r="M470" s="11">
        <v>20503086639.830002</v>
      </c>
      <c r="N470" s="11">
        <v>20503086639.830002</v>
      </c>
      <c r="O470" s="11">
        <v>0</v>
      </c>
      <c r="P470" s="11">
        <v>20503086639.830002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3300139040</v>
      </c>
      <c r="X470" s="11">
        <v>0</v>
      </c>
      <c r="Y470" s="17">
        <v>3300139040</v>
      </c>
      <c r="Z470" s="11">
        <v>0</v>
      </c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11">
        <v>3300139040</v>
      </c>
      <c r="AG470" s="11">
        <v>0</v>
      </c>
      <c r="AH470" s="12">
        <v>3300139040</v>
      </c>
      <c r="AI470" s="11">
        <v>3300139040</v>
      </c>
      <c r="AJ470" s="11">
        <v>3300139040</v>
      </c>
      <c r="AK470" s="11">
        <v>3300139040</v>
      </c>
      <c r="AL470" s="11">
        <v>0</v>
      </c>
      <c r="AM470" s="11">
        <v>0</v>
      </c>
      <c r="AN470" s="11">
        <v>0</v>
      </c>
      <c r="AO470" s="11">
        <v>0</v>
      </c>
      <c r="AP470" s="11">
        <v>0</v>
      </c>
      <c r="AQ470" s="11">
        <v>0</v>
      </c>
      <c r="AR470" t="s">
        <v>918</v>
      </c>
      <c r="AS470" s="4" t="str">
        <f>+G470</f>
        <v>Construcción obras DE ESTABILIZACIÓN Y REHABILITACIÓN DE LA VÍA rio verde-pijao (COD.40QN03), ESTABI</v>
      </c>
      <c r="AT470" t="str">
        <f t="shared" si="101"/>
        <v>70Construcción obras DE ESTABILIZACIÓN Y REHABILITACIÓN DE LA VÍA rio verde-pijao (COD.40QN03), ESTABI3300139040</v>
      </c>
      <c r="AU470" t="str">
        <f>+_xlfn.XLOOKUP(AT470,CRUCE!K:K,CRUCE!M:M)</f>
        <v>READY</v>
      </c>
      <c r="AV470" t="s">
        <v>1907</v>
      </c>
    </row>
    <row r="471" spans="1:48" hidden="1" x14ac:dyDescent="0.3">
      <c r="A471">
        <v>2023</v>
      </c>
      <c r="B471">
        <v>6</v>
      </c>
      <c r="C471">
        <v>110206002010306</v>
      </c>
      <c r="D471" s="5" t="s">
        <v>44</v>
      </c>
      <c r="E471" s="8" t="s">
        <v>1493</v>
      </c>
      <c r="F471">
        <v>110206002010306</v>
      </c>
      <c r="G471" s="8" t="s">
        <v>1494</v>
      </c>
      <c r="H471" t="s">
        <v>909</v>
      </c>
      <c r="I471" s="11">
        <v>0</v>
      </c>
      <c r="J471" s="11">
        <v>0</v>
      </c>
      <c r="K471" s="11">
        <v>1094771575</v>
      </c>
      <c r="L471" s="11">
        <v>0</v>
      </c>
      <c r="M471" s="11">
        <v>1094771575</v>
      </c>
      <c r="N471" s="11">
        <v>1094771575</v>
      </c>
      <c r="O471" s="11">
        <v>0</v>
      </c>
      <c r="P471" s="11">
        <v>1094771575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550475750.89999998</v>
      </c>
      <c r="X471" s="11">
        <v>0</v>
      </c>
      <c r="Y471" s="17">
        <v>550475750.89999998</v>
      </c>
      <c r="Z471" s="11">
        <v>0</v>
      </c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11">
        <v>550475750.89999998</v>
      </c>
      <c r="AG471" s="11">
        <v>0</v>
      </c>
      <c r="AH471" s="12">
        <v>550475750.89999998</v>
      </c>
      <c r="AI471" s="11">
        <v>550475750.89999998</v>
      </c>
      <c r="AJ471" s="11">
        <v>550475750.89999998</v>
      </c>
      <c r="AK471" s="11">
        <v>550475750.89999998</v>
      </c>
      <c r="AL471" s="11">
        <v>0</v>
      </c>
      <c r="AM471" s="11">
        <v>0</v>
      </c>
      <c r="AN471" s="11">
        <v>0</v>
      </c>
      <c r="AO471" s="11">
        <v>0</v>
      </c>
      <c r="AP471" s="11">
        <v>0</v>
      </c>
      <c r="AQ471" s="11">
        <v>0</v>
      </c>
      <c r="AR471" t="s">
        <v>48</v>
      </c>
      <c r="AS471"/>
    </row>
    <row r="472" spans="1:48" hidden="1" x14ac:dyDescent="0.3">
      <c r="A472">
        <v>2023</v>
      </c>
      <c r="B472">
        <v>6</v>
      </c>
      <c r="C472">
        <v>1.10206002010306E+17</v>
      </c>
      <c r="D472" s="5" t="s">
        <v>44</v>
      </c>
      <c r="E472" s="8" t="s">
        <v>1495</v>
      </c>
      <c r="F472">
        <v>1.10206002010306E+17</v>
      </c>
      <c r="G472" s="8" t="s">
        <v>1496</v>
      </c>
      <c r="H472" t="s">
        <v>909</v>
      </c>
      <c r="I472" s="11">
        <v>0</v>
      </c>
      <c r="J472" s="11">
        <v>0</v>
      </c>
      <c r="K472" s="11">
        <v>1094771575</v>
      </c>
      <c r="L472" s="11">
        <v>0</v>
      </c>
      <c r="M472" s="11">
        <v>1094771575</v>
      </c>
      <c r="N472" s="11">
        <v>1094771575</v>
      </c>
      <c r="O472" s="11">
        <v>0</v>
      </c>
      <c r="P472" s="11">
        <v>1094771575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550475750.89999998</v>
      </c>
      <c r="X472" s="11">
        <v>0</v>
      </c>
      <c r="Y472" s="17">
        <v>550475750.89999998</v>
      </c>
      <c r="Z472" s="11">
        <v>0</v>
      </c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11">
        <v>550475750.89999998</v>
      </c>
      <c r="AG472" s="11">
        <v>0</v>
      </c>
      <c r="AH472" s="12">
        <v>550475750.89999998</v>
      </c>
      <c r="AI472" s="11">
        <v>550475750.89999998</v>
      </c>
      <c r="AJ472" s="11">
        <v>550475750.89999998</v>
      </c>
      <c r="AK472" s="11">
        <v>550475750.89999998</v>
      </c>
      <c r="AL472" s="11">
        <v>0</v>
      </c>
      <c r="AM472" s="11">
        <v>0</v>
      </c>
      <c r="AN472" s="11">
        <v>0</v>
      </c>
      <c r="AO472" s="11">
        <v>0</v>
      </c>
      <c r="AP472" s="11">
        <v>0</v>
      </c>
      <c r="AQ472" s="11">
        <v>0</v>
      </c>
      <c r="AR472" t="s">
        <v>48</v>
      </c>
      <c r="AS472"/>
    </row>
    <row r="473" spans="1:48" hidden="1" x14ac:dyDescent="0.3">
      <c r="A473">
        <v>2023</v>
      </c>
      <c r="B473">
        <v>6</v>
      </c>
      <c r="C473">
        <v>1.10206002010306E+20</v>
      </c>
      <c r="D473" s="5" t="s">
        <v>44</v>
      </c>
      <c r="E473" s="8" t="s">
        <v>1497</v>
      </c>
      <c r="F473">
        <v>1.10206002010306E+20</v>
      </c>
      <c r="G473" s="8" t="s">
        <v>1496</v>
      </c>
      <c r="H473" t="s">
        <v>909</v>
      </c>
      <c r="I473" s="11">
        <v>0</v>
      </c>
      <c r="J473" s="11">
        <v>0</v>
      </c>
      <c r="K473" s="11">
        <v>1094771575</v>
      </c>
      <c r="L473" s="11">
        <v>0</v>
      </c>
      <c r="M473" s="11">
        <v>1094771575</v>
      </c>
      <c r="N473" s="11">
        <v>1094771575</v>
      </c>
      <c r="O473" s="11">
        <v>0</v>
      </c>
      <c r="P473" s="11">
        <v>1094771575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550475750.89999998</v>
      </c>
      <c r="X473" s="11">
        <v>0</v>
      </c>
      <c r="Y473" s="17">
        <v>550475750.89999998</v>
      </c>
      <c r="Z473" s="11">
        <v>0</v>
      </c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11">
        <v>550475750.89999998</v>
      </c>
      <c r="AG473" s="11">
        <v>0</v>
      </c>
      <c r="AH473" s="12">
        <v>550475750.89999998</v>
      </c>
      <c r="AI473" s="11">
        <v>550475750.89999998</v>
      </c>
      <c r="AJ473" s="11">
        <v>550475750.89999998</v>
      </c>
      <c r="AK473" s="11">
        <v>550475750.89999998</v>
      </c>
      <c r="AL473" s="11">
        <v>0</v>
      </c>
      <c r="AM473" s="11">
        <v>0</v>
      </c>
      <c r="AN473" s="11">
        <v>0</v>
      </c>
      <c r="AO473" s="11">
        <v>0</v>
      </c>
      <c r="AP473" s="11">
        <v>0</v>
      </c>
      <c r="AQ473" s="11">
        <v>0</v>
      </c>
      <c r="AR473" t="s">
        <v>48</v>
      </c>
      <c r="AS473"/>
    </row>
    <row r="474" spans="1:48" x14ac:dyDescent="0.3">
      <c r="A474">
        <v>2023</v>
      </c>
      <c r="B474">
        <v>6</v>
      </c>
      <c r="C474">
        <v>1.1020600201030601E+35</v>
      </c>
      <c r="D474" s="5">
        <v>70</v>
      </c>
      <c r="E474" s="8" t="s">
        <v>1498</v>
      </c>
      <c r="F474">
        <v>1.1020600201030601E+35</v>
      </c>
      <c r="G474" s="8" t="s">
        <v>1499</v>
      </c>
      <c r="H474" t="s">
        <v>909</v>
      </c>
      <c r="I474" s="11">
        <v>0</v>
      </c>
      <c r="J474" s="11">
        <v>0</v>
      </c>
      <c r="K474" s="11">
        <v>916743849</v>
      </c>
      <c r="L474" s="11">
        <v>0</v>
      </c>
      <c r="M474" s="11">
        <v>916743849</v>
      </c>
      <c r="N474" s="11">
        <v>916743849</v>
      </c>
      <c r="O474" s="11">
        <v>0</v>
      </c>
      <c r="P474" s="11">
        <v>916743849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420804176</v>
      </c>
      <c r="X474" s="11">
        <v>0</v>
      </c>
      <c r="Y474" s="17">
        <v>420804176</v>
      </c>
      <c r="Z474" s="11">
        <v>0</v>
      </c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420804176</v>
      </c>
      <c r="AG474" s="11">
        <v>0</v>
      </c>
      <c r="AH474" s="12">
        <v>420804176</v>
      </c>
      <c r="AI474" s="11">
        <v>420804176</v>
      </c>
      <c r="AJ474" s="11">
        <v>420804176</v>
      </c>
      <c r="AK474" s="11">
        <v>420804176</v>
      </c>
      <c r="AL474" s="11">
        <v>0</v>
      </c>
      <c r="AM474" s="11">
        <v>0</v>
      </c>
      <c r="AN474" s="11">
        <v>0</v>
      </c>
      <c r="AO474" s="11">
        <v>0</v>
      </c>
      <c r="AP474" s="11">
        <v>0</v>
      </c>
      <c r="AQ474" s="11">
        <v>0</v>
      </c>
      <c r="AR474" t="s">
        <v>918</v>
      </c>
      <c r="AS474" s="4" t="str">
        <f t="shared" ref="AS474:AS476" si="103">+G474</f>
        <v>Implementación de un programa de innovación social para el fomento de una cultura ciudadana y empren</v>
      </c>
      <c r="AT474" t="str">
        <f t="shared" ref="AT474:AT476" si="104">+D474&amp;AS474&amp;Y474</f>
        <v>70Implementación de un programa de innovación social para el fomento de una cultura ciudadana y empren420804176</v>
      </c>
      <c r="AU474" t="str">
        <f>+_xlfn.XLOOKUP(AT474,CRUCE!K:K,CRUCE!M:M)</f>
        <v>READY</v>
      </c>
      <c r="AV474" t="s">
        <v>1907</v>
      </c>
    </row>
    <row r="475" spans="1:48" x14ac:dyDescent="0.3">
      <c r="A475">
        <v>2023</v>
      </c>
      <c r="B475">
        <v>6</v>
      </c>
      <c r="C475">
        <v>1.1020600201030601E+35</v>
      </c>
      <c r="D475" s="5">
        <v>70</v>
      </c>
      <c r="E475" s="8" t="s">
        <v>1500</v>
      </c>
      <c r="F475">
        <v>1.1020600201030601E+35</v>
      </c>
      <c r="G475" s="8" t="s">
        <v>1501</v>
      </c>
      <c r="H475" t="s">
        <v>909</v>
      </c>
      <c r="I475" s="11">
        <v>0</v>
      </c>
      <c r="J475" s="11">
        <v>0</v>
      </c>
      <c r="K475" s="11">
        <v>162072969</v>
      </c>
      <c r="L475" s="11">
        <v>0</v>
      </c>
      <c r="M475" s="11">
        <v>162072969</v>
      </c>
      <c r="N475" s="11">
        <v>162072969</v>
      </c>
      <c r="O475" s="11">
        <v>0</v>
      </c>
      <c r="P475" s="11">
        <v>162072969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129671574.90000001</v>
      </c>
      <c r="X475" s="11">
        <v>0</v>
      </c>
      <c r="Y475" s="17">
        <v>129671574.90000001</v>
      </c>
      <c r="Z475" s="11">
        <v>0</v>
      </c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11">
        <v>129671574.90000001</v>
      </c>
      <c r="AG475" s="11">
        <v>0</v>
      </c>
      <c r="AH475" s="12">
        <v>129671574.90000001</v>
      </c>
      <c r="AI475" s="11">
        <v>129671574.90000001</v>
      </c>
      <c r="AJ475" s="11">
        <v>129671574.90000001</v>
      </c>
      <c r="AK475" s="11">
        <v>129671574.90000001</v>
      </c>
      <c r="AL475" s="11">
        <v>0</v>
      </c>
      <c r="AM475" s="11">
        <v>0</v>
      </c>
      <c r="AN475" s="11">
        <v>0</v>
      </c>
      <c r="AO475" s="11">
        <v>0</v>
      </c>
      <c r="AP475" s="11">
        <v>0</v>
      </c>
      <c r="AQ475" s="11">
        <v>0</v>
      </c>
      <c r="AR475" t="s">
        <v>918</v>
      </c>
      <c r="AS475" s="4" t="str">
        <f t="shared" si="103"/>
        <v>Desarrollo experimental para la competitividad del sector cafetero DEL departamento DEL Quindío.</v>
      </c>
      <c r="AT475" t="str">
        <f t="shared" si="104"/>
        <v>70Desarrollo experimental para la competitividad del sector cafetero DEL departamento DEL Quindío.129671574,9</v>
      </c>
      <c r="AU475" t="str">
        <f>+_xlfn.XLOOKUP(AT475,CRUCE!K:K,CRUCE!M:M)</f>
        <v>READY</v>
      </c>
      <c r="AV475" t="s">
        <v>1907</v>
      </c>
    </row>
    <row r="476" spans="1:48" x14ac:dyDescent="0.3">
      <c r="A476">
        <v>2023</v>
      </c>
      <c r="B476">
        <v>6</v>
      </c>
      <c r="C476">
        <v>1.1020600201030601E+35</v>
      </c>
      <c r="D476" s="5">
        <v>70</v>
      </c>
      <c r="E476" s="8" t="s">
        <v>1502</v>
      </c>
      <c r="F476">
        <v>1.1020600201030601E+35</v>
      </c>
      <c r="G476" s="8" t="s">
        <v>1503</v>
      </c>
      <c r="H476" t="s">
        <v>909</v>
      </c>
      <c r="I476" s="11">
        <v>0</v>
      </c>
      <c r="J476" s="11">
        <v>0</v>
      </c>
      <c r="K476" s="11">
        <v>15954757</v>
      </c>
      <c r="L476" s="11">
        <v>0</v>
      </c>
      <c r="M476" s="11">
        <v>15954757</v>
      </c>
      <c r="N476" s="11">
        <v>15954757</v>
      </c>
      <c r="O476" s="11">
        <v>0</v>
      </c>
      <c r="P476" s="11">
        <v>15954757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7">
        <v>0</v>
      </c>
      <c r="Z476" s="11">
        <v>0</v>
      </c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2">
        <v>0</v>
      </c>
      <c r="AI476" s="11">
        <v>0</v>
      </c>
      <c r="AJ476" s="11">
        <v>0</v>
      </c>
      <c r="AK476" s="11">
        <v>0</v>
      </c>
      <c r="AL476" s="11">
        <v>0</v>
      </c>
      <c r="AM476" s="11">
        <v>0</v>
      </c>
      <c r="AN476" s="11">
        <v>0</v>
      </c>
      <c r="AO476" s="11">
        <v>0</v>
      </c>
      <c r="AP476" s="11">
        <v>0</v>
      </c>
      <c r="AQ476" s="11">
        <v>0</v>
      </c>
      <c r="AR476" t="s">
        <v>918</v>
      </c>
      <c r="AS476" s="4" t="str">
        <f t="shared" si="103"/>
        <v>Fortalecimiento de un centro de innovación y productividad agrario adecuando una infraestructura tec</v>
      </c>
      <c r="AT476" t="str">
        <f t="shared" si="104"/>
        <v>70Fortalecimiento de un centro de innovación y productividad agrario adecuando una infraestructura tec0</v>
      </c>
      <c r="AU476" t="str">
        <f>+_xlfn.XLOOKUP(AT476,CRUCE!K:K,CRUCE!M:M)</f>
        <v>READY</v>
      </c>
      <c r="AV476" t="s">
        <v>1907</v>
      </c>
    </row>
    <row r="477" spans="1:48" hidden="1" x14ac:dyDescent="0.3">
      <c r="A477">
        <v>2023</v>
      </c>
      <c r="B477">
        <v>6</v>
      </c>
      <c r="C477">
        <v>12</v>
      </c>
      <c r="D477" s="5" t="s">
        <v>44</v>
      </c>
      <c r="E477" s="8" t="s">
        <v>1504</v>
      </c>
      <c r="F477">
        <v>12</v>
      </c>
      <c r="G477" s="8" t="s">
        <v>367</v>
      </c>
      <c r="H477" t="s">
        <v>909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1596629.22</v>
      </c>
      <c r="X477" s="11">
        <v>227527.99</v>
      </c>
      <c r="Y477" s="17">
        <v>1369101.23</v>
      </c>
      <c r="Z477" s="11">
        <v>0</v>
      </c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11">
        <v>1596629.22</v>
      </c>
      <c r="AG477" s="11">
        <v>227527.99</v>
      </c>
      <c r="AH477" s="12">
        <v>1369101.23</v>
      </c>
      <c r="AI477" s="11">
        <v>1369101.23</v>
      </c>
      <c r="AJ477" s="11">
        <v>0</v>
      </c>
      <c r="AK477" s="11">
        <v>0</v>
      </c>
      <c r="AL477" s="11">
        <v>1369101.23</v>
      </c>
      <c r="AM477" s="11">
        <v>1596629.22</v>
      </c>
      <c r="AN477" s="11">
        <v>227527.99</v>
      </c>
      <c r="AO477" s="11">
        <v>1596629.22</v>
      </c>
      <c r="AP477" s="11">
        <v>0</v>
      </c>
      <c r="AQ477" s="11">
        <v>227527.99</v>
      </c>
      <c r="AR477" t="s">
        <v>48</v>
      </c>
      <c r="AS477"/>
    </row>
    <row r="478" spans="1:48" hidden="1" x14ac:dyDescent="0.3">
      <c r="A478">
        <v>2023</v>
      </c>
      <c r="B478">
        <v>6</v>
      </c>
      <c r="C478">
        <v>1205</v>
      </c>
      <c r="D478" s="5" t="s">
        <v>44</v>
      </c>
      <c r="E478" s="8" t="s">
        <v>984</v>
      </c>
      <c r="F478">
        <v>1205</v>
      </c>
      <c r="G478" s="8" t="s">
        <v>379</v>
      </c>
      <c r="H478" t="s">
        <v>909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1596629.22</v>
      </c>
      <c r="X478" s="11">
        <v>227527.99</v>
      </c>
      <c r="Y478" s="17">
        <v>1369101.23</v>
      </c>
      <c r="Z478" s="11">
        <v>0</v>
      </c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11">
        <v>1596629.22</v>
      </c>
      <c r="AG478" s="11">
        <v>227527.99</v>
      </c>
      <c r="AH478" s="12">
        <v>1369101.23</v>
      </c>
      <c r="AI478" s="11">
        <v>1369101.23</v>
      </c>
      <c r="AJ478" s="11">
        <v>0</v>
      </c>
      <c r="AK478" s="11">
        <v>0</v>
      </c>
      <c r="AL478" s="11">
        <v>1369101.23</v>
      </c>
      <c r="AM478" s="11">
        <v>1596629.22</v>
      </c>
      <c r="AN478" s="11">
        <v>227527.99</v>
      </c>
      <c r="AO478" s="11">
        <v>1596629.22</v>
      </c>
      <c r="AP478" s="11">
        <v>0</v>
      </c>
      <c r="AQ478" s="11">
        <v>227527.99</v>
      </c>
      <c r="AR478" t="s">
        <v>48</v>
      </c>
      <c r="AS478"/>
    </row>
    <row r="479" spans="1:48" hidden="1" x14ac:dyDescent="0.3">
      <c r="A479">
        <v>2023</v>
      </c>
      <c r="B479">
        <v>6</v>
      </c>
      <c r="C479">
        <v>120502</v>
      </c>
      <c r="D479" s="5" t="s">
        <v>44</v>
      </c>
      <c r="E479" s="8" t="s">
        <v>985</v>
      </c>
      <c r="F479">
        <v>120502</v>
      </c>
      <c r="G479" s="8" t="s">
        <v>381</v>
      </c>
      <c r="H479" t="s">
        <v>909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1596629.22</v>
      </c>
      <c r="X479" s="11">
        <v>227527.99</v>
      </c>
      <c r="Y479" s="17">
        <v>1369101.23</v>
      </c>
      <c r="Z479" s="11">
        <v>0</v>
      </c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11">
        <v>1596629.22</v>
      </c>
      <c r="AG479" s="11">
        <v>227527.99</v>
      </c>
      <c r="AH479" s="12">
        <v>1369101.23</v>
      </c>
      <c r="AI479" s="11">
        <v>1369101.23</v>
      </c>
      <c r="AJ479" s="11">
        <v>0</v>
      </c>
      <c r="AK479" s="11">
        <v>0</v>
      </c>
      <c r="AL479" s="11">
        <v>1369101.23</v>
      </c>
      <c r="AM479" s="11">
        <v>1596629.22</v>
      </c>
      <c r="AN479" s="11">
        <v>227527.99</v>
      </c>
      <c r="AO479" s="11">
        <v>1596629.22</v>
      </c>
      <c r="AP479" s="11">
        <v>0</v>
      </c>
      <c r="AQ479" s="11">
        <v>227527.99</v>
      </c>
      <c r="AR479" t="s">
        <v>48</v>
      </c>
      <c r="AS479"/>
    </row>
    <row r="480" spans="1:48" hidden="1" x14ac:dyDescent="0.3">
      <c r="A480">
        <v>2023</v>
      </c>
      <c r="B480">
        <v>6</v>
      </c>
      <c r="C480">
        <v>120502001</v>
      </c>
      <c r="D480" s="5" t="s">
        <v>44</v>
      </c>
      <c r="E480" s="8" t="s">
        <v>986</v>
      </c>
      <c r="F480">
        <v>120502001</v>
      </c>
      <c r="G480" s="8" t="s">
        <v>46</v>
      </c>
      <c r="H480" t="s">
        <v>909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1596629.22</v>
      </c>
      <c r="X480" s="11">
        <v>227527.99</v>
      </c>
      <c r="Y480" s="17">
        <v>1369101.23</v>
      </c>
      <c r="Z480" s="11">
        <v>0</v>
      </c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1596629.22</v>
      </c>
      <c r="AG480" s="11">
        <v>227527.99</v>
      </c>
      <c r="AH480" s="12">
        <v>1369101.23</v>
      </c>
      <c r="AI480" s="11">
        <v>1369101.23</v>
      </c>
      <c r="AJ480" s="11">
        <v>0</v>
      </c>
      <c r="AK480" s="11">
        <v>0</v>
      </c>
      <c r="AL480" s="11">
        <v>1369101.23</v>
      </c>
      <c r="AM480" s="11">
        <v>1596629.22</v>
      </c>
      <c r="AN480" s="11">
        <v>227527.99</v>
      </c>
      <c r="AO480" s="11">
        <v>1596629.22</v>
      </c>
      <c r="AP480" s="11">
        <v>0</v>
      </c>
      <c r="AQ480" s="11">
        <v>227527.99</v>
      </c>
      <c r="AR480" t="s">
        <v>48</v>
      </c>
      <c r="AS480"/>
    </row>
    <row r="481" spans="1:48" hidden="1" x14ac:dyDescent="0.3">
      <c r="A481">
        <v>2023</v>
      </c>
      <c r="B481">
        <v>6</v>
      </c>
      <c r="C481">
        <v>12050200101</v>
      </c>
      <c r="D481" s="5" t="s">
        <v>44</v>
      </c>
      <c r="E481" s="8" t="s">
        <v>987</v>
      </c>
      <c r="F481">
        <v>12050200101</v>
      </c>
      <c r="G481" s="8" t="s">
        <v>50</v>
      </c>
      <c r="H481" t="s">
        <v>909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1596629.22</v>
      </c>
      <c r="X481" s="11">
        <v>227527.99</v>
      </c>
      <c r="Y481" s="17">
        <v>1369101.23</v>
      </c>
      <c r="Z481" s="11">
        <v>0</v>
      </c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11">
        <v>1596629.22</v>
      </c>
      <c r="AG481" s="11">
        <v>227527.99</v>
      </c>
      <c r="AH481" s="12">
        <v>1369101.23</v>
      </c>
      <c r="AI481" s="11">
        <v>1369101.23</v>
      </c>
      <c r="AJ481" s="11">
        <v>0</v>
      </c>
      <c r="AK481" s="11">
        <v>0</v>
      </c>
      <c r="AL481" s="11">
        <v>1369101.23</v>
      </c>
      <c r="AM481" s="11">
        <v>1596629.22</v>
      </c>
      <c r="AN481" s="11">
        <v>227527.99</v>
      </c>
      <c r="AO481" s="11">
        <v>1596629.22</v>
      </c>
      <c r="AP481" s="11">
        <v>0</v>
      </c>
      <c r="AQ481" s="11">
        <v>227527.99</v>
      </c>
      <c r="AR481" t="s">
        <v>48</v>
      </c>
      <c r="AS481"/>
    </row>
    <row r="482" spans="1:48" hidden="1" x14ac:dyDescent="0.3">
      <c r="A482">
        <v>2023</v>
      </c>
      <c r="B482">
        <v>6</v>
      </c>
      <c r="C482">
        <v>1205020010102</v>
      </c>
      <c r="D482" s="5" t="s">
        <v>44</v>
      </c>
      <c r="E482" s="8" t="s">
        <v>988</v>
      </c>
      <c r="F482">
        <v>1205020010102</v>
      </c>
      <c r="G482" s="8" t="s">
        <v>145</v>
      </c>
      <c r="H482" t="s">
        <v>909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1596629.22</v>
      </c>
      <c r="X482" s="11">
        <v>227527.99</v>
      </c>
      <c r="Y482" s="17">
        <v>1369101.23</v>
      </c>
      <c r="Z482" s="11">
        <v>0</v>
      </c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11">
        <v>1596629.22</v>
      </c>
      <c r="AG482" s="11">
        <v>227527.99</v>
      </c>
      <c r="AH482" s="12">
        <v>1369101.23</v>
      </c>
      <c r="AI482" s="11">
        <v>1369101.23</v>
      </c>
      <c r="AJ482" s="11">
        <v>0</v>
      </c>
      <c r="AK482" s="11">
        <v>0</v>
      </c>
      <c r="AL482" s="11">
        <v>1369101.23</v>
      </c>
      <c r="AM482" s="11">
        <v>1596629.22</v>
      </c>
      <c r="AN482" s="11">
        <v>227527.99</v>
      </c>
      <c r="AO482" s="11">
        <v>1596629.22</v>
      </c>
      <c r="AP482" s="11">
        <v>0</v>
      </c>
      <c r="AQ482" s="11">
        <v>227527.99</v>
      </c>
      <c r="AR482" t="s">
        <v>48</v>
      </c>
      <c r="AS482"/>
    </row>
    <row r="483" spans="1:48" hidden="1" x14ac:dyDescent="0.3">
      <c r="A483">
        <v>2023</v>
      </c>
      <c r="B483">
        <v>6</v>
      </c>
      <c r="C483">
        <v>120502001010206</v>
      </c>
      <c r="D483" s="5" t="s">
        <v>44</v>
      </c>
      <c r="E483" s="8" t="s">
        <v>989</v>
      </c>
      <c r="F483">
        <v>120502001010206</v>
      </c>
      <c r="G483" s="8" t="s">
        <v>242</v>
      </c>
      <c r="H483" t="s">
        <v>909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1596629.22</v>
      </c>
      <c r="X483" s="11">
        <v>227527.99</v>
      </c>
      <c r="Y483" s="17">
        <v>1369101.23</v>
      </c>
      <c r="Z483" s="11">
        <v>0</v>
      </c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11">
        <v>1596629.22</v>
      </c>
      <c r="AG483" s="11">
        <v>227527.99</v>
      </c>
      <c r="AH483" s="12">
        <v>1369101.23</v>
      </c>
      <c r="AI483" s="11">
        <v>1369101.23</v>
      </c>
      <c r="AJ483" s="11">
        <v>0</v>
      </c>
      <c r="AK483" s="11">
        <v>0</v>
      </c>
      <c r="AL483" s="11">
        <v>1369101.23</v>
      </c>
      <c r="AM483" s="11">
        <v>1596629.22</v>
      </c>
      <c r="AN483" s="11">
        <v>227527.99</v>
      </c>
      <c r="AO483" s="11">
        <v>1596629.22</v>
      </c>
      <c r="AP483" s="11">
        <v>0</v>
      </c>
      <c r="AQ483" s="11">
        <v>227527.99</v>
      </c>
      <c r="AR483" t="s">
        <v>48</v>
      </c>
      <c r="AS483"/>
    </row>
    <row r="484" spans="1:48" x14ac:dyDescent="0.3">
      <c r="A484">
        <v>2023</v>
      </c>
      <c r="B484">
        <v>6</v>
      </c>
      <c r="C484">
        <v>1.20502001010206E+17</v>
      </c>
      <c r="D484" s="5">
        <v>70</v>
      </c>
      <c r="E484" s="8" t="s">
        <v>990</v>
      </c>
      <c r="F484">
        <v>1.20502001010206E+17</v>
      </c>
      <c r="G484" s="8" t="s">
        <v>991</v>
      </c>
      <c r="H484" t="s">
        <v>909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1596629.22</v>
      </c>
      <c r="X484" s="11">
        <v>227527.99</v>
      </c>
      <c r="Y484" s="17">
        <v>1369101.23</v>
      </c>
      <c r="Z484" s="11">
        <v>0</v>
      </c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11">
        <v>1596629.22</v>
      </c>
      <c r="AG484" s="11">
        <v>227527.99</v>
      </c>
      <c r="AH484" s="12">
        <v>1369101.23</v>
      </c>
      <c r="AI484" s="11">
        <v>1369101.23</v>
      </c>
      <c r="AJ484" s="11">
        <v>0</v>
      </c>
      <c r="AK484" s="11">
        <v>0</v>
      </c>
      <c r="AL484" s="11">
        <v>1369101.23</v>
      </c>
      <c r="AM484" s="11">
        <v>1596629.22</v>
      </c>
      <c r="AN484" s="11">
        <v>227527.99</v>
      </c>
      <c r="AO484" s="11">
        <v>1596629.22</v>
      </c>
      <c r="AP484" s="11">
        <v>0</v>
      </c>
      <c r="AQ484" s="11">
        <v>227527.99</v>
      </c>
      <c r="AR484" t="s">
        <v>918</v>
      </c>
      <c r="AS484" s="4" t="str">
        <f>+G484</f>
        <v>Sistema General de Regalias</v>
      </c>
      <c r="AT484" t="str">
        <f>+D484&amp;AS484&amp;Y484</f>
        <v>70Sistema General de Regalias1369101,23</v>
      </c>
      <c r="AU484" t="str">
        <f>+_xlfn.XLOOKUP(AT484,CRUCE!K:K,CRUCE!M:M)</f>
        <v>READY</v>
      </c>
      <c r="AV484" t="s">
        <v>1907</v>
      </c>
    </row>
    <row r="485" spans="1:48" x14ac:dyDescent="0.3">
      <c r="Y485" s="17">
        <f>SUBTOTAL(9,Y2:Y484)</f>
        <v>614176144072.72009</v>
      </c>
    </row>
    <row r="491" spans="1:48" x14ac:dyDescent="0.3">
      <c r="E491" s="14"/>
    </row>
    <row r="492" spans="1:48" x14ac:dyDescent="0.3">
      <c r="E492" s="14"/>
    </row>
    <row r="531" spans="5:5" x14ac:dyDescent="0.3">
      <c r="E531" s="14"/>
    </row>
    <row r="539" spans="5:5" x14ac:dyDescent="0.3">
      <c r="E539" s="14"/>
    </row>
    <row r="540" spans="5:5" x14ac:dyDescent="0.3">
      <c r="E540" s="14"/>
    </row>
    <row r="550" spans="5:5" x14ac:dyDescent="0.3">
      <c r="E550" s="14"/>
    </row>
    <row r="551" spans="5:5" x14ac:dyDescent="0.3">
      <c r="E551" s="14"/>
    </row>
  </sheetData>
  <autoFilter ref="A1:AV484" xr:uid="{569664CF-1513-449A-A18D-B78AE541048D}">
    <filterColumn colId="3">
      <customFilters>
        <customFilter operator="notEqual" val=" "/>
      </custom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25A11-D006-483F-A784-8943F12DB7BC}">
  <sheetPr filterMode="1"/>
  <dimension ref="A1:AW551"/>
  <sheetViews>
    <sheetView workbookViewId="0">
      <pane xSplit="4" ySplit="1" topLeftCell="E79" activePane="bottomRight" state="frozen"/>
      <selection pane="topRight" activeCell="E1" sqref="E1"/>
      <selection pane="bottomLeft" activeCell="A2" sqref="A2"/>
      <selection pane="bottomRight" activeCell="H159" sqref="H159:H432"/>
    </sheetView>
  </sheetViews>
  <sheetFormatPr baseColWidth="10" defaultRowHeight="14.4" outlineLevelCol="1" x14ac:dyDescent="0.3"/>
  <cols>
    <col min="4" max="4" width="12.109375" style="5" customWidth="1"/>
    <col min="5" max="5" width="31.5546875" style="8" customWidth="1"/>
    <col min="8" max="8" width="52.21875" style="8" customWidth="1"/>
    <col min="9" max="9" width="13.21875" customWidth="1"/>
    <col min="10" max="10" width="18.21875" style="17" customWidth="1"/>
    <col min="11" max="11" width="18.21875" style="11" hidden="1" customWidth="1" outlineLevel="1"/>
    <col min="12" max="12" width="17.21875" style="11" hidden="1" customWidth="1" outlineLevel="1"/>
    <col min="13" max="13" width="16.21875" style="11" hidden="1" customWidth="1" outlineLevel="1"/>
    <col min="14" max="15" width="17.21875" style="11" hidden="1" customWidth="1" outlineLevel="1"/>
    <col min="16" max="16" width="16.21875" style="11" hidden="1" customWidth="1" outlineLevel="1"/>
    <col min="17" max="17" width="18.21875" style="11" hidden="1" customWidth="1" outlineLevel="1"/>
    <col min="18" max="18" width="17.21875" style="11" hidden="1" customWidth="1" outlineLevel="1"/>
    <col min="19" max="19" width="14.6640625" style="11" hidden="1" customWidth="1" outlineLevel="1"/>
    <col min="20" max="20" width="17.21875" style="11" hidden="1" customWidth="1" outlineLevel="1"/>
    <col min="21" max="23" width="11" style="11" hidden="1" customWidth="1" outlineLevel="1"/>
    <col min="24" max="24" width="18.21875" style="11" hidden="1" customWidth="1" outlineLevel="1"/>
    <col min="25" max="25" width="17.21875" style="11" hidden="1" customWidth="1" outlineLevel="1"/>
    <col min="26" max="26" width="18.21875" style="12" hidden="1" customWidth="1" outlineLevel="1"/>
    <col min="27" max="27" width="17.21875" style="11" hidden="1" customWidth="1" outlineLevel="1"/>
    <col min="28" max="28" width="14.6640625" style="11" hidden="1" customWidth="1" outlineLevel="1"/>
    <col min="29" max="29" width="17.21875" style="11" hidden="1" customWidth="1" outlineLevel="1"/>
    <col min="30" max="32" width="11" style="11" hidden="1" customWidth="1" outlineLevel="1"/>
    <col min="33" max="33" width="18.21875" style="11" hidden="1" customWidth="1" outlineLevel="1"/>
    <col min="34" max="34" width="17.21875" style="11" hidden="1" customWidth="1" outlineLevel="1"/>
    <col min="35" max="35" width="22.109375" style="12" hidden="1" customWidth="1" outlineLevel="1"/>
    <col min="36" max="36" width="18.21875" style="11" hidden="1" customWidth="1" outlineLevel="1"/>
    <col min="37" max="38" width="17.21875" style="11" hidden="1" customWidth="1" outlineLevel="1"/>
    <col min="39" max="40" width="18.21875" style="11" hidden="1" customWidth="1" outlineLevel="1"/>
    <col min="41" max="41" width="16.21875" style="11" hidden="1" customWidth="1" outlineLevel="1"/>
    <col min="42" max="42" width="18.21875" style="11" hidden="1" customWidth="1" outlineLevel="1"/>
    <col min="43" max="43" width="11" style="11" hidden="1" customWidth="1" outlineLevel="1"/>
    <col min="44" max="44" width="16.21875" style="11" hidden="1" customWidth="1" outlineLevel="1"/>
    <col min="45" max="45" width="22.21875" customWidth="1" collapsed="1"/>
    <col min="46" max="46" width="22.21875" style="4" customWidth="1"/>
  </cols>
  <sheetData>
    <row r="1" spans="1:49" s="2" customFormat="1" x14ac:dyDescent="0.3">
      <c r="A1" s="2" t="s">
        <v>0</v>
      </c>
      <c r="B1" s="2" t="s">
        <v>1</v>
      </c>
      <c r="C1" s="2" t="s">
        <v>2</v>
      </c>
      <c r="D1" s="16" t="s">
        <v>3</v>
      </c>
      <c r="E1" s="9" t="s">
        <v>4</v>
      </c>
      <c r="F1" s="2" t="s">
        <v>5</v>
      </c>
      <c r="H1" s="9" t="s">
        <v>6</v>
      </c>
      <c r="I1" s="2" t="s">
        <v>7</v>
      </c>
      <c r="J1" s="1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19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19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  <c r="AQ1" s="6" t="s">
        <v>41</v>
      </c>
      <c r="AR1" s="6" t="s">
        <v>42</v>
      </c>
      <c r="AS1" s="2" t="s">
        <v>43</v>
      </c>
      <c r="AT1" s="13" t="s">
        <v>1905</v>
      </c>
    </row>
    <row r="2" spans="1:49" hidden="1" x14ac:dyDescent="0.3">
      <c r="A2">
        <v>2024</v>
      </c>
      <c r="B2">
        <v>307</v>
      </c>
      <c r="C2">
        <v>1</v>
      </c>
      <c r="D2" s="5" t="s">
        <v>44</v>
      </c>
      <c r="E2" s="8" t="s">
        <v>45</v>
      </c>
      <c r="F2">
        <v>1</v>
      </c>
      <c r="H2" s="8" t="s">
        <v>46</v>
      </c>
      <c r="I2" t="s">
        <v>47</v>
      </c>
      <c r="J2" s="17">
        <v>217940169000.01001</v>
      </c>
      <c r="K2" s="11">
        <v>217940169000.01001</v>
      </c>
      <c r="L2" s="11">
        <v>3070996620.3899999</v>
      </c>
      <c r="M2" s="11">
        <v>0</v>
      </c>
      <c r="N2" s="11">
        <v>3070996620.3899999</v>
      </c>
      <c r="O2" s="11">
        <v>3070996620.3899999</v>
      </c>
      <c r="P2" s="11">
        <v>0</v>
      </c>
      <c r="Q2" s="11">
        <v>221011165620.39999</v>
      </c>
      <c r="R2" s="11">
        <v>31061723242.93</v>
      </c>
      <c r="S2" s="11">
        <v>598316021.08000004</v>
      </c>
      <c r="T2" s="11">
        <v>30463407221.849998</v>
      </c>
      <c r="U2" s="11">
        <v>0</v>
      </c>
      <c r="V2" s="11">
        <v>0</v>
      </c>
      <c r="W2" s="11">
        <v>0</v>
      </c>
      <c r="X2" s="11">
        <v>25488310303.200001</v>
      </c>
      <c r="Y2" s="11">
        <v>1010373910.27</v>
      </c>
      <c r="Z2" s="12">
        <v>24477936392.93</v>
      </c>
      <c r="AA2" s="11">
        <v>31061723242.93</v>
      </c>
      <c r="AB2" s="11">
        <v>598316021.08000004</v>
      </c>
      <c r="AC2" s="11">
        <v>30463407221.849998</v>
      </c>
      <c r="AD2" s="11">
        <v>0</v>
      </c>
      <c r="AE2" s="11">
        <v>0</v>
      </c>
      <c r="AF2" s="11">
        <v>0</v>
      </c>
      <c r="AG2" s="11">
        <v>25488310303.200001</v>
      </c>
      <c r="AH2" s="11">
        <v>1010373910.27</v>
      </c>
      <c r="AI2" s="12">
        <v>24477936392.93</v>
      </c>
      <c r="AJ2" s="11">
        <v>24477936392.93</v>
      </c>
      <c r="AK2" s="11">
        <v>0</v>
      </c>
      <c r="AL2" s="11">
        <v>0</v>
      </c>
      <c r="AM2" s="11">
        <v>24477936392.93</v>
      </c>
      <c r="AN2" s="11">
        <v>25464589383.200001</v>
      </c>
      <c r="AO2" s="11">
        <v>986652990.26999998</v>
      </c>
      <c r="AP2" s="11">
        <v>25464589383.200001</v>
      </c>
      <c r="AQ2" s="11">
        <v>0</v>
      </c>
      <c r="AR2" s="11">
        <v>986652990.26999998</v>
      </c>
      <c r="AS2" t="s">
        <v>48</v>
      </c>
      <c r="AT2"/>
    </row>
    <row r="3" spans="1:49" hidden="1" x14ac:dyDescent="0.3">
      <c r="A3">
        <v>2024</v>
      </c>
      <c r="B3">
        <v>307</v>
      </c>
      <c r="C3">
        <v>11</v>
      </c>
      <c r="D3" s="5" t="s">
        <v>44</v>
      </c>
      <c r="E3" s="8" t="s">
        <v>1505</v>
      </c>
      <c r="F3">
        <v>11</v>
      </c>
      <c r="H3" s="8" t="s">
        <v>50</v>
      </c>
      <c r="I3" t="s">
        <v>47</v>
      </c>
      <c r="J3" s="17">
        <v>208124164600.01001</v>
      </c>
      <c r="K3" s="11">
        <v>208124164600.01001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208124164600.01001</v>
      </c>
      <c r="R3" s="11">
        <v>31061723242.93</v>
      </c>
      <c r="S3" s="11">
        <v>598316021.08000004</v>
      </c>
      <c r="T3" s="11">
        <v>30463407221.849998</v>
      </c>
      <c r="U3" s="11">
        <v>0</v>
      </c>
      <c r="V3" s="11">
        <v>0</v>
      </c>
      <c r="W3" s="11">
        <v>0</v>
      </c>
      <c r="X3" s="11">
        <v>25121169985.880001</v>
      </c>
      <c r="Y3" s="11">
        <v>1010373739</v>
      </c>
      <c r="Z3" s="12">
        <v>24110796246.880001</v>
      </c>
      <c r="AA3" s="11">
        <v>31061723242.93</v>
      </c>
      <c r="AB3" s="11">
        <v>598316021.08000004</v>
      </c>
      <c r="AC3" s="11">
        <v>30463407221.849998</v>
      </c>
      <c r="AD3" s="11">
        <v>0</v>
      </c>
      <c r="AE3" s="11">
        <v>0</v>
      </c>
      <c r="AF3" s="11">
        <v>0</v>
      </c>
      <c r="AG3" s="11">
        <v>25121169985.880001</v>
      </c>
      <c r="AH3" s="11">
        <v>1010373739</v>
      </c>
      <c r="AI3" s="12">
        <v>24110796246.880001</v>
      </c>
      <c r="AJ3" s="11">
        <v>24110796246.880001</v>
      </c>
      <c r="AK3" s="11">
        <v>0</v>
      </c>
      <c r="AL3" s="11">
        <v>0</v>
      </c>
      <c r="AM3" s="11">
        <v>24110796246.880001</v>
      </c>
      <c r="AN3" s="11">
        <v>25097449065.880001</v>
      </c>
      <c r="AO3" s="11">
        <v>986652819</v>
      </c>
      <c r="AP3" s="11">
        <v>25097449065.880001</v>
      </c>
      <c r="AQ3" s="11">
        <v>0</v>
      </c>
      <c r="AR3" s="11">
        <v>986652819</v>
      </c>
      <c r="AS3" t="s">
        <v>48</v>
      </c>
      <c r="AT3"/>
    </row>
    <row r="4" spans="1:49" hidden="1" x14ac:dyDescent="0.3">
      <c r="A4">
        <v>2024</v>
      </c>
      <c r="B4">
        <v>307</v>
      </c>
      <c r="C4">
        <v>1101</v>
      </c>
      <c r="D4" s="5" t="s">
        <v>44</v>
      </c>
      <c r="E4" s="8" t="s">
        <v>1506</v>
      </c>
      <c r="F4">
        <v>1101</v>
      </c>
      <c r="H4" s="8" t="s">
        <v>52</v>
      </c>
      <c r="I4" t="s">
        <v>47</v>
      </c>
      <c r="J4" s="17">
        <v>155041114199.73999</v>
      </c>
      <c r="K4" s="11">
        <v>155041114199.73999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155041114199.73999</v>
      </c>
      <c r="R4" s="11">
        <v>28951440014</v>
      </c>
      <c r="S4" s="11">
        <v>353545044.07999998</v>
      </c>
      <c r="T4" s="11">
        <v>28597894969.919998</v>
      </c>
      <c r="U4" s="11">
        <v>0</v>
      </c>
      <c r="V4" s="11">
        <v>0</v>
      </c>
      <c r="W4" s="11">
        <v>0</v>
      </c>
      <c r="X4" s="11">
        <v>20175020010.580002</v>
      </c>
      <c r="Y4" s="11">
        <v>635751029</v>
      </c>
      <c r="Z4" s="12">
        <v>19539268981.580002</v>
      </c>
      <c r="AA4" s="11">
        <v>28951440014</v>
      </c>
      <c r="AB4" s="11">
        <v>353545044.07999998</v>
      </c>
      <c r="AC4" s="11">
        <v>28597894969.919998</v>
      </c>
      <c r="AD4" s="11">
        <v>0</v>
      </c>
      <c r="AE4" s="11">
        <v>0</v>
      </c>
      <c r="AF4" s="11">
        <v>0</v>
      </c>
      <c r="AG4" s="11">
        <v>20175020010.580002</v>
      </c>
      <c r="AH4" s="11">
        <v>635751029</v>
      </c>
      <c r="AI4" s="12">
        <v>19539268981.580002</v>
      </c>
      <c r="AJ4" s="11">
        <v>19539268981.580002</v>
      </c>
      <c r="AK4" s="11">
        <v>0</v>
      </c>
      <c r="AL4" s="11">
        <v>0</v>
      </c>
      <c r="AM4" s="11">
        <v>19539268981.580002</v>
      </c>
      <c r="AN4" s="11">
        <v>20151299090.580002</v>
      </c>
      <c r="AO4" s="11">
        <v>612030109</v>
      </c>
      <c r="AP4" s="11">
        <v>20151299090.580002</v>
      </c>
      <c r="AQ4" s="11">
        <v>0</v>
      </c>
      <c r="AR4" s="11">
        <v>612030109</v>
      </c>
      <c r="AS4" t="s">
        <v>48</v>
      </c>
      <c r="AT4"/>
    </row>
    <row r="5" spans="1:49" hidden="1" x14ac:dyDescent="0.3">
      <c r="A5">
        <v>2024</v>
      </c>
      <c r="B5">
        <v>307</v>
      </c>
      <c r="C5">
        <v>110101</v>
      </c>
      <c r="D5" s="5" t="s">
        <v>44</v>
      </c>
      <c r="E5" s="8" t="s">
        <v>1507</v>
      </c>
      <c r="F5">
        <v>110101</v>
      </c>
      <c r="H5" s="8" t="s">
        <v>54</v>
      </c>
      <c r="I5" t="s">
        <v>47</v>
      </c>
      <c r="J5" s="17">
        <v>32803406000</v>
      </c>
      <c r="K5" s="11">
        <v>32803406000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32803406000</v>
      </c>
      <c r="R5" s="11">
        <v>28951440014</v>
      </c>
      <c r="S5" s="11">
        <v>353545044.07999998</v>
      </c>
      <c r="T5" s="11">
        <v>28597894969.919998</v>
      </c>
      <c r="U5" s="11">
        <v>0</v>
      </c>
      <c r="V5" s="11">
        <v>0</v>
      </c>
      <c r="W5" s="11">
        <v>0</v>
      </c>
      <c r="X5" s="11">
        <v>2214107466.8600001</v>
      </c>
      <c r="Y5" s="11">
        <v>0</v>
      </c>
      <c r="Z5" s="12">
        <v>2214107466.8600001</v>
      </c>
      <c r="AA5" s="11">
        <v>28951440014</v>
      </c>
      <c r="AB5" s="11">
        <v>353545044.07999998</v>
      </c>
      <c r="AC5" s="11">
        <v>28597894969.919998</v>
      </c>
      <c r="AD5" s="11">
        <v>0</v>
      </c>
      <c r="AE5" s="11">
        <v>0</v>
      </c>
      <c r="AF5" s="11">
        <v>0</v>
      </c>
      <c r="AG5" s="11">
        <v>2214107466.8600001</v>
      </c>
      <c r="AH5" s="11">
        <v>0</v>
      </c>
      <c r="AI5" s="12">
        <v>2214107466.8600001</v>
      </c>
      <c r="AJ5" s="11">
        <v>2214107466.8600001</v>
      </c>
      <c r="AK5" s="11">
        <v>0</v>
      </c>
      <c r="AL5" s="11">
        <v>0</v>
      </c>
      <c r="AM5" s="11">
        <v>2214107466.8600001</v>
      </c>
      <c r="AN5" s="11">
        <v>2214107466.8600001</v>
      </c>
      <c r="AO5" s="11">
        <v>0</v>
      </c>
      <c r="AP5" s="11">
        <v>2214107466.8600001</v>
      </c>
      <c r="AQ5" s="11">
        <v>0</v>
      </c>
      <c r="AR5" s="11">
        <v>0</v>
      </c>
      <c r="AS5" t="s">
        <v>48</v>
      </c>
      <c r="AT5"/>
    </row>
    <row r="6" spans="1:49" x14ac:dyDescent="0.3">
      <c r="A6">
        <v>2024</v>
      </c>
      <c r="B6">
        <v>307</v>
      </c>
      <c r="C6">
        <v>110101100</v>
      </c>
      <c r="D6" s="5">
        <v>20</v>
      </c>
      <c r="E6" s="8" t="s">
        <v>1508</v>
      </c>
      <c r="F6">
        <v>110101100</v>
      </c>
      <c r="G6" t="s">
        <v>1908</v>
      </c>
      <c r="H6" s="8" t="s">
        <v>56</v>
      </c>
      <c r="I6" t="s">
        <v>47</v>
      </c>
      <c r="J6" s="17">
        <v>32803406000</v>
      </c>
      <c r="K6" s="11">
        <v>32803406000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32803406000</v>
      </c>
      <c r="R6" s="11">
        <v>28951440014</v>
      </c>
      <c r="S6" s="11">
        <v>353545044.07999998</v>
      </c>
      <c r="T6" s="11">
        <v>28597894969.919998</v>
      </c>
      <c r="U6" s="11">
        <v>0</v>
      </c>
      <c r="V6" s="11">
        <v>0</v>
      </c>
      <c r="W6" s="11">
        <v>0</v>
      </c>
      <c r="X6" s="11">
        <v>2214107466.8600001</v>
      </c>
      <c r="Y6" s="11">
        <v>0</v>
      </c>
      <c r="Z6" s="12">
        <v>2214107466.8600001</v>
      </c>
      <c r="AA6" s="11">
        <v>28951440014</v>
      </c>
      <c r="AB6" s="11">
        <v>353545044.07999998</v>
      </c>
      <c r="AC6" s="11">
        <v>28597894969.919998</v>
      </c>
      <c r="AD6" s="11">
        <v>0</v>
      </c>
      <c r="AE6" s="11">
        <v>0</v>
      </c>
      <c r="AF6" s="11">
        <v>0</v>
      </c>
      <c r="AG6" s="11">
        <v>2214107466.8600001</v>
      </c>
      <c r="AH6" s="11">
        <v>0</v>
      </c>
      <c r="AI6" s="12">
        <v>2214107466.8600001</v>
      </c>
      <c r="AJ6" s="11">
        <v>2214107466.8600001</v>
      </c>
      <c r="AK6" s="11">
        <v>0</v>
      </c>
      <c r="AL6" s="11">
        <v>0</v>
      </c>
      <c r="AM6" s="11">
        <v>2214107466.8600001</v>
      </c>
      <c r="AN6" s="11">
        <v>2214107466.8600001</v>
      </c>
      <c r="AO6" s="11">
        <v>0</v>
      </c>
      <c r="AP6" s="11">
        <v>2214107466.8600001</v>
      </c>
      <c r="AQ6" s="11">
        <v>0</v>
      </c>
      <c r="AR6" s="11">
        <v>0</v>
      </c>
      <c r="AS6" t="s">
        <v>57</v>
      </c>
      <c r="AT6" s="4" t="str">
        <f>+H6</f>
        <v>Impuesto sobre vehículos automotores</v>
      </c>
      <c r="AU6" t="str">
        <f>+D6&amp;AT6&amp;J6</f>
        <v>20Impuesto sobre vehículos automotores32803406000</v>
      </c>
      <c r="AV6" t="str">
        <f>+_xlfn.XLOOKUP(AU6,CRUCE!L:L,CRUCE!M:M)</f>
        <v>READY</v>
      </c>
      <c r="AW6" t="s">
        <v>1907</v>
      </c>
    </row>
    <row r="7" spans="1:49" hidden="1" x14ac:dyDescent="0.3">
      <c r="A7">
        <v>2024</v>
      </c>
      <c r="B7">
        <v>307</v>
      </c>
      <c r="C7">
        <v>110102</v>
      </c>
      <c r="D7" s="5" t="s">
        <v>44</v>
      </c>
      <c r="E7" s="8" t="s">
        <v>1509</v>
      </c>
      <c r="F7">
        <v>110102</v>
      </c>
      <c r="H7" s="8" t="s">
        <v>59</v>
      </c>
      <c r="I7" t="s">
        <v>47</v>
      </c>
      <c r="J7" s="17">
        <v>122237708199.74001</v>
      </c>
      <c r="K7" s="11">
        <v>122237708199.74001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122237708199.74001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17960912543.720001</v>
      </c>
      <c r="Y7" s="11">
        <v>635751029</v>
      </c>
      <c r="Z7" s="12">
        <v>17325161514.720001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17960912543.720001</v>
      </c>
      <c r="AH7" s="11">
        <v>635751029</v>
      </c>
      <c r="AI7" s="12">
        <v>17325161514.720001</v>
      </c>
      <c r="AJ7" s="11">
        <v>17325161514.720001</v>
      </c>
      <c r="AK7" s="11">
        <v>0</v>
      </c>
      <c r="AL7" s="11">
        <v>0</v>
      </c>
      <c r="AM7" s="11">
        <v>17325161514.720001</v>
      </c>
      <c r="AN7" s="11">
        <v>17937191623.720001</v>
      </c>
      <c r="AO7" s="11">
        <v>612030109</v>
      </c>
      <c r="AP7" s="11">
        <v>17937191623.720001</v>
      </c>
      <c r="AQ7" s="11">
        <v>0</v>
      </c>
      <c r="AR7" s="11">
        <v>612030109</v>
      </c>
      <c r="AS7" t="s">
        <v>48</v>
      </c>
      <c r="AT7"/>
    </row>
    <row r="8" spans="1:49" hidden="1" x14ac:dyDescent="0.3">
      <c r="A8">
        <v>2024</v>
      </c>
      <c r="B8">
        <v>307</v>
      </c>
      <c r="C8">
        <v>110102100</v>
      </c>
      <c r="D8" s="5" t="s">
        <v>44</v>
      </c>
      <c r="E8" s="8" t="s">
        <v>1510</v>
      </c>
      <c r="F8">
        <v>110102100</v>
      </c>
      <c r="H8" s="8" t="s">
        <v>61</v>
      </c>
      <c r="I8" t="s">
        <v>47</v>
      </c>
      <c r="J8" s="17">
        <v>28774685599.91</v>
      </c>
      <c r="K8" s="11">
        <v>28774685599.91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28774685599.91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2517897203.7199998</v>
      </c>
      <c r="Y8" s="11">
        <v>26270420</v>
      </c>
      <c r="Z8" s="12">
        <v>2491626783.7199998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2517897203.7199998</v>
      </c>
      <c r="AH8" s="11">
        <v>26270420</v>
      </c>
      <c r="AI8" s="12">
        <v>2491626783.7199998</v>
      </c>
      <c r="AJ8" s="11">
        <v>2491626783.7199998</v>
      </c>
      <c r="AK8" s="11">
        <v>0</v>
      </c>
      <c r="AL8" s="11">
        <v>0</v>
      </c>
      <c r="AM8" s="11">
        <v>2491626783.7199998</v>
      </c>
      <c r="AN8" s="11">
        <v>2494176283.7199998</v>
      </c>
      <c r="AO8" s="11">
        <v>2549500</v>
      </c>
      <c r="AP8" s="11">
        <v>2494176283.7199998</v>
      </c>
      <c r="AQ8" s="11">
        <v>0</v>
      </c>
      <c r="AR8" s="11">
        <v>2549500</v>
      </c>
      <c r="AS8" t="s">
        <v>48</v>
      </c>
      <c r="AT8"/>
    </row>
    <row r="9" spans="1:49" hidden="1" x14ac:dyDescent="0.3">
      <c r="A9">
        <v>2024</v>
      </c>
      <c r="B9">
        <v>307</v>
      </c>
      <c r="C9">
        <v>11010210001</v>
      </c>
      <c r="D9" s="5" t="s">
        <v>44</v>
      </c>
      <c r="E9" s="8" t="s">
        <v>1511</v>
      </c>
      <c r="F9">
        <v>11010210001</v>
      </c>
      <c r="H9" s="8" t="s">
        <v>63</v>
      </c>
      <c r="I9" t="s">
        <v>47</v>
      </c>
      <c r="J9" s="17">
        <v>3276661242.0599999</v>
      </c>
      <c r="K9" s="11">
        <v>3276661242.0599999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3276661242.0599999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123513383.72</v>
      </c>
      <c r="Y9" s="11">
        <v>2549500</v>
      </c>
      <c r="Z9" s="12">
        <v>120963883.72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123513383.72</v>
      </c>
      <c r="AH9" s="11">
        <v>2549500</v>
      </c>
      <c r="AI9" s="12">
        <v>120963883.72</v>
      </c>
      <c r="AJ9" s="11">
        <v>120963883.72</v>
      </c>
      <c r="AK9" s="11">
        <v>0</v>
      </c>
      <c r="AL9" s="11">
        <v>0</v>
      </c>
      <c r="AM9" s="11">
        <v>120963883.72</v>
      </c>
      <c r="AN9" s="11">
        <v>123513383.72</v>
      </c>
      <c r="AO9" s="11">
        <v>2549500</v>
      </c>
      <c r="AP9" s="11">
        <v>123513383.72</v>
      </c>
      <c r="AQ9" s="11">
        <v>0</v>
      </c>
      <c r="AR9" s="11">
        <v>2549500</v>
      </c>
      <c r="AS9" t="s">
        <v>48</v>
      </c>
      <c r="AT9"/>
    </row>
    <row r="10" spans="1:49" hidden="1" x14ac:dyDescent="0.3">
      <c r="A10">
        <v>2024</v>
      </c>
      <c r="B10">
        <v>307</v>
      </c>
      <c r="C10">
        <v>1101021000101</v>
      </c>
      <c r="D10" s="5">
        <v>1</v>
      </c>
      <c r="E10" s="8" t="s">
        <v>1512</v>
      </c>
      <c r="F10">
        <v>1101021000101</v>
      </c>
      <c r="G10" t="s">
        <v>1908</v>
      </c>
      <c r="H10" s="8" t="s">
        <v>1026</v>
      </c>
      <c r="I10" t="s">
        <v>47</v>
      </c>
      <c r="J10" s="17">
        <v>655332208.02999997</v>
      </c>
      <c r="K10" s="11">
        <v>655332208.02999997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655332208.02999997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24702676.739999998</v>
      </c>
      <c r="Y10" s="11">
        <v>509900</v>
      </c>
      <c r="Z10" s="12">
        <v>24192776.739999998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24702676.739999998</v>
      </c>
      <c r="AH10" s="11">
        <v>509900</v>
      </c>
      <c r="AI10" s="12">
        <v>24192776.739999998</v>
      </c>
      <c r="AJ10" s="11">
        <v>24192776.739999998</v>
      </c>
      <c r="AK10" s="11">
        <v>0</v>
      </c>
      <c r="AL10" s="11">
        <v>0</v>
      </c>
      <c r="AM10" s="11">
        <v>24192776.739999998</v>
      </c>
      <c r="AN10" s="11">
        <v>24702676.739999998</v>
      </c>
      <c r="AO10" s="11">
        <v>509900</v>
      </c>
      <c r="AP10" s="11">
        <v>24702676.739999998</v>
      </c>
      <c r="AQ10" s="11">
        <v>0</v>
      </c>
      <c r="AR10" s="11">
        <v>509900</v>
      </c>
      <c r="AS10" t="s">
        <v>64</v>
      </c>
      <c r="AT10" s="4" t="str">
        <f t="shared" ref="AT10:AT14" si="0">+H10</f>
        <v>Impuesto de Registro - Cámaras de Comercio ( 20% FONPET)</v>
      </c>
      <c r="AU10" t="str">
        <f t="shared" ref="AU10:AU14" si="1">+D10&amp;AT10&amp;J10</f>
        <v>1Impuesto de Registro - Cámaras de Comercio ( 20% FONPET)655332208,03</v>
      </c>
      <c r="AV10" t="str">
        <f>+_xlfn.XLOOKUP(AU10,CRUCE!L:L,CRUCE!M:M)</f>
        <v>READY</v>
      </c>
      <c r="AW10" t="s">
        <v>1907</v>
      </c>
    </row>
    <row r="11" spans="1:49" hidden="1" x14ac:dyDescent="0.3">
      <c r="A11">
        <v>2024</v>
      </c>
      <c r="B11">
        <v>307</v>
      </c>
      <c r="C11">
        <v>1101021000102</v>
      </c>
      <c r="D11" s="5">
        <v>13</v>
      </c>
      <c r="E11" s="8" t="s">
        <v>1513</v>
      </c>
      <c r="F11">
        <v>1101021000102</v>
      </c>
      <c r="G11" t="s">
        <v>1908</v>
      </c>
      <c r="H11" s="8" t="s">
        <v>1028</v>
      </c>
      <c r="I11" t="s">
        <v>47</v>
      </c>
      <c r="J11" s="17">
        <v>327666907</v>
      </c>
      <c r="K11" s="11">
        <v>327666907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327666907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12351338.369999999</v>
      </c>
      <c r="Y11" s="11">
        <v>254950</v>
      </c>
      <c r="Z11" s="12">
        <v>12096388.369999999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12351338.369999999</v>
      </c>
      <c r="AH11" s="11">
        <v>254950</v>
      </c>
      <c r="AI11" s="12">
        <v>12096388.369999999</v>
      </c>
      <c r="AJ11" s="11">
        <v>12096388.369999999</v>
      </c>
      <c r="AK11" s="11">
        <v>0</v>
      </c>
      <c r="AL11" s="11">
        <v>0</v>
      </c>
      <c r="AM11" s="11">
        <v>12096388.369999999</v>
      </c>
      <c r="AN11" s="11">
        <v>12351338.369999999</v>
      </c>
      <c r="AO11" s="11">
        <v>254950</v>
      </c>
      <c r="AP11" s="11">
        <v>12351338.369999999</v>
      </c>
      <c r="AQ11" s="11">
        <v>0</v>
      </c>
      <c r="AR11" s="11">
        <v>254950</v>
      </c>
      <c r="AS11" t="s">
        <v>66</v>
      </c>
      <c r="AT11" s="4" t="str">
        <f t="shared" si="0"/>
        <v>Impuesto de Registro - Cámaras de Comercio (10% Cuotas Partes Pensionales)</v>
      </c>
      <c r="AU11" t="str">
        <f t="shared" si="1"/>
        <v>13Impuesto de Registro - Cámaras de Comercio (10% Cuotas Partes Pensionales)327666907</v>
      </c>
      <c r="AV11" t="str">
        <f>+_xlfn.XLOOKUP(AU11,CRUCE!L:L,CRUCE!M:M)</f>
        <v>READY</v>
      </c>
      <c r="AW11" t="s">
        <v>1907</v>
      </c>
    </row>
    <row r="12" spans="1:49" x14ac:dyDescent="0.3">
      <c r="A12">
        <v>2024</v>
      </c>
      <c r="B12">
        <v>307</v>
      </c>
      <c r="C12">
        <v>1101021000103</v>
      </c>
      <c r="D12" s="5">
        <v>20</v>
      </c>
      <c r="E12" s="8" t="s">
        <v>1514</v>
      </c>
      <c r="F12">
        <v>1101021000103</v>
      </c>
      <c r="G12" t="s">
        <v>1908</v>
      </c>
      <c r="H12" s="8" t="s">
        <v>1030</v>
      </c>
      <c r="I12" t="s">
        <v>47</v>
      </c>
      <c r="J12" s="17">
        <v>1965996623.01</v>
      </c>
      <c r="K12" s="11">
        <v>1965996623.01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1965996623.01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74108030.230000004</v>
      </c>
      <c r="Y12" s="11">
        <v>1529700</v>
      </c>
      <c r="Z12" s="12">
        <v>72578330.230000004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74108030.230000004</v>
      </c>
      <c r="AH12" s="11">
        <v>1529700</v>
      </c>
      <c r="AI12" s="12">
        <v>72578330.230000004</v>
      </c>
      <c r="AJ12" s="11">
        <v>72578330.230000004</v>
      </c>
      <c r="AK12" s="11">
        <v>0</v>
      </c>
      <c r="AL12" s="11">
        <v>0</v>
      </c>
      <c r="AM12" s="11">
        <v>72578330.230000004</v>
      </c>
      <c r="AN12" s="11">
        <v>74108030.230000004</v>
      </c>
      <c r="AO12" s="11">
        <v>1529700</v>
      </c>
      <c r="AP12" s="11">
        <v>74108030.230000004</v>
      </c>
      <c r="AQ12" s="11">
        <v>0</v>
      </c>
      <c r="AR12" s="11">
        <v>1529700</v>
      </c>
      <c r="AS12" t="s">
        <v>57</v>
      </c>
      <c r="AT12" s="4" t="str">
        <f t="shared" si="0"/>
        <v>Impuesto de Registro - Cámaras de Comercio (ICLD)</v>
      </c>
      <c r="AU12" t="str">
        <f t="shared" si="1"/>
        <v>20Impuesto de Registro - Cámaras de Comercio (ICLD)1965996623,01</v>
      </c>
      <c r="AV12" t="str">
        <f>+_xlfn.XLOOKUP(AU12,CRUCE!L:L,CRUCE!M:M)</f>
        <v>READY</v>
      </c>
      <c r="AW12" t="s">
        <v>1907</v>
      </c>
    </row>
    <row r="13" spans="1:49" hidden="1" x14ac:dyDescent="0.3">
      <c r="A13">
        <v>2024</v>
      </c>
      <c r="B13">
        <v>307</v>
      </c>
      <c r="C13">
        <v>1101021000104</v>
      </c>
      <c r="D13" s="5">
        <v>52</v>
      </c>
      <c r="E13" s="8" t="s">
        <v>1515</v>
      </c>
      <c r="F13">
        <v>1101021000104</v>
      </c>
      <c r="G13" t="s">
        <v>1908</v>
      </c>
      <c r="H13" s="8" t="s">
        <v>1032</v>
      </c>
      <c r="I13" t="s">
        <v>47</v>
      </c>
      <c r="J13" s="17">
        <v>131066001.61</v>
      </c>
      <c r="K13" s="11">
        <v>131066001.61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131066001.61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4940535.3499999996</v>
      </c>
      <c r="Y13" s="11">
        <v>101980</v>
      </c>
      <c r="Z13" s="12">
        <v>4838555.3499999996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4940535.3499999996</v>
      </c>
      <c r="AH13" s="11">
        <v>101980</v>
      </c>
      <c r="AI13" s="12">
        <v>4838555.3499999996</v>
      </c>
      <c r="AJ13" s="11">
        <v>4838555.3499999996</v>
      </c>
      <c r="AK13" s="11">
        <v>0</v>
      </c>
      <c r="AL13" s="11">
        <v>0</v>
      </c>
      <c r="AM13" s="11">
        <v>4838555.3499999996</v>
      </c>
      <c r="AN13" s="11">
        <v>4940535.3499999996</v>
      </c>
      <c r="AO13" s="11">
        <v>101980</v>
      </c>
      <c r="AP13" s="11">
        <v>4940535.3499999996</v>
      </c>
      <c r="AQ13" s="11">
        <v>0</v>
      </c>
      <c r="AR13" s="11">
        <v>101980</v>
      </c>
      <c r="AS13" t="s">
        <v>69</v>
      </c>
      <c r="AT13" s="4" t="str">
        <f t="shared" si="0"/>
        <v>Impuesto de Registro - Cámaras de Comercio (4% Turismo)</v>
      </c>
      <c r="AU13" t="str">
        <f t="shared" si="1"/>
        <v>52Impuesto de Registro - Cámaras de Comercio (4% Turismo)131066001,61</v>
      </c>
      <c r="AV13" t="str">
        <f>+_xlfn.XLOOKUP(AU13,CRUCE!L:L,CRUCE!M:M)</f>
        <v>READY</v>
      </c>
      <c r="AW13" t="s">
        <v>1907</v>
      </c>
    </row>
    <row r="14" spans="1:49" hidden="1" x14ac:dyDescent="0.3">
      <c r="A14">
        <v>2024</v>
      </c>
      <c r="B14">
        <v>307</v>
      </c>
      <c r="C14">
        <v>1101021000105</v>
      </c>
      <c r="D14" s="5">
        <v>53</v>
      </c>
      <c r="E14" s="8" t="s">
        <v>1516</v>
      </c>
      <c r="F14">
        <v>1101021000105</v>
      </c>
      <c r="G14" t="s">
        <v>1908</v>
      </c>
      <c r="H14" s="8" t="s">
        <v>1034</v>
      </c>
      <c r="I14" t="s">
        <v>47</v>
      </c>
      <c r="J14" s="17">
        <v>196599502.41</v>
      </c>
      <c r="K14" s="11">
        <v>196599502.41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196599502.41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7410803.0300000003</v>
      </c>
      <c r="Y14" s="11">
        <v>152970</v>
      </c>
      <c r="Z14" s="12">
        <v>7257833.0300000003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7410803.0300000003</v>
      </c>
      <c r="AH14" s="11">
        <v>152970</v>
      </c>
      <c r="AI14" s="12">
        <v>7257833.0300000003</v>
      </c>
      <c r="AJ14" s="11">
        <v>7257833.0300000003</v>
      </c>
      <c r="AK14" s="11">
        <v>0</v>
      </c>
      <c r="AL14" s="11">
        <v>0</v>
      </c>
      <c r="AM14" s="11">
        <v>7257833.0300000003</v>
      </c>
      <c r="AN14" s="11">
        <v>7410803.0300000003</v>
      </c>
      <c r="AO14" s="11">
        <v>152970</v>
      </c>
      <c r="AP14" s="11">
        <v>7410803.0300000003</v>
      </c>
      <c r="AQ14" s="11">
        <v>0</v>
      </c>
      <c r="AR14" s="11">
        <v>152970</v>
      </c>
      <c r="AS14" t="s">
        <v>1517</v>
      </c>
      <c r="AT14" s="4" t="str">
        <f t="shared" si="0"/>
        <v>Impuesto de Registro - Cámaras de Comercio (6% Proyecta)</v>
      </c>
      <c r="AU14" t="str">
        <f t="shared" si="1"/>
        <v>53Impuesto de Registro - Cámaras de Comercio (6% Proyecta)196599502,41</v>
      </c>
      <c r="AV14" t="str">
        <f>+_xlfn.XLOOKUP(AU14,CRUCE!L:L,CRUCE!M:M)</f>
        <v>READY</v>
      </c>
      <c r="AW14" t="s">
        <v>1907</v>
      </c>
    </row>
    <row r="15" spans="1:49" hidden="1" x14ac:dyDescent="0.3">
      <c r="A15">
        <v>2024</v>
      </c>
      <c r="B15">
        <v>307</v>
      </c>
      <c r="C15">
        <v>11010210002</v>
      </c>
      <c r="D15" s="5" t="s">
        <v>44</v>
      </c>
      <c r="E15" s="8" t="s">
        <v>1518</v>
      </c>
      <c r="F15">
        <v>11010210002</v>
      </c>
      <c r="H15" s="8" t="s">
        <v>73</v>
      </c>
      <c r="I15" t="s">
        <v>47</v>
      </c>
      <c r="J15" s="17">
        <v>25498024357.849998</v>
      </c>
      <c r="K15" s="11">
        <v>25498024357.849998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25498024357.849998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2394383820</v>
      </c>
      <c r="Y15" s="11">
        <v>23720920</v>
      </c>
      <c r="Z15" s="12">
        <v>2370662900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2394383820</v>
      </c>
      <c r="AH15" s="11">
        <v>23720920</v>
      </c>
      <c r="AI15" s="12">
        <v>2370662900</v>
      </c>
      <c r="AJ15" s="11">
        <v>2370662900</v>
      </c>
      <c r="AK15" s="11">
        <v>0</v>
      </c>
      <c r="AL15" s="11">
        <v>0</v>
      </c>
      <c r="AM15" s="11">
        <v>2370662900</v>
      </c>
      <c r="AN15" s="11">
        <v>2370662900</v>
      </c>
      <c r="AO15" s="11">
        <v>0</v>
      </c>
      <c r="AP15" s="11">
        <v>2370662900</v>
      </c>
      <c r="AQ15" s="11">
        <v>0</v>
      </c>
      <c r="AR15" s="11">
        <v>0</v>
      </c>
      <c r="AS15" t="s">
        <v>48</v>
      </c>
      <c r="AT15"/>
    </row>
    <row r="16" spans="1:49" hidden="1" x14ac:dyDescent="0.3">
      <c r="A16">
        <v>2024</v>
      </c>
      <c r="B16">
        <v>307</v>
      </c>
      <c r="C16">
        <v>1101021000201</v>
      </c>
      <c r="D16" s="5">
        <v>1</v>
      </c>
      <c r="E16" s="8" t="s">
        <v>1519</v>
      </c>
      <c r="F16">
        <v>1101021000201</v>
      </c>
      <c r="G16" t="s">
        <v>1908</v>
      </c>
      <c r="H16" s="8" t="s">
        <v>1037</v>
      </c>
      <c r="I16" t="s">
        <v>47</v>
      </c>
      <c r="J16" s="17">
        <v>5099604791.9700003</v>
      </c>
      <c r="K16" s="11">
        <v>5099604791.9700003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5099604791.9700003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474132580</v>
      </c>
      <c r="Y16" s="11">
        <v>0</v>
      </c>
      <c r="Z16" s="12">
        <v>474132580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474132580</v>
      </c>
      <c r="AH16" s="11">
        <v>0</v>
      </c>
      <c r="AI16" s="12">
        <v>474132580</v>
      </c>
      <c r="AJ16" s="11">
        <v>474132580</v>
      </c>
      <c r="AK16" s="11">
        <v>23720920</v>
      </c>
      <c r="AL16" s="11">
        <v>23720920</v>
      </c>
      <c r="AM16" s="11">
        <v>450411660</v>
      </c>
      <c r="AN16" s="11">
        <v>450411660</v>
      </c>
      <c r="AO16" s="11">
        <v>0</v>
      </c>
      <c r="AP16" s="11">
        <v>450411660</v>
      </c>
      <c r="AQ16" s="11">
        <v>0</v>
      </c>
      <c r="AR16" s="11">
        <v>0</v>
      </c>
      <c r="AS16" t="s">
        <v>64</v>
      </c>
      <c r="AT16" s="4" t="str">
        <f t="shared" ref="AT16:AT21" si="2">+H16</f>
        <v>Impuesto de Registro - Oficinas de Instrumentos Públicos ( 20% FONPET)</v>
      </c>
      <c r="AU16" t="str">
        <f t="shared" ref="AU16:AU21" si="3">+D16&amp;AT16&amp;J16</f>
        <v>1Impuesto de Registro - Oficinas de Instrumentos Públicos ( 20% FONPET)5099604791,97</v>
      </c>
      <c r="AV16" t="str">
        <f>+_xlfn.XLOOKUP(AU16,CRUCE!L:L,CRUCE!M:M)</f>
        <v>READY</v>
      </c>
      <c r="AW16" t="s">
        <v>1907</v>
      </c>
    </row>
    <row r="17" spans="1:49" hidden="1" x14ac:dyDescent="0.3">
      <c r="A17">
        <v>2024</v>
      </c>
      <c r="B17">
        <v>307</v>
      </c>
      <c r="C17">
        <v>1101021000202</v>
      </c>
      <c r="D17" s="5">
        <v>13</v>
      </c>
      <c r="E17" s="8" t="s">
        <v>1520</v>
      </c>
      <c r="F17">
        <v>1101021000202</v>
      </c>
      <c r="G17" t="s">
        <v>1908</v>
      </c>
      <c r="H17" s="8" t="s">
        <v>1039</v>
      </c>
      <c r="I17" t="s">
        <v>47</v>
      </c>
      <c r="J17" s="17">
        <v>2549802093</v>
      </c>
      <c r="K17" s="11">
        <v>2549802093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2549802093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237066290</v>
      </c>
      <c r="Y17" s="11">
        <v>0</v>
      </c>
      <c r="Z17" s="12">
        <v>237066290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237066290</v>
      </c>
      <c r="AH17" s="11">
        <v>0</v>
      </c>
      <c r="AI17" s="12">
        <v>237066290</v>
      </c>
      <c r="AJ17" s="11">
        <v>237066290</v>
      </c>
      <c r="AK17" s="11">
        <v>0</v>
      </c>
      <c r="AL17" s="11">
        <v>0</v>
      </c>
      <c r="AM17" s="11">
        <v>237066290</v>
      </c>
      <c r="AN17" s="11">
        <v>237066290</v>
      </c>
      <c r="AO17" s="11">
        <v>0</v>
      </c>
      <c r="AP17" s="11">
        <v>237066290</v>
      </c>
      <c r="AQ17" s="11">
        <v>0</v>
      </c>
      <c r="AR17" s="11">
        <v>0</v>
      </c>
      <c r="AS17" t="s">
        <v>66</v>
      </c>
      <c r="AT17" s="4" t="str">
        <f t="shared" si="2"/>
        <v>Impuesto de Registro - Oficinas de Instrumentos Públicos (10% Cuotas Partes Pensionales)</v>
      </c>
      <c r="AU17" t="str">
        <f t="shared" si="3"/>
        <v>13Impuesto de Registro - Oficinas de Instrumentos Públicos (10% Cuotas Partes Pensionales)2549802093</v>
      </c>
      <c r="AV17" t="str">
        <f>+_xlfn.XLOOKUP(AU17,CRUCE!L:L,CRUCE!M:M)</f>
        <v>READY</v>
      </c>
      <c r="AW17" t="s">
        <v>1907</v>
      </c>
    </row>
    <row r="18" spans="1:49" x14ac:dyDescent="0.3">
      <c r="A18">
        <v>2024</v>
      </c>
      <c r="B18">
        <v>307</v>
      </c>
      <c r="C18">
        <v>1101021000203</v>
      </c>
      <c r="D18" s="5">
        <v>20</v>
      </c>
      <c r="E18" s="8" t="s">
        <v>1521</v>
      </c>
      <c r="F18">
        <v>1101021000203</v>
      </c>
      <c r="G18" t="s">
        <v>1908</v>
      </c>
      <c r="H18" s="8" t="s">
        <v>1041</v>
      </c>
      <c r="I18" t="s">
        <v>47</v>
      </c>
      <c r="J18" s="17">
        <v>15298814976.9</v>
      </c>
      <c r="K18" s="11">
        <v>15298814976.9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15298814976.9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1446118660</v>
      </c>
      <c r="Y18" s="11">
        <v>23720920</v>
      </c>
      <c r="Z18" s="12">
        <v>1422397740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1446118660</v>
      </c>
      <c r="AH18" s="11">
        <v>23720920</v>
      </c>
      <c r="AI18" s="12">
        <v>1422397740</v>
      </c>
      <c r="AJ18" s="11">
        <v>1422397740</v>
      </c>
      <c r="AK18" s="11">
        <v>-23720920</v>
      </c>
      <c r="AL18" s="11">
        <v>-23720920</v>
      </c>
      <c r="AM18" s="11">
        <v>1446118660</v>
      </c>
      <c r="AN18" s="11">
        <v>1446118660</v>
      </c>
      <c r="AO18" s="11">
        <v>0</v>
      </c>
      <c r="AP18" s="11">
        <v>1446118660</v>
      </c>
      <c r="AQ18" s="11">
        <v>0</v>
      </c>
      <c r="AR18" s="11">
        <v>0</v>
      </c>
      <c r="AS18" t="s">
        <v>57</v>
      </c>
      <c r="AT18" s="4" t="str">
        <f t="shared" si="2"/>
        <v>Impuesto de Registro - Oficinas de Instrumentos Públicos (ICLD)</v>
      </c>
      <c r="AU18" t="str">
        <f t="shared" si="3"/>
        <v>20Impuesto de Registro - Oficinas de Instrumentos Públicos (ICLD)15298814976,9</v>
      </c>
      <c r="AV18" t="str">
        <f>+_xlfn.XLOOKUP(AU18,CRUCE!L:L,CRUCE!M:M)</f>
        <v>READY</v>
      </c>
      <c r="AW18" t="s">
        <v>1907</v>
      </c>
    </row>
    <row r="19" spans="1:49" hidden="1" x14ac:dyDescent="0.3">
      <c r="A19">
        <v>2024</v>
      </c>
      <c r="B19">
        <v>307</v>
      </c>
      <c r="C19">
        <v>1101021000204</v>
      </c>
      <c r="D19" s="5">
        <v>52</v>
      </c>
      <c r="E19" s="8" t="s">
        <v>1522</v>
      </c>
      <c r="F19">
        <v>1101021000204</v>
      </c>
      <c r="G19" t="s">
        <v>1908</v>
      </c>
      <c r="H19" s="8" t="s">
        <v>1043</v>
      </c>
      <c r="I19" t="s">
        <v>47</v>
      </c>
      <c r="J19" s="17">
        <v>1019920998.39</v>
      </c>
      <c r="K19" s="11">
        <v>1019920998.39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1019920998.39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94826516</v>
      </c>
      <c r="Y19" s="11">
        <v>0</v>
      </c>
      <c r="Z19" s="12">
        <v>94826516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94826516</v>
      </c>
      <c r="AH19" s="11">
        <v>0</v>
      </c>
      <c r="AI19" s="12">
        <v>94826516</v>
      </c>
      <c r="AJ19" s="11">
        <v>94826516</v>
      </c>
      <c r="AK19" s="11">
        <v>0</v>
      </c>
      <c r="AL19" s="11">
        <v>0</v>
      </c>
      <c r="AM19" s="11">
        <v>94826516</v>
      </c>
      <c r="AN19" s="11">
        <v>94826516</v>
      </c>
      <c r="AO19" s="11">
        <v>0</v>
      </c>
      <c r="AP19" s="11">
        <v>94826516</v>
      </c>
      <c r="AQ19" s="11">
        <v>0</v>
      </c>
      <c r="AR19" s="11">
        <v>0</v>
      </c>
      <c r="AS19" t="s">
        <v>69</v>
      </c>
      <c r="AT19" s="4" t="str">
        <f t="shared" si="2"/>
        <v>Impuesto de Registro - Oficinas de Instrumentos Públicos (4% Turismo)</v>
      </c>
      <c r="AU19" t="str">
        <f t="shared" si="3"/>
        <v>52Impuesto de Registro - Oficinas de Instrumentos Públicos (4% Turismo)1019920998,39</v>
      </c>
      <c r="AV19" t="str">
        <f>+_xlfn.XLOOKUP(AU19,CRUCE!L:L,CRUCE!M:M)</f>
        <v>READY</v>
      </c>
      <c r="AW19" t="s">
        <v>1907</v>
      </c>
    </row>
    <row r="20" spans="1:49" hidden="1" x14ac:dyDescent="0.3">
      <c r="A20">
        <v>2024</v>
      </c>
      <c r="B20">
        <v>307</v>
      </c>
      <c r="C20">
        <v>1101021000205</v>
      </c>
      <c r="D20" s="5">
        <v>53</v>
      </c>
      <c r="E20" s="8" t="s">
        <v>1523</v>
      </c>
      <c r="F20">
        <v>1101021000205</v>
      </c>
      <c r="G20" t="s">
        <v>1908</v>
      </c>
      <c r="H20" s="8" t="s">
        <v>1045</v>
      </c>
      <c r="I20" t="s">
        <v>47</v>
      </c>
      <c r="J20" s="17">
        <v>1529881497.5899999</v>
      </c>
      <c r="K20" s="11">
        <v>1529881497.5899999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1529881497.5899999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142239774</v>
      </c>
      <c r="Y20" s="11">
        <v>0</v>
      </c>
      <c r="Z20" s="12">
        <v>142239774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142239774</v>
      </c>
      <c r="AH20" s="11">
        <v>0</v>
      </c>
      <c r="AI20" s="12">
        <v>142239774</v>
      </c>
      <c r="AJ20" s="11">
        <v>142239774</v>
      </c>
      <c r="AK20" s="11">
        <v>0</v>
      </c>
      <c r="AL20" s="11">
        <v>0</v>
      </c>
      <c r="AM20" s="11">
        <v>142239774</v>
      </c>
      <c r="AN20" s="11">
        <v>142239774</v>
      </c>
      <c r="AO20" s="11">
        <v>0</v>
      </c>
      <c r="AP20" s="11">
        <v>142239774</v>
      </c>
      <c r="AQ20" s="11">
        <v>0</v>
      </c>
      <c r="AR20" s="11">
        <v>0</v>
      </c>
      <c r="AS20" t="s">
        <v>1517</v>
      </c>
      <c r="AT20" s="4" t="str">
        <f t="shared" si="2"/>
        <v>Impuesto de Registro - Oficinas de Instrumentos Públicos (6% Proyecta)</v>
      </c>
      <c r="AU20" t="str">
        <f t="shared" si="3"/>
        <v>53Impuesto de Registro - Oficinas de Instrumentos Públicos (6% Proyecta)1529881497,59</v>
      </c>
      <c r="AV20" t="str">
        <f>+_xlfn.XLOOKUP(AU20,CRUCE!L:L,CRUCE!M:M)</f>
        <v>READY</v>
      </c>
      <c r="AW20" t="s">
        <v>1907</v>
      </c>
    </row>
    <row r="21" spans="1:49" x14ac:dyDescent="0.3">
      <c r="A21">
        <v>2024</v>
      </c>
      <c r="B21">
        <v>307</v>
      </c>
      <c r="C21">
        <v>110102102</v>
      </c>
      <c r="D21" s="5">
        <v>20</v>
      </c>
      <c r="E21" s="8" t="s">
        <v>1524</v>
      </c>
      <c r="F21">
        <v>110102102</v>
      </c>
      <c r="G21" t="s">
        <v>1908</v>
      </c>
      <c r="H21" s="8" t="s">
        <v>79</v>
      </c>
      <c r="I21" t="s">
        <v>47</v>
      </c>
      <c r="J21" s="17">
        <v>763018000</v>
      </c>
      <c r="K21" s="11">
        <v>763018000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763018000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66821600</v>
      </c>
      <c r="Y21" s="11">
        <v>0</v>
      </c>
      <c r="Z21" s="12">
        <v>66821600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66821600</v>
      </c>
      <c r="AH21" s="11">
        <v>0</v>
      </c>
      <c r="AI21" s="12">
        <v>66821600</v>
      </c>
      <c r="AJ21" s="11">
        <v>66821600</v>
      </c>
      <c r="AK21" s="11">
        <v>0</v>
      </c>
      <c r="AL21" s="11">
        <v>0</v>
      </c>
      <c r="AM21" s="11">
        <v>66821600</v>
      </c>
      <c r="AN21" s="11">
        <v>66821600</v>
      </c>
      <c r="AO21" s="11">
        <v>0</v>
      </c>
      <c r="AP21" s="11">
        <v>66821600</v>
      </c>
      <c r="AQ21" s="11">
        <v>0</v>
      </c>
      <c r="AR21" s="11">
        <v>0</v>
      </c>
      <c r="AS21" t="s">
        <v>57</v>
      </c>
      <c r="AT21" s="4" t="str">
        <f t="shared" si="2"/>
        <v>Impuesto al degüello de ganado mayor</v>
      </c>
      <c r="AU21" t="str">
        <f t="shared" si="3"/>
        <v>20Impuesto al degüello de ganado mayor763018000</v>
      </c>
      <c r="AV21" t="str">
        <f>+_xlfn.XLOOKUP(AU21,CRUCE!L:L,CRUCE!M:M)</f>
        <v>READY</v>
      </c>
      <c r="AW21" t="s">
        <v>1907</v>
      </c>
    </row>
    <row r="22" spans="1:49" hidden="1" x14ac:dyDescent="0.3">
      <c r="A22">
        <v>2024</v>
      </c>
      <c r="B22">
        <v>307</v>
      </c>
      <c r="C22">
        <v>110102104</v>
      </c>
      <c r="D22" s="5" t="s">
        <v>44</v>
      </c>
      <c r="E22" s="8" t="s">
        <v>1525</v>
      </c>
      <c r="F22">
        <v>110102104</v>
      </c>
      <c r="H22" s="8" t="s">
        <v>86</v>
      </c>
      <c r="I22" t="s">
        <v>47</v>
      </c>
      <c r="J22" s="17">
        <v>4894735000.5600004</v>
      </c>
      <c r="K22" s="11">
        <v>4894735000.5600004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4894735000.5600004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414261638</v>
      </c>
      <c r="Y22" s="11">
        <v>0</v>
      </c>
      <c r="Z22" s="12">
        <v>414261638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414261638</v>
      </c>
      <c r="AH22" s="11">
        <v>0</v>
      </c>
      <c r="AI22" s="12">
        <v>414261638</v>
      </c>
      <c r="AJ22" s="11">
        <v>414261638</v>
      </c>
      <c r="AK22" s="11">
        <v>0</v>
      </c>
      <c r="AL22" s="11">
        <v>0</v>
      </c>
      <c r="AM22" s="11">
        <v>414261638</v>
      </c>
      <c r="AN22" s="11">
        <v>414261638</v>
      </c>
      <c r="AO22" s="11">
        <v>0</v>
      </c>
      <c r="AP22" s="11">
        <v>414261638</v>
      </c>
      <c r="AQ22" s="11">
        <v>0</v>
      </c>
      <c r="AR22" s="11">
        <v>0</v>
      </c>
      <c r="AS22" t="s">
        <v>48</v>
      </c>
      <c r="AT22"/>
    </row>
    <row r="23" spans="1:49" hidden="1" x14ac:dyDescent="0.3">
      <c r="A23">
        <v>2024</v>
      </c>
      <c r="B23">
        <v>307</v>
      </c>
      <c r="C23">
        <v>11010210402</v>
      </c>
      <c r="D23" s="5" t="s">
        <v>44</v>
      </c>
      <c r="E23" s="8" t="s">
        <v>1526</v>
      </c>
      <c r="F23">
        <v>11010210402</v>
      </c>
      <c r="H23" s="8" t="s">
        <v>94</v>
      </c>
      <c r="I23" t="s">
        <v>47</v>
      </c>
      <c r="J23" s="17">
        <v>4894735000.5600004</v>
      </c>
      <c r="K23" s="11">
        <v>4894735000.5600004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4894735000.5600004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414261638</v>
      </c>
      <c r="Y23" s="11">
        <v>0</v>
      </c>
      <c r="Z23" s="12">
        <v>414261638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414261638</v>
      </c>
      <c r="AH23" s="11">
        <v>0</v>
      </c>
      <c r="AI23" s="12">
        <v>414261638</v>
      </c>
      <c r="AJ23" s="11">
        <v>414261638</v>
      </c>
      <c r="AK23" s="11">
        <v>0</v>
      </c>
      <c r="AL23" s="11">
        <v>0</v>
      </c>
      <c r="AM23" s="11">
        <v>414261638</v>
      </c>
      <c r="AN23" s="11">
        <v>414261638</v>
      </c>
      <c r="AO23" s="11">
        <v>0</v>
      </c>
      <c r="AP23" s="11">
        <v>414261638</v>
      </c>
      <c r="AQ23" s="11">
        <v>0</v>
      </c>
      <c r="AR23" s="11">
        <v>0</v>
      </c>
      <c r="AS23" t="s">
        <v>48</v>
      </c>
      <c r="AT23"/>
    </row>
    <row r="24" spans="1:49" hidden="1" x14ac:dyDescent="0.3">
      <c r="A24">
        <v>2024</v>
      </c>
      <c r="B24">
        <v>307</v>
      </c>
      <c r="C24">
        <v>1101021040201</v>
      </c>
      <c r="D24" s="5" t="s">
        <v>44</v>
      </c>
      <c r="E24" s="8" t="s">
        <v>1527</v>
      </c>
      <c r="F24">
        <v>1101021040201</v>
      </c>
      <c r="H24" s="8" t="s">
        <v>1528</v>
      </c>
      <c r="I24" t="s">
        <v>47</v>
      </c>
      <c r="J24" s="17">
        <v>2422893825.2800002</v>
      </c>
      <c r="K24" s="11">
        <v>2422893825.2800002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2422893825.2800002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175023123</v>
      </c>
      <c r="Y24" s="11">
        <v>0</v>
      </c>
      <c r="Z24" s="12">
        <v>175023123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175023123</v>
      </c>
      <c r="AH24" s="11">
        <v>0</v>
      </c>
      <c r="AI24" s="12">
        <v>175023123</v>
      </c>
      <c r="AJ24" s="11">
        <v>175023123</v>
      </c>
      <c r="AK24" s="11">
        <v>0</v>
      </c>
      <c r="AL24" s="11">
        <v>0</v>
      </c>
      <c r="AM24" s="11">
        <v>175023123</v>
      </c>
      <c r="AN24" s="11">
        <v>175023123</v>
      </c>
      <c r="AO24" s="11">
        <v>0</v>
      </c>
      <c r="AP24" s="11">
        <v>175023123</v>
      </c>
      <c r="AQ24" s="11">
        <v>0</v>
      </c>
      <c r="AR24" s="11">
        <v>0</v>
      </c>
      <c r="AS24" t="s">
        <v>48</v>
      </c>
      <c r="AT24"/>
    </row>
    <row r="25" spans="1:49" hidden="1" x14ac:dyDescent="0.3">
      <c r="A25">
        <v>2024</v>
      </c>
      <c r="B25">
        <v>307</v>
      </c>
      <c r="C25">
        <v>110102104020101</v>
      </c>
      <c r="D25" s="5">
        <v>145</v>
      </c>
      <c r="E25" s="8" t="s">
        <v>1529</v>
      </c>
      <c r="F25">
        <v>110102104020101</v>
      </c>
      <c r="G25" t="s">
        <v>1908</v>
      </c>
      <c r="H25" s="8" t="s">
        <v>1530</v>
      </c>
      <c r="I25" t="s">
        <v>47</v>
      </c>
      <c r="J25" s="17">
        <v>28366201.100000001</v>
      </c>
      <c r="K25" s="11">
        <v>28366201.100000001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28366201.100000001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5209970</v>
      </c>
      <c r="Y25" s="11">
        <v>0</v>
      </c>
      <c r="Z25" s="12">
        <v>5209970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5209970</v>
      </c>
      <c r="AH25" s="11">
        <v>0</v>
      </c>
      <c r="AI25" s="12">
        <v>5209970</v>
      </c>
      <c r="AJ25" s="11">
        <v>5209970</v>
      </c>
      <c r="AK25" s="11">
        <v>0</v>
      </c>
      <c r="AL25" s="11">
        <v>0</v>
      </c>
      <c r="AM25" s="11">
        <v>5209970</v>
      </c>
      <c r="AN25" s="11">
        <v>5209970</v>
      </c>
      <c r="AO25" s="11">
        <v>0</v>
      </c>
      <c r="AP25" s="11">
        <v>5209970</v>
      </c>
      <c r="AQ25" s="11">
        <v>0</v>
      </c>
      <c r="AR25" s="11">
        <v>0</v>
      </c>
      <c r="AS25" t="s">
        <v>84</v>
      </c>
      <c r="AT25" s="4" t="s">
        <v>96</v>
      </c>
      <c r="AU25" t="str">
        <f t="shared" ref="AU25:AU28" si="4">+D25&amp;AT25&amp;J25</f>
        <v>145Impuesto al consumo de vinos, aperitivos y similares - Nacionales28366201,1</v>
      </c>
      <c r="AV25" t="str">
        <f>+_xlfn.XLOOKUP(AU25,CRUCE!L:L,CRUCE!M:M)</f>
        <v>READY</v>
      </c>
      <c r="AW25" t="s">
        <v>1907</v>
      </c>
    </row>
    <row r="26" spans="1:49" x14ac:dyDescent="0.3">
      <c r="A26">
        <v>2024</v>
      </c>
      <c r="B26">
        <v>307</v>
      </c>
      <c r="C26">
        <v>110102104020101</v>
      </c>
      <c r="D26" s="5">
        <v>20</v>
      </c>
      <c r="E26" s="8" t="s">
        <v>1531</v>
      </c>
      <c r="F26">
        <v>110102104020101</v>
      </c>
      <c r="G26" t="s">
        <v>1908</v>
      </c>
      <c r="H26" s="8" t="s">
        <v>1530</v>
      </c>
      <c r="I26" t="s">
        <v>47</v>
      </c>
      <c r="J26" s="17">
        <v>567323048.47000003</v>
      </c>
      <c r="K26" s="11">
        <v>567323048.47000003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567323048.47000003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104199700</v>
      </c>
      <c r="Y26" s="11">
        <v>0</v>
      </c>
      <c r="Z26" s="12">
        <v>104199700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104199700</v>
      </c>
      <c r="AH26" s="11">
        <v>0</v>
      </c>
      <c r="AI26" s="12">
        <v>104199700</v>
      </c>
      <c r="AJ26" s="11">
        <v>104199700</v>
      </c>
      <c r="AK26" s="11">
        <v>0</v>
      </c>
      <c r="AL26" s="11">
        <v>0</v>
      </c>
      <c r="AM26" s="11">
        <v>104199700</v>
      </c>
      <c r="AN26" s="11">
        <v>104199700</v>
      </c>
      <c r="AO26" s="11">
        <v>0</v>
      </c>
      <c r="AP26" s="11">
        <v>104199700</v>
      </c>
      <c r="AQ26" s="11">
        <v>0</v>
      </c>
      <c r="AR26" s="11">
        <v>0</v>
      </c>
      <c r="AS26" t="s">
        <v>57</v>
      </c>
      <c r="AT26" s="4" t="s">
        <v>96</v>
      </c>
      <c r="AU26" t="str">
        <f t="shared" si="4"/>
        <v>20Impuesto al consumo de vinos, aperitivos y similares - Nacionales567323048,47</v>
      </c>
      <c r="AV26" t="str">
        <f>+_xlfn.XLOOKUP(AU26,CRUCE!L:L,CRUCE!M:M)</f>
        <v>READY</v>
      </c>
      <c r="AW26" t="s">
        <v>1907</v>
      </c>
    </row>
    <row r="27" spans="1:49" hidden="1" x14ac:dyDescent="0.3">
      <c r="A27">
        <v>2024</v>
      </c>
      <c r="B27">
        <v>307</v>
      </c>
      <c r="C27">
        <v>110102104020102</v>
      </c>
      <c r="D27" s="5">
        <v>145</v>
      </c>
      <c r="E27" s="8" t="s">
        <v>1532</v>
      </c>
      <c r="F27">
        <v>110102104020102</v>
      </c>
      <c r="G27" t="s">
        <v>1908</v>
      </c>
      <c r="H27" s="8" t="s">
        <v>1533</v>
      </c>
      <c r="I27" t="s">
        <v>47</v>
      </c>
      <c r="J27" s="17">
        <v>87009883.900000006</v>
      </c>
      <c r="K27" s="11">
        <v>87009883.900000006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87009883.900000006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4483572</v>
      </c>
      <c r="Y27" s="11">
        <v>0</v>
      </c>
      <c r="Z27" s="12">
        <v>4483572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4483572</v>
      </c>
      <c r="AH27" s="11">
        <v>0</v>
      </c>
      <c r="AI27" s="12">
        <v>4483572</v>
      </c>
      <c r="AJ27" s="11">
        <v>4483572</v>
      </c>
      <c r="AK27" s="11">
        <v>0</v>
      </c>
      <c r="AL27" s="11">
        <v>0</v>
      </c>
      <c r="AM27" s="11">
        <v>4483572</v>
      </c>
      <c r="AN27" s="11">
        <v>4483572</v>
      </c>
      <c r="AO27" s="11">
        <v>0</v>
      </c>
      <c r="AP27" s="11">
        <v>4483572</v>
      </c>
      <c r="AQ27" s="11">
        <v>0</v>
      </c>
      <c r="AR27" s="11">
        <v>0</v>
      </c>
      <c r="AS27" t="s">
        <v>84</v>
      </c>
      <c r="AT27" s="4" t="s">
        <v>98</v>
      </c>
      <c r="AU27" t="str">
        <f t="shared" si="4"/>
        <v>145Impuesto al consumo de vinos, aperitivos y similares - Extranjeros87009883,9</v>
      </c>
      <c r="AV27" t="str">
        <f>+_xlfn.XLOOKUP(AU27,CRUCE!L:L,CRUCE!M:M)</f>
        <v>READY</v>
      </c>
      <c r="AW27" t="s">
        <v>1907</v>
      </c>
    </row>
    <row r="28" spans="1:49" x14ac:dyDescent="0.3">
      <c r="A28">
        <v>2024</v>
      </c>
      <c r="B28">
        <v>307</v>
      </c>
      <c r="C28">
        <v>110102104020102</v>
      </c>
      <c r="D28" s="5">
        <v>20</v>
      </c>
      <c r="E28" s="8" t="s">
        <v>1534</v>
      </c>
      <c r="F28">
        <v>110102104020102</v>
      </c>
      <c r="G28" t="s">
        <v>1908</v>
      </c>
      <c r="H28" s="8" t="s">
        <v>1533</v>
      </c>
      <c r="I28" t="s">
        <v>47</v>
      </c>
      <c r="J28" s="17">
        <v>1740194691.8099999</v>
      </c>
      <c r="K28" s="11">
        <v>1740194691.8099999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1740194691.8099999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61129881</v>
      </c>
      <c r="Y28" s="11">
        <v>0</v>
      </c>
      <c r="Z28" s="12">
        <v>61129881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61129881</v>
      </c>
      <c r="AH28" s="11">
        <v>0</v>
      </c>
      <c r="AI28" s="12">
        <v>61129881</v>
      </c>
      <c r="AJ28" s="11">
        <v>61129881</v>
      </c>
      <c r="AK28" s="11">
        <v>0</v>
      </c>
      <c r="AL28" s="11">
        <v>0</v>
      </c>
      <c r="AM28" s="11">
        <v>61129881</v>
      </c>
      <c r="AN28" s="11">
        <v>61129881</v>
      </c>
      <c r="AO28" s="11">
        <v>0</v>
      </c>
      <c r="AP28" s="11">
        <v>61129881</v>
      </c>
      <c r="AQ28" s="11">
        <v>0</v>
      </c>
      <c r="AR28" s="11">
        <v>0</v>
      </c>
      <c r="AS28" t="s">
        <v>57</v>
      </c>
      <c r="AT28" s="4" t="s">
        <v>98</v>
      </c>
      <c r="AU28" t="str">
        <f t="shared" si="4"/>
        <v>20Impuesto al consumo de vinos, aperitivos y similares - Extranjeros1740194691,81</v>
      </c>
      <c r="AV28" t="str">
        <f>+_xlfn.XLOOKUP(AU28,CRUCE!L:L,CRUCE!M:M)</f>
        <v>READY</v>
      </c>
      <c r="AW28" t="s">
        <v>1907</v>
      </c>
    </row>
    <row r="29" spans="1:49" hidden="1" x14ac:dyDescent="0.3">
      <c r="A29">
        <v>2024</v>
      </c>
      <c r="B29">
        <v>307</v>
      </c>
      <c r="C29">
        <v>1101021040202</v>
      </c>
      <c r="D29" s="5" t="s">
        <v>44</v>
      </c>
      <c r="E29" s="8" t="s">
        <v>1535</v>
      </c>
      <c r="F29">
        <v>1101021040202</v>
      </c>
      <c r="H29" s="8" t="s">
        <v>1536</v>
      </c>
      <c r="I29" t="s">
        <v>47</v>
      </c>
      <c r="J29" s="17">
        <v>2471841175.2800002</v>
      </c>
      <c r="K29" s="11">
        <v>2471841175.2800002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2471841175.2800002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239238515</v>
      </c>
      <c r="Y29" s="11">
        <v>0</v>
      </c>
      <c r="Z29" s="12">
        <v>239238515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239238515</v>
      </c>
      <c r="AH29" s="11">
        <v>0</v>
      </c>
      <c r="AI29" s="12">
        <v>239238515</v>
      </c>
      <c r="AJ29" s="11">
        <v>239238515</v>
      </c>
      <c r="AK29" s="11">
        <v>0</v>
      </c>
      <c r="AL29" s="11">
        <v>0</v>
      </c>
      <c r="AM29" s="11">
        <v>239238515</v>
      </c>
      <c r="AN29" s="11">
        <v>239238515</v>
      </c>
      <c r="AO29" s="11">
        <v>0</v>
      </c>
      <c r="AP29" s="11">
        <v>239238515</v>
      </c>
      <c r="AQ29" s="11">
        <v>0</v>
      </c>
      <c r="AR29" s="11">
        <v>0</v>
      </c>
      <c r="AS29" t="s">
        <v>48</v>
      </c>
      <c r="AT29"/>
    </row>
    <row r="30" spans="1:49" hidden="1" x14ac:dyDescent="0.3">
      <c r="A30">
        <v>2024</v>
      </c>
      <c r="B30">
        <v>307</v>
      </c>
      <c r="C30">
        <v>110102104020201</v>
      </c>
      <c r="D30" s="5">
        <v>145</v>
      </c>
      <c r="E30" s="8" t="s">
        <v>1537</v>
      </c>
      <c r="F30">
        <v>110102104020201</v>
      </c>
      <c r="G30" t="s">
        <v>1908</v>
      </c>
      <c r="H30" s="8" t="s">
        <v>1538</v>
      </c>
      <c r="I30" t="s">
        <v>47</v>
      </c>
      <c r="J30" s="17">
        <v>28925600.300000001</v>
      </c>
      <c r="K30" s="11">
        <v>28925600.300000001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28925600.300000001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4233320</v>
      </c>
      <c r="Y30" s="11">
        <v>0</v>
      </c>
      <c r="Z30" s="12">
        <v>4233320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4233320</v>
      </c>
      <c r="AH30" s="11">
        <v>0</v>
      </c>
      <c r="AI30" s="12">
        <v>4233320</v>
      </c>
      <c r="AJ30" s="11">
        <v>4233320</v>
      </c>
      <c r="AK30" s="11">
        <v>0</v>
      </c>
      <c r="AL30" s="11">
        <v>0</v>
      </c>
      <c r="AM30" s="11">
        <v>4233320</v>
      </c>
      <c r="AN30" s="11">
        <v>4233320</v>
      </c>
      <c r="AO30" s="11">
        <v>0</v>
      </c>
      <c r="AP30" s="11">
        <v>4233320</v>
      </c>
      <c r="AQ30" s="11">
        <v>0</v>
      </c>
      <c r="AR30" s="11">
        <v>0</v>
      </c>
      <c r="AS30" t="s">
        <v>84</v>
      </c>
      <c r="AT30" s="4" t="str">
        <f>+H30</f>
        <v>Impuesto al consumo de vinos, aperitivos y similares - Componente Ad Valorem de Producción Nacional</v>
      </c>
      <c r="AU30" t="str">
        <f t="shared" ref="AU30:AU33" si="5">+D30&amp;AT30&amp;J30</f>
        <v>145Impuesto al consumo de vinos, aperitivos y similares - Componente Ad Valorem de Producción Nacional28925600,3</v>
      </c>
      <c r="AV30" t="str">
        <f>+_xlfn.XLOOKUP(AU30,CRUCE!L:L,CRUCE!M:M)</f>
        <v>READY</v>
      </c>
      <c r="AW30" t="s">
        <v>1907</v>
      </c>
    </row>
    <row r="31" spans="1:49" x14ac:dyDescent="0.3">
      <c r="A31">
        <v>2024</v>
      </c>
      <c r="B31">
        <v>307</v>
      </c>
      <c r="C31">
        <v>110102104020201</v>
      </c>
      <c r="D31" s="5">
        <v>20</v>
      </c>
      <c r="E31" s="8" t="s">
        <v>1539</v>
      </c>
      <c r="F31">
        <v>110102104020201</v>
      </c>
      <c r="G31" t="s">
        <v>1908</v>
      </c>
      <c r="H31" s="8" t="s">
        <v>1538</v>
      </c>
      <c r="I31" t="s">
        <v>47</v>
      </c>
      <c r="J31" s="17">
        <v>578511013.26999998</v>
      </c>
      <c r="K31" s="11">
        <v>578511013.26999998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578511013.26999998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110721500</v>
      </c>
      <c r="Y31" s="11">
        <v>0</v>
      </c>
      <c r="Z31" s="12">
        <v>110721500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110721500</v>
      </c>
      <c r="AH31" s="11">
        <v>0</v>
      </c>
      <c r="AI31" s="12">
        <v>110721500</v>
      </c>
      <c r="AJ31" s="11">
        <v>110721500</v>
      </c>
      <c r="AK31" s="11">
        <v>0</v>
      </c>
      <c r="AL31" s="11">
        <v>0</v>
      </c>
      <c r="AM31" s="11">
        <v>110721500</v>
      </c>
      <c r="AN31" s="11">
        <v>110721500</v>
      </c>
      <c r="AO31" s="11">
        <v>0</v>
      </c>
      <c r="AP31" s="11">
        <v>110721500</v>
      </c>
      <c r="AQ31" s="11">
        <v>0</v>
      </c>
      <c r="AR31" s="11">
        <v>0</v>
      </c>
      <c r="AS31" t="s">
        <v>57</v>
      </c>
      <c r="AT31" s="4" t="str">
        <f>+H31</f>
        <v>Impuesto al consumo de vinos, aperitivos y similares - Componente Ad Valorem de Producción Nacional</v>
      </c>
      <c r="AU31" t="str">
        <f t="shared" si="5"/>
        <v>20Impuesto al consumo de vinos, aperitivos y similares - Componente Ad Valorem de Producción Nacional578511013,27</v>
      </c>
      <c r="AV31" t="str">
        <f>+_xlfn.XLOOKUP(AU31,CRUCE!L:L,CRUCE!M:M)</f>
        <v>READY</v>
      </c>
      <c r="AW31" t="s">
        <v>1907</v>
      </c>
    </row>
    <row r="32" spans="1:49" hidden="1" x14ac:dyDescent="0.3">
      <c r="A32">
        <v>2024</v>
      </c>
      <c r="B32">
        <v>307</v>
      </c>
      <c r="C32">
        <v>110102104020202</v>
      </c>
      <c r="D32" s="5">
        <v>145</v>
      </c>
      <c r="E32" s="8" t="s">
        <v>1540</v>
      </c>
      <c r="F32">
        <v>110102104020202</v>
      </c>
      <c r="G32" t="s">
        <v>1908</v>
      </c>
      <c r="H32" s="8" t="s">
        <v>1541</v>
      </c>
      <c r="I32" t="s">
        <v>47</v>
      </c>
      <c r="J32" s="17">
        <v>88781314.700000003</v>
      </c>
      <c r="K32" s="11">
        <v>88781314.700000003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88781314.700000003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6147063</v>
      </c>
      <c r="Y32" s="11">
        <v>0</v>
      </c>
      <c r="Z32" s="12">
        <v>6147063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6147063</v>
      </c>
      <c r="AH32" s="11">
        <v>0</v>
      </c>
      <c r="AI32" s="12">
        <v>6147063</v>
      </c>
      <c r="AJ32" s="11">
        <v>6147063</v>
      </c>
      <c r="AK32" s="11">
        <v>0</v>
      </c>
      <c r="AL32" s="11">
        <v>0</v>
      </c>
      <c r="AM32" s="11">
        <v>6147063</v>
      </c>
      <c r="AN32" s="11">
        <v>6147063</v>
      </c>
      <c r="AO32" s="11">
        <v>0</v>
      </c>
      <c r="AP32" s="11">
        <v>6147063</v>
      </c>
      <c r="AQ32" s="11">
        <v>0</v>
      </c>
      <c r="AR32" s="11">
        <v>0</v>
      </c>
      <c r="AS32" t="s">
        <v>84</v>
      </c>
      <c r="AT32" s="4" t="str">
        <f>+H32</f>
        <v>Impuesto al consumo de vinos, aperitivos y similares - Componente Ad Valorem de Producción Extranjer</v>
      </c>
      <c r="AU32" t="str">
        <f t="shared" si="5"/>
        <v>145Impuesto al consumo de vinos, aperitivos y similares - Componente Ad Valorem de Producción Extranjer88781314,7</v>
      </c>
      <c r="AV32" t="str">
        <f>+_xlfn.XLOOKUP(AU32,CRUCE!L:L,CRUCE!M:M)</f>
        <v>READY</v>
      </c>
      <c r="AW32" t="s">
        <v>1907</v>
      </c>
    </row>
    <row r="33" spans="1:49" x14ac:dyDescent="0.3">
      <c r="A33">
        <v>2024</v>
      </c>
      <c r="B33">
        <v>307</v>
      </c>
      <c r="C33">
        <v>110102104020202</v>
      </c>
      <c r="D33" s="5">
        <v>20</v>
      </c>
      <c r="E33" s="8" t="s">
        <v>1542</v>
      </c>
      <c r="F33">
        <v>110102104020202</v>
      </c>
      <c r="G33" t="s">
        <v>1908</v>
      </c>
      <c r="H33" s="8" t="s">
        <v>1541</v>
      </c>
      <c r="I33" t="s">
        <v>47</v>
      </c>
      <c r="J33" s="17">
        <v>1775623247.01</v>
      </c>
      <c r="K33" s="11">
        <v>1775623247.01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1775623247.01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118136632</v>
      </c>
      <c r="Y33" s="11">
        <v>0</v>
      </c>
      <c r="Z33" s="12">
        <v>118136632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118136632</v>
      </c>
      <c r="AH33" s="11">
        <v>0</v>
      </c>
      <c r="AI33" s="12">
        <v>118136632</v>
      </c>
      <c r="AJ33" s="11">
        <v>118136632</v>
      </c>
      <c r="AK33" s="11">
        <v>0</v>
      </c>
      <c r="AL33" s="11">
        <v>0</v>
      </c>
      <c r="AM33" s="11">
        <v>118136632</v>
      </c>
      <c r="AN33" s="11">
        <v>118136632</v>
      </c>
      <c r="AO33" s="11">
        <v>0</v>
      </c>
      <c r="AP33" s="11">
        <v>118136632</v>
      </c>
      <c r="AQ33" s="11">
        <v>0</v>
      </c>
      <c r="AR33" s="11">
        <v>0</v>
      </c>
      <c r="AS33" t="s">
        <v>57</v>
      </c>
      <c r="AT33" s="4" t="str">
        <f>+H33</f>
        <v>Impuesto al consumo de vinos, aperitivos y similares - Componente Ad Valorem de Producción Extranjer</v>
      </c>
      <c r="AU33" t="str">
        <f t="shared" si="5"/>
        <v>20Impuesto al consumo de vinos, aperitivos y similares - Componente Ad Valorem de Producción Extranjer1775623247,01</v>
      </c>
      <c r="AV33" t="str">
        <f>+_xlfn.XLOOKUP(AU33,CRUCE!L:L,CRUCE!M:M)</f>
        <v>READY</v>
      </c>
      <c r="AW33" t="s">
        <v>1907</v>
      </c>
    </row>
    <row r="34" spans="1:49" hidden="1" x14ac:dyDescent="0.3">
      <c r="A34">
        <v>2024</v>
      </c>
      <c r="B34">
        <v>307</v>
      </c>
      <c r="C34">
        <v>110102105</v>
      </c>
      <c r="D34" s="5" t="s">
        <v>44</v>
      </c>
      <c r="E34" s="8" t="s">
        <v>1543</v>
      </c>
      <c r="F34">
        <v>110102105</v>
      </c>
      <c r="H34" s="8" t="s">
        <v>100</v>
      </c>
      <c r="I34" t="s">
        <v>47</v>
      </c>
      <c r="J34" s="17">
        <v>21471736999.27</v>
      </c>
      <c r="K34" s="11">
        <v>21471736999.27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21471736999.27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2081126000</v>
      </c>
      <c r="Y34" s="11">
        <v>4609000</v>
      </c>
      <c r="Z34" s="12">
        <v>2076517000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2081126000</v>
      </c>
      <c r="AH34" s="11">
        <v>4609000</v>
      </c>
      <c r="AI34" s="12">
        <v>2076517000</v>
      </c>
      <c r="AJ34" s="11">
        <v>2076517000</v>
      </c>
      <c r="AK34" s="11">
        <v>0</v>
      </c>
      <c r="AL34" s="11">
        <v>0</v>
      </c>
      <c r="AM34" s="11">
        <v>2076517000</v>
      </c>
      <c r="AN34" s="11">
        <v>2081126000</v>
      </c>
      <c r="AO34" s="11">
        <v>4609000</v>
      </c>
      <c r="AP34" s="11">
        <v>2081126000</v>
      </c>
      <c r="AQ34" s="11">
        <v>0</v>
      </c>
      <c r="AR34" s="11">
        <v>4609000</v>
      </c>
      <c r="AS34" t="s">
        <v>48</v>
      </c>
      <c r="AT34"/>
    </row>
    <row r="35" spans="1:49" x14ac:dyDescent="0.3">
      <c r="A35">
        <v>2024</v>
      </c>
      <c r="B35">
        <v>307</v>
      </c>
      <c r="C35">
        <v>11010210501</v>
      </c>
      <c r="D35" s="5">
        <v>20</v>
      </c>
      <c r="E35" s="8" t="s">
        <v>1544</v>
      </c>
      <c r="F35">
        <v>11010210501</v>
      </c>
      <c r="G35" t="s">
        <v>1908</v>
      </c>
      <c r="H35" s="8" t="s">
        <v>102</v>
      </c>
      <c r="I35" t="s">
        <v>47</v>
      </c>
      <c r="J35" s="17">
        <v>21070215518.369999</v>
      </c>
      <c r="K35" s="11">
        <v>21070215518.369999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21070215518.369999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2071908000</v>
      </c>
      <c r="Y35" s="11">
        <v>0</v>
      </c>
      <c r="Z35" s="12">
        <v>2071908000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2071908000</v>
      </c>
      <c r="AH35" s="11">
        <v>0</v>
      </c>
      <c r="AI35" s="12">
        <v>2071908000</v>
      </c>
      <c r="AJ35" s="11">
        <v>2071908000</v>
      </c>
      <c r="AK35" s="11">
        <v>0</v>
      </c>
      <c r="AL35" s="11">
        <v>0</v>
      </c>
      <c r="AM35" s="11">
        <v>2071908000</v>
      </c>
      <c r="AN35" s="11">
        <v>2071908000</v>
      </c>
      <c r="AO35" s="11">
        <v>0</v>
      </c>
      <c r="AP35" s="11">
        <v>2071908000</v>
      </c>
      <c r="AQ35" s="11">
        <v>0</v>
      </c>
      <c r="AR35" s="11">
        <v>0</v>
      </c>
      <c r="AS35" t="s">
        <v>57</v>
      </c>
      <c r="AT35" s="4" t="str">
        <f t="shared" ref="AT35:AT36" si="6">+H35</f>
        <v>Impuesto al consumo de cervezas, sifones, refajos y mezclas - Nacionales</v>
      </c>
      <c r="AU35" t="str">
        <f t="shared" ref="AU35:AU36" si="7">+D35&amp;AT35&amp;J35</f>
        <v>20Impuesto al consumo de cervezas, sifones, refajos y mezclas - Nacionales21070215518,37</v>
      </c>
      <c r="AV35" t="str">
        <f>+_xlfn.XLOOKUP(AU35,CRUCE!L:L,CRUCE!M:M)</f>
        <v>READY</v>
      </c>
      <c r="AW35" t="s">
        <v>1907</v>
      </c>
    </row>
    <row r="36" spans="1:49" x14ac:dyDescent="0.3">
      <c r="A36">
        <v>2024</v>
      </c>
      <c r="B36">
        <v>307</v>
      </c>
      <c r="C36">
        <v>11010210502</v>
      </c>
      <c r="D36" s="5">
        <v>20</v>
      </c>
      <c r="E36" s="8" t="s">
        <v>1545</v>
      </c>
      <c r="F36">
        <v>11010210502</v>
      </c>
      <c r="G36" t="s">
        <v>1908</v>
      </c>
      <c r="H36" s="8" t="s">
        <v>104</v>
      </c>
      <c r="I36" t="s">
        <v>47</v>
      </c>
      <c r="J36" s="17">
        <v>401521480.89999998</v>
      </c>
      <c r="K36" s="11">
        <v>401521480.89999998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401521480.89999998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9218000</v>
      </c>
      <c r="Y36" s="11">
        <v>4609000</v>
      </c>
      <c r="Z36" s="12">
        <v>4609000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9218000</v>
      </c>
      <c r="AH36" s="11">
        <v>4609000</v>
      </c>
      <c r="AI36" s="12">
        <v>4609000</v>
      </c>
      <c r="AJ36" s="11">
        <v>4609000</v>
      </c>
      <c r="AK36" s="11">
        <v>0</v>
      </c>
      <c r="AL36" s="11">
        <v>0</v>
      </c>
      <c r="AM36" s="11">
        <v>4609000</v>
      </c>
      <c r="AN36" s="11">
        <v>9218000</v>
      </c>
      <c r="AO36" s="11">
        <v>4609000</v>
      </c>
      <c r="AP36" s="11">
        <v>9218000</v>
      </c>
      <c r="AQ36" s="11">
        <v>0</v>
      </c>
      <c r="AR36" s="11">
        <v>4609000</v>
      </c>
      <c r="AS36" t="s">
        <v>57</v>
      </c>
      <c r="AT36" s="4" t="str">
        <f t="shared" si="6"/>
        <v>Impuesto al consumo de cervezas, sifones, refajos y mezclas - Extranjeras</v>
      </c>
      <c r="AU36" t="str">
        <f t="shared" si="7"/>
        <v>20Impuesto al consumo de cervezas, sifones, refajos y mezclas - Extranjeras401521480,9</v>
      </c>
      <c r="AV36" t="str">
        <f>+_xlfn.XLOOKUP(AU36,CRUCE!L:L,CRUCE!M:M)</f>
        <v>READY</v>
      </c>
      <c r="AW36" t="s">
        <v>1907</v>
      </c>
    </row>
    <row r="37" spans="1:49" hidden="1" x14ac:dyDescent="0.3">
      <c r="A37">
        <v>2024</v>
      </c>
      <c r="B37">
        <v>307</v>
      </c>
      <c r="C37">
        <v>110102106</v>
      </c>
      <c r="D37" s="5" t="s">
        <v>44</v>
      </c>
      <c r="E37" s="8" t="s">
        <v>1546</v>
      </c>
      <c r="F37">
        <v>110102106</v>
      </c>
      <c r="H37" s="8" t="s">
        <v>106</v>
      </c>
      <c r="I37" t="s">
        <v>47</v>
      </c>
      <c r="J37" s="17">
        <v>14173023000</v>
      </c>
      <c r="K37" s="11">
        <v>14173023000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14173023000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939790528</v>
      </c>
      <c r="Y37" s="11">
        <v>0</v>
      </c>
      <c r="Z37" s="12">
        <v>939790528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939790528</v>
      </c>
      <c r="AH37" s="11">
        <v>0</v>
      </c>
      <c r="AI37" s="12">
        <v>939790528</v>
      </c>
      <c r="AJ37" s="11">
        <v>939790528</v>
      </c>
      <c r="AK37" s="11">
        <v>0</v>
      </c>
      <c r="AL37" s="11">
        <v>0</v>
      </c>
      <c r="AM37" s="11">
        <v>939790528</v>
      </c>
      <c r="AN37" s="11">
        <v>939790528</v>
      </c>
      <c r="AO37" s="11">
        <v>0</v>
      </c>
      <c r="AP37" s="11">
        <v>939790528</v>
      </c>
      <c r="AQ37" s="11">
        <v>0</v>
      </c>
      <c r="AR37" s="11">
        <v>0</v>
      </c>
      <c r="AS37" t="s">
        <v>48</v>
      </c>
      <c r="AT37"/>
    </row>
    <row r="38" spans="1:49" hidden="1" x14ac:dyDescent="0.3">
      <c r="A38">
        <v>2024</v>
      </c>
      <c r="B38">
        <v>307</v>
      </c>
      <c r="C38">
        <v>11010210601</v>
      </c>
      <c r="D38" s="5" t="s">
        <v>44</v>
      </c>
      <c r="E38" s="8" t="s">
        <v>1547</v>
      </c>
      <c r="F38">
        <v>11010210601</v>
      </c>
      <c r="H38" s="8" t="s">
        <v>108</v>
      </c>
      <c r="I38" t="s">
        <v>47</v>
      </c>
      <c r="J38" s="17">
        <v>14173023000</v>
      </c>
      <c r="K38" s="11">
        <v>14173023000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14173023000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939790528</v>
      </c>
      <c r="Y38" s="11">
        <v>0</v>
      </c>
      <c r="Z38" s="12">
        <v>939790528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939790528</v>
      </c>
      <c r="AH38" s="11">
        <v>0</v>
      </c>
      <c r="AI38" s="12">
        <v>939790528</v>
      </c>
      <c r="AJ38" s="11">
        <v>939790528</v>
      </c>
      <c r="AK38" s="11">
        <v>0</v>
      </c>
      <c r="AL38" s="11">
        <v>0</v>
      </c>
      <c r="AM38" s="11">
        <v>939790528</v>
      </c>
      <c r="AN38" s="11">
        <v>939790528</v>
      </c>
      <c r="AO38" s="11">
        <v>0</v>
      </c>
      <c r="AP38" s="11">
        <v>939790528</v>
      </c>
      <c r="AQ38" s="11">
        <v>0</v>
      </c>
      <c r="AR38" s="11">
        <v>0</v>
      </c>
      <c r="AS38" t="s">
        <v>48</v>
      </c>
      <c r="AT38"/>
    </row>
    <row r="39" spans="1:49" x14ac:dyDescent="0.3">
      <c r="A39">
        <v>2024</v>
      </c>
      <c r="B39">
        <v>307</v>
      </c>
      <c r="C39">
        <v>1101021060102</v>
      </c>
      <c r="D39" s="5">
        <v>20</v>
      </c>
      <c r="E39" s="8" t="s">
        <v>1548</v>
      </c>
      <c r="F39">
        <v>1101021060102</v>
      </c>
      <c r="G39" t="s">
        <v>1908</v>
      </c>
      <c r="H39" s="8" t="s">
        <v>110</v>
      </c>
      <c r="I39" t="s">
        <v>47</v>
      </c>
      <c r="J39" s="17">
        <v>14173023000</v>
      </c>
      <c r="K39" s="11">
        <v>14173023000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14173023000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939790528</v>
      </c>
      <c r="Y39" s="11">
        <v>0</v>
      </c>
      <c r="Z39" s="12">
        <v>939790528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939790528</v>
      </c>
      <c r="AH39" s="11">
        <v>0</v>
      </c>
      <c r="AI39" s="12">
        <v>939790528</v>
      </c>
      <c r="AJ39" s="11">
        <v>939790528</v>
      </c>
      <c r="AK39" s="11">
        <v>0</v>
      </c>
      <c r="AL39" s="11">
        <v>0</v>
      </c>
      <c r="AM39" s="11">
        <v>939790528</v>
      </c>
      <c r="AN39" s="11">
        <v>939790528</v>
      </c>
      <c r="AO39" s="11">
        <v>0</v>
      </c>
      <c r="AP39" s="11">
        <v>939790528</v>
      </c>
      <c r="AQ39" s="11">
        <v>0</v>
      </c>
      <c r="AR39" s="11">
        <v>0</v>
      </c>
      <c r="AS39" t="s">
        <v>57</v>
      </c>
      <c r="AT39" s="4" t="str">
        <f t="shared" ref="AT39:AT41" si="8">+H39</f>
        <v>Componente específico del impuesto al consumo de cigarrillos y tabaco - Extranjeros</v>
      </c>
      <c r="AU39" t="str">
        <f t="shared" ref="AU39:AU41" si="9">+D39&amp;AT39&amp;J39</f>
        <v>20Componente específico del impuesto al consumo de cigarrillos y tabaco - Extranjeros14173023000</v>
      </c>
      <c r="AV39" t="str">
        <f>+_xlfn.XLOOKUP(AU39,CRUCE!L:L,CRUCE!M:M)</f>
        <v>READY</v>
      </c>
      <c r="AW39" t="s">
        <v>1907</v>
      </c>
    </row>
    <row r="40" spans="1:49" x14ac:dyDescent="0.3">
      <c r="A40">
        <v>2024</v>
      </c>
      <c r="B40">
        <v>307</v>
      </c>
      <c r="C40">
        <v>110102109</v>
      </c>
      <c r="D40" s="5">
        <v>20</v>
      </c>
      <c r="E40" s="8" t="s">
        <v>1549</v>
      </c>
      <c r="F40">
        <v>110102109</v>
      </c>
      <c r="G40" t="s">
        <v>1908</v>
      </c>
      <c r="H40" s="8" t="s">
        <v>112</v>
      </c>
      <c r="I40" t="s">
        <v>47</v>
      </c>
      <c r="J40" s="17">
        <v>11867811000</v>
      </c>
      <c r="K40" s="11">
        <v>11867811000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11867811000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901461650</v>
      </c>
      <c r="Y40" s="11">
        <v>0</v>
      </c>
      <c r="Z40" s="12">
        <v>901461650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901461650</v>
      </c>
      <c r="AH40" s="11">
        <v>0</v>
      </c>
      <c r="AI40" s="12">
        <v>901461650</v>
      </c>
      <c r="AJ40" s="11">
        <v>901461650</v>
      </c>
      <c r="AK40" s="11">
        <v>0</v>
      </c>
      <c r="AL40" s="11">
        <v>0</v>
      </c>
      <c r="AM40" s="11">
        <v>901461650</v>
      </c>
      <c r="AN40" s="11">
        <v>901461650</v>
      </c>
      <c r="AO40" s="11">
        <v>0</v>
      </c>
      <c r="AP40" s="11">
        <v>901461650</v>
      </c>
      <c r="AQ40" s="11">
        <v>0</v>
      </c>
      <c r="AR40" s="11">
        <v>0</v>
      </c>
      <c r="AS40" t="s">
        <v>57</v>
      </c>
      <c r="AT40" s="4" t="str">
        <f t="shared" si="8"/>
        <v xml:space="preserve">Sobretasa a la gasolina </v>
      </c>
      <c r="AU40" t="str">
        <f t="shared" si="9"/>
        <v>20Sobretasa a la gasolina 11867811000</v>
      </c>
      <c r="AV40" t="str">
        <f>+_xlfn.XLOOKUP(AU40,CRUCE!L:L,CRUCE!M:M)</f>
        <v>READY</v>
      </c>
      <c r="AW40" t="s">
        <v>1907</v>
      </c>
    </row>
    <row r="41" spans="1:49" hidden="1" x14ac:dyDescent="0.3">
      <c r="A41">
        <v>2024</v>
      </c>
      <c r="B41">
        <v>307</v>
      </c>
      <c r="C41">
        <v>110102218</v>
      </c>
      <c r="D41" s="5">
        <v>190</v>
      </c>
      <c r="E41" s="8" t="s">
        <v>1550</v>
      </c>
      <c r="F41">
        <v>110102218</v>
      </c>
      <c r="G41" t="s">
        <v>1908</v>
      </c>
      <c r="H41" s="8" t="s">
        <v>1318</v>
      </c>
      <c r="I41" t="s">
        <v>47</v>
      </c>
      <c r="J41" s="17">
        <v>2082326000</v>
      </c>
      <c r="K41" s="11">
        <v>2082326000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2082326000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1245968415</v>
      </c>
      <c r="Y41" s="11">
        <v>0</v>
      </c>
      <c r="Z41" s="12">
        <v>1245968415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1245968415</v>
      </c>
      <c r="AH41" s="11">
        <v>0</v>
      </c>
      <c r="AI41" s="12">
        <v>1245968415</v>
      </c>
      <c r="AJ41" s="11">
        <v>1245968415</v>
      </c>
      <c r="AK41" s="11">
        <v>0</v>
      </c>
      <c r="AL41" s="11">
        <v>0</v>
      </c>
      <c r="AM41" s="11">
        <v>1245968415</v>
      </c>
      <c r="AN41" s="11">
        <v>1245968415</v>
      </c>
      <c r="AO41" s="11">
        <v>0</v>
      </c>
      <c r="AP41" s="11">
        <v>1245968415</v>
      </c>
      <c r="AQ41" s="11">
        <v>0</v>
      </c>
      <c r="AR41" s="11">
        <v>0</v>
      </c>
      <c r="AS41" t="s">
        <v>182</v>
      </c>
      <c r="AT41" s="4" t="str">
        <f t="shared" si="8"/>
        <v>Tasa prodeporte y recreación</v>
      </c>
      <c r="AU41" t="str">
        <f t="shared" si="9"/>
        <v>190Tasa prodeporte y recreación2082326000</v>
      </c>
      <c r="AV41" t="str">
        <f>+_xlfn.XLOOKUP(AU41,CRUCE!L:L,CRUCE!M:M)</f>
        <v>READY</v>
      </c>
      <c r="AW41" t="s">
        <v>1907</v>
      </c>
    </row>
    <row r="42" spans="1:49" hidden="1" x14ac:dyDescent="0.3">
      <c r="A42">
        <v>2024</v>
      </c>
      <c r="B42">
        <v>307</v>
      </c>
      <c r="C42">
        <v>110102300</v>
      </c>
      <c r="D42" s="5" t="s">
        <v>44</v>
      </c>
      <c r="E42" s="8" t="s">
        <v>1551</v>
      </c>
      <c r="F42">
        <v>110102300</v>
      </c>
      <c r="H42" s="8" t="s">
        <v>117</v>
      </c>
      <c r="I42" t="s">
        <v>47</v>
      </c>
      <c r="J42" s="17">
        <v>38210372600</v>
      </c>
      <c r="K42" s="11">
        <v>38210372600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38210372600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9793585509</v>
      </c>
      <c r="Y42" s="11">
        <v>604871609</v>
      </c>
      <c r="Z42" s="12">
        <v>9188713900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9793585509</v>
      </c>
      <c r="AH42" s="11">
        <v>604871609</v>
      </c>
      <c r="AI42" s="12">
        <v>9188713900</v>
      </c>
      <c r="AJ42" s="11">
        <v>9188713900</v>
      </c>
      <c r="AK42" s="11">
        <v>0</v>
      </c>
      <c r="AL42" s="11">
        <v>0</v>
      </c>
      <c r="AM42" s="11">
        <v>9188713900</v>
      </c>
      <c r="AN42" s="11">
        <v>9793585509</v>
      </c>
      <c r="AO42" s="11">
        <v>604871609</v>
      </c>
      <c r="AP42" s="11">
        <v>9793585509</v>
      </c>
      <c r="AQ42" s="11">
        <v>0</v>
      </c>
      <c r="AR42" s="11">
        <v>604871609</v>
      </c>
      <c r="AS42" t="s">
        <v>48</v>
      </c>
      <c r="AT42"/>
    </row>
    <row r="43" spans="1:49" hidden="1" x14ac:dyDescent="0.3">
      <c r="A43">
        <v>2024</v>
      </c>
      <c r="B43">
        <v>307</v>
      </c>
      <c r="C43">
        <v>11010230001</v>
      </c>
      <c r="D43" s="5" t="s">
        <v>44</v>
      </c>
      <c r="E43" s="8" t="s">
        <v>1552</v>
      </c>
      <c r="F43">
        <v>11010230001</v>
      </c>
      <c r="H43" s="8" t="s">
        <v>119</v>
      </c>
      <c r="I43" t="s">
        <v>47</v>
      </c>
      <c r="J43" s="17">
        <v>7497622600</v>
      </c>
      <c r="K43" s="11">
        <v>7497622600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7497622600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2259955900</v>
      </c>
      <c r="Y43" s="11">
        <v>220300200</v>
      </c>
      <c r="Z43" s="12">
        <v>2039655700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2259955900</v>
      </c>
      <c r="AH43" s="11">
        <v>220300200</v>
      </c>
      <c r="AI43" s="12">
        <v>2039655700</v>
      </c>
      <c r="AJ43" s="11">
        <v>2039655700</v>
      </c>
      <c r="AK43" s="11">
        <v>0</v>
      </c>
      <c r="AL43" s="11">
        <v>0</v>
      </c>
      <c r="AM43" s="11">
        <v>2039655700</v>
      </c>
      <c r="AN43" s="11">
        <v>2259955900</v>
      </c>
      <c r="AO43" s="11">
        <v>220300200</v>
      </c>
      <c r="AP43" s="11">
        <v>2259955900</v>
      </c>
      <c r="AQ43" s="11">
        <v>0</v>
      </c>
      <c r="AR43" s="11">
        <v>220300200</v>
      </c>
      <c r="AS43" t="s">
        <v>48</v>
      </c>
      <c r="AT43"/>
    </row>
    <row r="44" spans="1:49" hidden="1" x14ac:dyDescent="0.3">
      <c r="A44">
        <v>2024</v>
      </c>
      <c r="B44">
        <v>307</v>
      </c>
      <c r="C44">
        <v>1101023000101</v>
      </c>
      <c r="D44" s="5">
        <v>6</v>
      </c>
      <c r="E44" s="8" t="s">
        <v>1553</v>
      </c>
      <c r="F44">
        <v>1101023000101</v>
      </c>
      <c r="G44" t="s">
        <v>1908</v>
      </c>
      <c r="H44" s="8" t="s">
        <v>1050</v>
      </c>
      <c r="I44" t="s">
        <v>47</v>
      </c>
      <c r="J44" s="17">
        <v>5998098000</v>
      </c>
      <c r="K44" s="11">
        <v>5998098000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5998098000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1807964720</v>
      </c>
      <c r="Y44" s="11">
        <v>176240160</v>
      </c>
      <c r="Z44" s="12">
        <v>1631724560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1807964720</v>
      </c>
      <c r="AH44" s="11">
        <v>176240160</v>
      </c>
      <c r="AI44" s="12">
        <v>1631724560</v>
      </c>
      <c r="AJ44" s="11">
        <v>1631724560</v>
      </c>
      <c r="AK44" s="11">
        <v>0</v>
      </c>
      <c r="AL44" s="11">
        <v>0</v>
      </c>
      <c r="AM44" s="11">
        <v>1631724560</v>
      </c>
      <c r="AN44" s="11">
        <v>1807964720</v>
      </c>
      <c r="AO44" s="11">
        <v>176240160</v>
      </c>
      <c r="AP44" s="11">
        <v>1807964720</v>
      </c>
      <c r="AQ44" s="11">
        <v>0</v>
      </c>
      <c r="AR44" s="11">
        <v>176240160</v>
      </c>
      <c r="AS44" t="s">
        <v>120</v>
      </c>
      <c r="AT44" s="4" t="str">
        <f t="shared" ref="AT44:AT45" si="10">+H44</f>
        <v>Estampilla para el bienestar del adulto mayor (80% Inversion)</v>
      </c>
      <c r="AU44" t="str">
        <f t="shared" ref="AU44:AU45" si="11">+D44&amp;AT44&amp;J44</f>
        <v>6Estampilla para el bienestar del adulto mayor (80% Inversion)5998098000</v>
      </c>
      <c r="AV44" t="str">
        <f>+_xlfn.XLOOKUP(AU44,CRUCE!L:L,CRUCE!M:M)</f>
        <v>READY</v>
      </c>
      <c r="AW44" t="s">
        <v>1907</v>
      </c>
    </row>
    <row r="45" spans="1:49" hidden="1" x14ac:dyDescent="0.3">
      <c r="A45">
        <v>2024</v>
      </c>
      <c r="B45">
        <v>307</v>
      </c>
      <c r="C45">
        <v>1101023000102</v>
      </c>
      <c r="D45" s="5">
        <v>178</v>
      </c>
      <c r="E45" s="8" t="s">
        <v>1554</v>
      </c>
      <c r="F45">
        <v>1101023000102</v>
      </c>
      <c r="G45" t="s">
        <v>1908</v>
      </c>
      <c r="H45" s="8" t="s">
        <v>1052</v>
      </c>
      <c r="I45" t="s">
        <v>47</v>
      </c>
      <c r="J45" s="17">
        <v>1499524600</v>
      </c>
      <c r="K45" s="11">
        <v>1499524600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1499524600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451991180</v>
      </c>
      <c r="Y45" s="11">
        <v>44060040</v>
      </c>
      <c r="Z45" s="12">
        <v>407931140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451991180</v>
      </c>
      <c r="AH45" s="11">
        <v>44060040</v>
      </c>
      <c r="AI45" s="12">
        <v>407931140</v>
      </c>
      <c r="AJ45" s="11">
        <v>407931140</v>
      </c>
      <c r="AK45" s="11">
        <v>0</v>
      </c>
      <c r="AL45" s="11">
        <v>0</v>
      </c>
      <c r="AM45" s="11">
        <v>407931140</v>
      </c>
      <c r="AN45" s="11">
        <v>451991180</v>
      </c>
      <c r="AO45" s="11">
        <v>44060040</v>
      </c>
      <c r="AP45" s="11">
        <v>451991180</v>
      </c>
      <c r="AQ45" s="11">
        <v>0</v>
      </c>
      <c r="AR45" s="11">
        <v>44060040</v>
      </c>
      <c r="AS45" t="s">
        <v>122</v>
      </c>
      <c r="AT45" s="4" t="str">
        <f t="shared" si="10"/>
        <v>Estampilla para el bienestar del adulto mayor (20% Pensiones)</v>
      </c>
      <c r="AU45" t="str">
        <f t="shared" si="11"/>
        <v>178Estampilla para el bienestar del adulto mayor (20% Pensiones)1499524600</v>
      </c>
      <c r="AV45" t="str">
        <f>+_xlfn.XLOOKUP(AU45,CRUCE!L:L,CRUCE!M:M)</f>
        <v>READY</v>
      </c>
      <c r="AW45" t="s">
        <v>1907</v>
      </c>
    </row>
    <row r="46" spans="1:49" hidden="1" x14ac:dyDescent="0.3">
      <c r="A46">
        <v>2024</v>
      </c>
      <c r="B46">
        <v>307</v>
      </c>
      <c r="C46">
        <v>11010230002</v>
      </c>
      <c r="D46" s="5" t="s">
        <v>44</v>
      </c>
      <c r="E46" s="8" t="s">
        <v>1555</v>
      </c>
      <c r="F46">
        <v>11010230002</v>
      </c>
      <c r="H46" s="8" t="s">
        <v>124</v>
      </c>
      <c r="I46" t="s">
        <v>47</v>
      </c>
      <c r="J46" s="17">
        <v>15039446000</v>
      </c>
      <c r="K46" s="11">
        <v>15039446000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15039446000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2446756900</v>
      </c>
      <c r="Y46" s="11">
        <v>145857000</v>
      </c>
      <c r="Z46" s="12">
        <v>2300899900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2446756900</v>
      </c>
      <c r="AH46" s="11">
        <v>145857000</v>
      </c>
      <c r="AI46" s="12">
        <v>2300899900</v>
      </c>
      <c r="AJ46" s="11">
        <v>2300899900</v>
      </c>
      <c r="AK46" s="11">
        <v>0</v>
      </c>
      <c r="AL46" s="11">
        <v>0</v>
      </c>
      <c r="AM46" s="11">
        <v>2300899900</v>
      </c>
      <c r="AN46" s="11">
        <v>2446756900</v>
      </c>
      <c r="AO46" s="11">
        <v>145857000</v>
      </c>
      <c r="AP46" s="11">
        <v>2446756900</v>
      </c>
      <c r="AQ46" s="11">
        <v>0</v>
      </c>
      <c r="AR46" s="11">
        <v>145857000</v>
      </c>
      <c r="AS46" t="s">
        <v>48</v>
      </c>
      <c r="AT46"/>
    </row>
    <row r="47" spans="1:49" hidden="1" x14ac:dyDescent="0.3">
      <c r="A47">
        <v>2024</v>
      </c>
      <c r="B47">
        <v>307</v>
      </c>
      <c r="C47">
        <v>1101023000201</v>
      </c>
      <c r="D47" s="5">
        <v>4</v>
      </c>
      <c r="E47" s="8" t="s">
        <v>1556</v>
      </c>
      <c r="F47">
        <v>1101023000201</v>
      </c>
      <c r="G47" t="s">
        <v>1908</v>
      </c>
      <c r="H47" s="8" t="s">
        <v>1055</v>
      </c>
      <c r="I47" t="s">
        <v>47</v>
      </c>
      <c r="J47" s="17">
        <v>7519723000</v>
      </c>
      <c r="K47" s="11">
        <v>7519723000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7519723000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1223378450</v>
      </c>
      <c r="Y47" s="11">
        <v>72928500</v>
      </c>
      <c r="Z47" s="12">
        <v>1150449950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1223378450</v>
      </c>
      <c r="AH47" s="11">
        <v>72928500</v>
      </c>
      <c r="AI47" s="12">
        <v>1150449950</v>
      </c>
      <c r="AJ47" s="11">
        <v>1150449950</v>
      </c>
      <c r="AK47" s="11">
        <v>0</v>
      </c>
      <c r="AL47" s="11">
        <v>0</v>
      </c>
      <c r="AM47" s="11">
        <v>1150449950</v>
      </c>
      <c r="AN47" s="11">
        <v>1223378450</v>
      </c>
      <c r="AO47" s="11">
        <v>72928500</v>
      </c>
      <c r="AP47" s="11">
        <v>1223378450</v>
      </c>
      <c r="AQ47" s="11">
        <v>0</v>
      </c>
      <c r="AR47" s="11">
        <v>72928500</v>
      </c>
      <c r="AS47" t="s">
        <v>125</v>
      </c>
      <c r="AT47" s="4" t="str">
        <f t="shared" ref="AT47:AT50" si="12">+H47</f>
        <v>Estampilla pro desarrollo departamental (50% inversion)</v>
      </c>
      <c r="AU47" t="str">
        <f t="shared" ref="AU47:AU50" si="13">+D47&amp;AT47&amp;J47</f>
        <v>4Estampilla pro desarrollo departamental (50% inversion)7519723000</v>
      </c>
      <c r="AV47" t="str">
        <f>+_xlfn.XLOOKUP(AU47,CRUCE!L:L,CRUCE!M:M)</f>
        <v>READY</v>
      </c>
      <c r="AW47" t="s">
        <v>1907</v>
      </c>
    </row>
    <row r="48" spans="1:49" hidden="1" x14ac:dyDescent="0.3">
      <c r="A48">
        <v>2024</v>
      </c>
      <c r="B48">
        <v>307</v>
      </c>
      <c r="C48">
        <v>1101023000202</v>
      </c>
      <c r="D48" s="5">
        <v>176</v>
      </c>
      <c r="E48" s="8" t="s">
        <v>1557</v>
      </c>
      <c r="F48">
        <v>1101023000202</v>
      </c>
      <c r="G48" t="s">
        <v>1908</v>
      </c>
      <c r="H48" s="8" t="s">
        <v>1057</v>
      </c>
      <c r="I48" t="s">
        <v>47</v>
      </c>
      <c r="J48" s="17">
        <v>3010114000</v>
      </c>
      <c r="K48" s="11">
        <v>3010114000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3010114000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489754360</v>
      </c>
      <c r="Y48" s="11">
        <v>29171400</v>
      </c>
      <c r="Z48" s="12">
        <v>460582960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489754360</v>
      </c>
      <c r="AH48" s="11">
        <v>29171400</v>
      </c>
      <c r="AI48" s="12">
        <v>460582960</v>
      </c>
      <c r="AJ48" s="11">
        <v>460582960</v>
      </c>
      <c r="AK48" s="11">
        <v>0</v>
      </c>
      <c r="AL48" s="11">
        <v>0</v>
      </c>
      <c r="AM48" s="11">
        <v>460582960</v>
      </c>
      <c r="AN48" s="11">
        <v>489754360</v>
      </c>
      <c r="AO48" s="11">
        <v>29171400</v>
      </c>
      <c r="AP48" s="11">
        <v>489754360</v>
      </c>
      <c r="AQ48" s="11">
        <v>0</v>
      </c>
      <c r="AR48" s="11">
        <v>29171400</v>
      </c>
      <c r="AS48" t="s">
        <v>127</v>
      </c>
      <c r="AT48" s="4" t="str">
        <f t="shared" si="12"/>
        <v>Estampilla pro desarrollo departamental (20% Pension)</v>
      </c>
      <c r="AU48" t="str">
        <f t="shared" si="13"/>
        <v>176Estampilla pro desarrollo departamental (20% Pension)3010114000</v>
      </c>
      <c r="AV48" t="e">
        <f>+_xlfn.XLOOKUP(AU48,CRUCE!L:L,CRUCE!M:M)</f>
        <v>#N/A</v>
      </c>
      <c r="AW48" t="s">
        <v>1907</v>
      </c>
    </row>
    <row r="49" spans="1:49" hidden="1" x14ac:dyDescent="0.3">
      <c r="A49">
        <v>2024</v>
      </c>
      <c r="B49">
        <v>307</v>
      </c>
      <c r="C49">
        <v>1101023000203</v>
      </c>
      <c r="D49" s="5">
        <v>177</v>
      </c>
      <c r="E49" s="8" t="s">
        <v>1558</v>
      </c>
      <c r="F49">
        <v>1101023000203</v>
      </c>
      <c r="G49" t="s">
        <v>1908</v>
      </c>
      <c r="H49" s="8" t="s">
        <v>1059</v>
      </c>
      <c r="I49" t="s">
        <v>47</v>
      </c>
      <c r="J49" s="17">
        <v>4509609000</v>
      </c>
      <c r="K49" s="11">
        <v>4509609000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4509609000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733624090</v>
      </c>
      <c r="Y49" s="11">
        <v>43757100</v>
      </c>
      <c r="Z49" s="12">
        <v>689866990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733624090</v>
      </c>
      <c r="AH49" s="11">
        <v>43757100</v>
      </c>
      <c r="AI49" s="12">
        <v>689866990</v>
      </c>
      <c r="AJ49" s="11">
        <v>689866990</v>
      </c>
      <c r="AK49" s="11">
        <v>0</v>
      </c>
      <c r="AL49" s="11">
        <v>0</v>
      </c>
      <c r="AM49" s="11">
        <v>689866990</v>
      </c>
      <c r="AN49" s="11">
        <v>733624090</v>
      </c>
      <c r="AO49" s="11">
        <v>43757100</v>
      </c>
      <c r="AP49" s="11">
        <v>733624090</v>
      </c>
      <c r="AQ49" s="11">
        <v>0</v>
      </c>
      <c r="AR49" s="11">
        <v>43757100</v>
      </c>
      <c r="AS49" t="s">
        <v>1559</v>
      </c>
      <c r="AT49" s="4" t="str">
        <f t="shared" si="12"/>
        <v>Estampilla pro desarrollo departamental (30% Proyecta)</v>
      </c>
      <c r="AU49" t="str">
        <f t="shared" si="13"/>
        <v>177Estampilla pro desarrollo departamental (30% Proyecta)4509609000</v>
      </c>
      <c r="AV49" t="e">
        <f>+_xlfn.XLOOKUP(AU49,CRUCE!L:L,CRUCE!M:M)</f>
        <v>#N/A</v>
      </c>
      <c r="AW49" t="s">
        <v>1907</v>
      </c>
    </row>
    <row r="50" spans="1:49" hidden="1" x14ac:dyDescent="0.3">
      <c r="A50">
        <v>2024</v>
      </c>
      <c r="B50">
        <v>307</v>
      </c>
      <c r="C50">
        <v>11010230045</v>
      </c>
      <c r="D50" s="5">
        <v>8</v>
      </c>
      <c r="E50" s="8" t="s">
        <v>1560</v>
      </c>
      <c r="F50">
        <v>11010230045</v>
      </c>
      <c r="G50" t="s">
        <v>1908</v>
      </c>
      <c r="H50" s="8" t="s">
        <v>131</v>
      </c>
      <c r="I50" t="s">
        <v>47</v>
      </c>
      <c r="J50" s="17">
        <v>12506483000</v>
      </c>
      <c r="K50" s="11">
        <v>12506483000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12506483000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4395243409</v>
      </c>
      <c r="Y50" s="11">
        <v>167394409</v>
      </c>
      <c r="Z50" s="12">
        <v>4227849000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4395243409</v>
      </c>
      <c r="AH50" s="11">
        <v>167394409</v>
      </c>
      <c r="AI50" s="12">
        <v>4227849000</v>
      </c>
      <c r="AJ50" s="11">
        <v>4227849000</v>
      </c>
      <c r="AK50" s="11">
        <v>0</v>
      </c>
      <c r="AL50" s="11">
        <v>0</v>
      </c>
      <c r="AM50" s="11">
        <v>4227849000</v>
      </c>
      <c r="AN50" s="11">
        <v>4395243409</v>
      </c>
      <c r="AO50" s="11">
        <v>167394409</v>
      </c>
      <c r="AP50" s="11">
        <v>4395243409</v>
      </c>
      <c r="AQ50" s="11">
        <v>0</v>
      </c>
      <c r="AR50" s="11">
        <v>167394409</v>
      </c>
      <c r="AS50" t="s">
        <v>132</v>
      </c>
      <c r="AT50" s="4" t="str">
        <f t="shared" si="12"/>
        <v>Estampilla pro Hospital Departamental Universitario del Quindío San Juan de Dios</v>
      </c>
      <c r="AU50" t="str">
        <f t="shared" si="13"/>
        <v>8Estampilla pro Hospital Departamental Universitario del Quindío San Juan de Dios12506483000</v>
      </c>
      <c r="AV50" t="str">
        <f>+_xlfn.XLOOKUP(AU50,CRUCE!L:L,CRUCE!M:M)</f>
        <v>READY</v>
      </c>
      <c r="AW50" t="s">
        <v>1907</v>
      </c>
    </row>
    <row r="51" spans="1:49" hidden="1" x14ac:dyDescent="0.3">
      <c r="A51">
        <v>2024</v>
      </c>
      <c r="B51">
        <v>307</v>
      </c>
      <c r="C51">
        <v>11010230055</v>
      </c>
      <c r="D51" s="5" t="s">
        <v>44</v>
      </c>
      <c r="E51" s="8" t="s">
        <v>1561</v>
      </c>
      <c r="F51">
        <v>11010230055</v>
      </c>
      <c r="H51" s="8" t="s">
        <v>134</v>
      </c>
      <c r="I51" t="s">
        <v>47</v>
      </c>
      <c r="J51" s="17">
        <v>3166821000</v>
      </c>
      <c r="K51" s="11">
        <v>3166821000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3166821000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691629300</v>
      </c>
      <c r="Y51" s="11">
        <v>71320000</v>
      </c>
      <c r="Z51" s="12">
        <v>620309300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691629300</v>
      </c>
      <c r="AH51" s="11">
        <v>71320000</v>
      </c>
      <c r="AI51" s="12">
        <v>620309300</v>
      </c>
      <c r="AJ51" s="11">
        <v>620309300</v>
      </c>
      <c r="AK51" s="11">
        <v>0</v>
      </c>
      <c r="AL51" s="11">
        <v>0</v>
      </c>
      <c r="AM51" s="11">
        <v>620309300</v>
      </c>
      <c r="AN51" s="11">
        <v>691629300</v>
      </c>
      <c r="AO51" s="11">
        <v>71320000</v>
      </c>
      <c r="AP51" s="11">
        <v>691629300</v>
      </c>
      <c r="AQ51" s="11">
        <v>0</v>
      </c>
      <c r="AR51" s="11">
        <v>71320000</v>
      </c>
      <c r="AS51" t="s">
        <v>48</v>
      </c>
      <c r="AT51"/>
    </row>
    <row r="52" spans="1:49" hidden="1" x14ac:dyDescent="0.3">
      <c r="A52">
        <v>2024</v>
      </c>
      <c r="B52">
        <v>307</v>
      </c>
      <c r="C52">
        <v>1101023005501</v>
      </c>
      <c r="D52" s="5">
        <v>5</v>
      </c>
      <c r="E52" s="8" t="s">
        <v>1562</v>
      </c>
      <c r="F52">
        <v>1101023005501</v>
      </c>
      <c r="G52" t="s">
        <v>1908</v>
      </c>
      <c r="H52" s="8" t="s">
        <v>1062</v>
      </c>
      <c r="I52" t="s">
        <v>47</v>
      </c>
      <c r="J52" s="17">
        <v>633364000</v>
      </c>
      <c r="K52" s="11">
        <v>633364000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633364000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138325860</v>
      </c>
      <c r="Y52" s="11">
        <v>14264000</v>
      </c>
      <c r="Z52" s="12">
        <v>124061860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138325860</v>
      </c>
      <c r="AH52" s="11">
        <v>14264000</v>
      </c>
      <c r="AI52" s="12">
        <v>124061860</v>
      </c>
      <c r="AJ52" s="11">
        <v>124061860</v>
      </c>
      <c r="AK52" s="11">
        <v>0</v>
      </c>
      <c r="AL52" s="11">
        <v>0</v>
      </c>
      <c r="AM52" s="11">
        <v>124061860</v>
      </c>
      <c r="AN52" s="11">
        <v>138325860</v>
      </c>
      <c r="AO52" s="11">
        <v>14264000</v>
      </c>
      <c r="AP52" s="11">
        <v>138325860</v>
      </c>
      <c r="AQ52" s="11">
        <v>0</v>
      </c>
      <c r="AR52" s="11">
        <v>14264000</v>
      </c>
      <c r="AS52" t="s">
        <v>135</v>
      </c>
      <c r="AT52" s="4" t="str">
        <f t="shared" ref="AT52:AT56" si="14">+H52</f>
        <v>Estampilla pro cultura (20% Pensiones)</v>
      </c>
      <c r="AU52" t="str">
        <f t="shared" ref="AU52:AU56" si="15">+D52&amp;AT52&amp;J52</f>
        <v>5Estampilla pro cultura (20% Pensiones)633364000</v>
      </c>
      <c r="AV52" t="str">
        <f>+_xlfn.XLOOKUP(AU52,CRUCE!L:L,CRUCE!M:M)</f>
        <v>READY</v>
      </c>
      <c r="AW52" t="s">
        <v>1907</v>
      </c>
    </row>
    <row r="53" spans="1:49" hidden="1" x14ac:dyDescent="0.3">
      <c r="A53">
        <v>2024</v>
      </c>
      <c r="B53">
        <v>307</v>
      </c>
      <c r="C53">
        <v>1101023005502</v>
      </c>
      <c r="D53" s="5">
        <v>33</v>
      </c>
      <c r="E53" s="8" t="s">
        <v>1563</v>
      </c>
      <c r="F53">
        <v>1101023005502</v>
      </c>
      <c r="G53" t="s">
        <v>1908</v>
      </c>
      <c r="H53" s="8" t="s">
        <v>1064</v>
      </c>
      <c r="I53" t="s">
        <v>47</v>
      </c>
      <c r="J53" s="17">
        <v>316682000</v>
      </c>
      <c r="K53" s="11">
        <v>316682000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316682000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69162930</v>
      </c>
      <c r="Y53" s="11">
        <v>7132000</v>
      </c>
      <c r="Z53" s="12">
        <v>62030930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69162930</v>
      </c>
      <c r="AH53" s="11">
        <v>7132000</v>
      </c>
      <c r="AI53" s="12">
        <v>62030930</v>
      </c>
      <c r="AJ53" s="11">
        <v>62030930</v>
      </c>
      <c r="AK53" s="11">
        <v>0</v>
      </c>
      <c r="AL53" s="11">
        <v>0</v>
      </c>
      <c r="AM53" s="11">
        <v>62030930</v>
      </c>
      <c r="AN53" s="11">
        <v>69162930</v>
      </c>
      <c r="AO53" s="11">
        <v>7132000</v>
      </c>
      <c r="AP53" s="11">
        <v>69162930</v>
      </c>
      <c r="AQ53" s="11">
        <v>0</v>
      </c>
      <c r="AR53" s="11">
        <v>7132000</v>
      </c>
      <c r="AS53" t="s">
        <v>137</v>
      </c>
      <c r="AT53" s="4" t="str">
        <f t="shared" si="14"/>
        <v>Estampilla pro cultura (10% Seguridad Social Artista)</v>
      </c>
      <c r="AU53" t="str">
        <f t="shared" si="15"/>
        <v>33Estampilla pro cultura (10% Seguridad Social Artista)316682000</v>
      </c>
      <c r="AV53" t="str">
        <f>+_xlfn.XLOOKUP(AU53,CRUCE!L:L,CRUCE!M:M)</f>
        <v>READY</v>
      </c>
      <c r="AW53" t="s">
        <v>1907</v>
      </c>
    </row>
    <row r="54" spans="1:49" hidden="1" x14ac:dyDescent="0.3">
      <c r="A54">
        <v>2024</v>
      </c>
      <c r="B54">
        <v>307</v>
      </c>
      <c r="C54">
        <v>1101023005503</v>
      </c>
      <c r="D54" s="5">
        <v>34</v>
      </c>
      <c r="E54" s="8" t="s">
        <v>1564</v>
      </c>
      <c r="F54">
        <v>1101023005503</v>
      </c>
      <c r="G54" t="s">
        <v>1908</v>
      </c>
      <c r="H54" s="8" t="s">
        <v>1066</v>
      </c>
      <c r="I54" t="s">
        <v>47</v>
      </c>
      <c r="J54" s="17">
        <v>316682000</v>
      </c>
      <c r="K54" s="11">
        <v>316682000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316682000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69692170</v>
      </c>
      <c r="Y54" s="11">
        <v>7132000</v>
      </c>
      <c r="Z54" s="12">
        <v>62560170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69692170</v>
      </c>
      <c r="AH54" s="11">
        <v>7132000</v>
      </c>
      <c r="AI54" s="12">
        <v>62560170</v>
      </c>
      <c r="AJ54" s="11">
        <v>62560170</v>
      </c>
      <c r="AK54" s="11">
        <v>0</v>
      </c>
      <c r="AL54" s="11">
        <v>0</v>
      </c>
      <c r="AM54" s="11">
        <v>62560170</v>
      </c>
      <c r="AN54" s="11">
        <v>69692170</v>
      </c>
      <c r="AO54" s="11">
        <v>7132000</v>
      </c>
      <c r="AP54" s="11">
        <v>69692170</v>
      </c>
      <c r="AQ54" s="11">
        <v>0</v>
      </c>
      <c r="AR54" s="11">
        <v>7132000</v>
      </c>
      <c r="AS54" t="s">
        <v>139</v>
      </c>
      <c r="AT54" s="4" t="str">
        <f t="shared" si="14"/>
        <v>Estampilla pro cultura (10% Bibliotecas)</v>
      </c>
      <c r="AU54" t="str">
        <f t="shared" si="15"/>
        <v>34Estampilla pro cultura (10% Bibliotecas)316682000</v>
      </c>
      <c r="AV54" t="str">
        <f>+_xlfn.XLOOKUP(AU54,CRUCE!L:L,CRUCE!M:M)</f>
        <v>READY</v>
      </c>
      <c r="AW54" t="s">
        <v>1907</v>
      </c>
    </row>
    <row r="55" spans="1:49" hidden="1" x14ac:dyDescent="0.3">
      <c r="A55">
        <v>2024</v>
      </c>
      <c r="B55">
        <v>307</v>
      </c>
      <c r="C55">
        <v>1101023005504</v>
      </c>
      <c r="D55" s="5">
        <v>39</v>
      </c>
      <c r="E55" s="8" t="s">
        <v>1565</v>
      </c>
      <c r="F55">
        <v>1101023005504</v>
      </c>
      <c r="G55" t="s">
        <v>1908</v>
      </c>
      <c r="H55" s="8" t="s">
        <v>1068</v>
      </c>
      <c r="I55" t="s">
        <v>47</v>
      </c>
      <c r="J55" s="17">
        <v>1583411000</v>
      </c>
      <c r="K55" s="11">
        <v>1583411000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1583411000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345285410.01999998</v>
      </c>
      <c r="Y55" s="11">
        <v>35660000</v>
      </c>
      <c r="Z55" s="12">
        <v>309625410.01999998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345285410.01999998</v>
      </c>
      <c r="AH55" s="11">
        <v>35660000</v>
      </c>
      <c r="AI55" s="12">
        <v>309625410.01999998</v>
      </c>
      <c r="AJ55" s="11">
        <v>309625410.01999998</v>
      </c>
      <c r="AK55" s="11">
        <v>0</v>
      </c>
      <c r="AL55" s="11">
        <v>0</v>
      </c>
      <c r="AM55" s="11">
        <v>309625410.01999998</v>
      </c>
      <c r="AN55" s="11">
        <v>345285410.01999998</v>
      </c>
      <c r="AO55" s="11">
        <v>35660000</v>
      </c>
      <c r="AP55" s="11">
        <v>345285410.01999998</v>
      </c>
      <c r="AQ55" s="11">
        <v>0</v>
      </c>
      <c r="AR55" s="11">
        <v>35660000</v>
      </c>
      <c r="AS55" t="s">
        <v>141</v>
      </c>
      <c r="AT55" s="4" t="str">
        <f t="shared" si="14"/>
        <v>Estampilla pro cultura (50% Concertacion)</v>
      </c>
      <c r="AU55" t="str">
        <f t="shared" si="15"/>
        <v>39Estampilla pro cultura (50% Concertacion)1583411000</v>
      </c>
      <c r="AV55" t="str">
        <f>+_xlfn.XLOOKUP(AU55,CRUCE!L:L,CRUCE!M:M)</f>
        <v>READY</v>
      </c>
      <c r="AW55" t="s">
        <v>1907</v>
      </c>
    </row>
    <row r="56" spans="1:49" hidden="1" x14ac:dyDescent="0.3">
      <c r="A56">
        <v>2024</v>
      </c>
      <c r="B56">
        <v>307</v>
      </c>
      <c r="C56">
        <v>1101023005505</v>
      </c>
      <c r="D56" s="5">
        <v>41</v>
      </c>
      <c r="E56" s="8" t="s">
        <v>1566</v>
      </c>
      <c r="F56">
        <v>1101023005505</v>
      </c>
      <c r="G56" t="s">
        <v>1908</v>
      </c>
      <c r="H56" s="8" t="s">
        <v>1070</v>
      </c>
      <c r="I56" t="s">
        <v>47</v>
      </c>
      <c r="J56" s="17">
        <v>316682000</v>
      </c>
      <c r="K56" s="11">
        <v>316682000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316682000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69162929.980000004</v>
      </c>
      <c r="Y56" s="11">
        <v>7132000</v>
      </c>
      <c r="Z56" s="12">
        <v>62030929.979999997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69162929.980000004</v>
      </c>
      <c r="AH56" s="11">
        <v>7132000</v>
      </c>
      <c r="AI56" s="12">
        <v>62030929.979999997</v>
      </c>
      <c r="AJ56" s="11">
        <v>62030929.979999997</v>
      </c>
      <c r="AK56" s="11">
        <v>0</v>
      </c>
      <c r="AL56" s="11">
        <v>0</v>
      </c>
      <c r="AM56" s="11">
        <v>62030929.979999997</v>
      </c>
      <c r="AN56" s="11">
        <v>69162929.980000004</v>
      </c>
      <c r="AO56" s="11">
        <v>7132000</v>
      </c>
      <c r="AP56" s="11">
        <v>69162929.980000004</v>
      </c>
      <c r="AQ56" s="11">
        <v>0</v>
      </c>
      <c r="AR56" s="11">
        <v>7132000</v>
      </c>
      <c r="AS56" t="s">
        <v>143</v>
      </c>
      <c r="AT56" s="4" t="str">
        <f t="shared" si="14"/>
        <v>Estampilla pro cultura (10% Estimulos)</v>
      </c>
      <c r="AU56" t="str">
        <f t="shared" si="15"/>
        <v>41Estampilla pro cultura (10% Estimulos)316682000</v>
      </c>
      <c r="AV56" t="str">
        <f>+_xlfn.XLOOKUP(AU56,CRUCE!L:L,CRUCE!M:M)</f>
        <v>READY</v>
      </c>
      <c r="AW56" t="s">
        <v>1907</v>
      </c>
    </row>
    <row r="57" spans="1:49" hidden="1" x14ac:dyDescent="0.3">
      <c r="A57">
        <v>2024</v>
      </c>
      <c r="B57">
        <v>307</v>
      </c>
      <c r="C57">
        <v>1102</v>
      </c>
      <c r="D57" s="5" t="s">
        <v>44</v>
      </c>
      <c r="E57" s="8" t="s">
        <v>1567</v>
      </c>
      <c r="F57">
        <v>1102</v>
      </c>
      <c r="H57" s="8" t="s">
        <v>145</v>
      </c>
      <c r="I57" t="s">
        <v>47</v>
      </c>
      <c r="J57" s="17">
        <v>53083050400.269997</v>
      </c>
      <c r="K57" s="11">
        <v>53083050400.269997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53083050400.269997</v>
      </c>
      <c r="R57" s="11">
        <v>2110283228.9300001</v>
      </c>
      <c r="S57" s="11">
        <v>244770977</v>
      </c>
      <c r="T57" s="11">
        <v>1865512251.9300001</v>
      </c>
      <c r="U57" s="11">
        <v>0</v>
      </c>
      <c r="V57" s="11">
        <v>0</v>
      </c>
      <c r="W57" s="11">
        <v>0</v>
      </c>
      <c r="X57" s="11">
        <v>4946149975.3000002</v>
      </c>
      <c r="Y57" s="11">
        <v>374622710</v>
      </c>
      <c r="Z57" s="12">
        <v>4571527265.3000002</v>
      </c>
      <c r="AA57" s="11">
        <v>2110283228.9300001</v>
      </c>
      <c r="AB57" s="11">
        <v>244770977</v>
      </c>
      <c r="AC57" s="11">
        <v>1865512251.9300001</v>
      </c>
      <c r="AD57" s="11">
        <v>0</v>
      </c>
      <c r="AE57" s="11">
        <v>0</v>
      </c>
      <c r="AF57" s="11">
        <v>0</v>
      </c>
      <c r="AG57" s="11">
        <v>4946149975.3000002</v>
      </c>
      <c r="AH57" s="11">
        <v>374622710</v>
      </c>
      <c r="AI57" s="12">
        <v>4571527265.3000002</v>
      </c>
      <c r="AJ57" s="11">
        <v>4571527265.3000002</v>
      </c>
      <c r="AK57" s="11">
        <v>0</v>
      </c>
      <c r="AL57" s="11">
        <v>0</v>
      </c>
      <c r="AM57" s="11">
        <v>4571527265.3000002</v>
      </c>
      <c r="AN57" s="11">
        <v>4946149975.3000002</v>
      </c>
      <c r="AO57" s="11">
        <v>374622710</v>
      </c>
      <c r="AP57" s="11">
        <v>4946149975.3000002</v>
      </c>
      <c r="AQ57" s="11">
        <v>0</v>
      </c>
      <c r="AR57" s="11">
        <v>374622710</v>
      </c>
      <c r="AS57" t="s">
        <v>48</v>
      </c>
      <c r="AT57"/>
    </row>
    <row r="58" spans="1:49" hidden="1" x14ac:dyDescent="0.3">
      <c r="A58">
        <v>2024</v>
      </c>
      <c r="B58">
        <v>307</v>
      </c>
      <c r="C58">
        <v>110201</v>
      </c>
      <c r="D58" s="5" t="s">
        <v>44</v>
      </c>
      <c r="E58" s="8" t="s">
        <v>1568</v>
      </c>
      <c r="F58">
        <v>110201</v>
      </c>
      <c r="H58" s="8" t="s">
        <v>147</v>
      </c>
      <c r="I58" t="s">
        <v>47</v>
      </c>
      <c r="J58" s="17">
        <v>3143161000</v>
      </c>
      <c r="K58" s="11">
        <v>3143161000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3143161000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87350199</v>
      </c>
      <c r="Y58" s="11">
        <v>0</v>
      </c>
      <c r="Z58" s="12">
        <v>87350199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87350199</v>
      </c>
      <c r="AH58" s="11">
        <v>0</v>
      </c>
      <c r="AI58" s="12">
        <v>87350199</v>
      </c>
      <c r="AJ58" s="11">
        <v>87350199</v>
      </c>
      <c r="AK58" s="11">
        <v>0</v>
      </c>
      <c r="AL58" s="11">
        <v>0</v>
      </c>
      <c r="AM58" s="11">
        <v>87350199</v>
      </c>
      <c r="AN58" s="11">
        <v>87350199</v>
      </c>
      <c r="AO58" s="11">
        <v>0</v>
      </c>
      <c r="AP58" s="11">
        <v>87350199</v>
      </c>
      <c r="AQ58" s="11">
        <v>0</v>
      </c>
      <c r="AR58" s="11">
        <v>0</v>
      </c>
      <c r="AS58" t="s">
        <v>48</v>
      </c>
      <c r="AT58"/>
    </row>
    <row r="59" spans="1:49" hidden="1" x14ac:dyDescent="0.3">
      <c r="A59">
        <v>2024</v>
      </c>
      <c r="B59">
        <v>307</v>
      </c>
      <c r="C59">
        <v>110201003</v>
      </c>
      <c r="D59" s="5" t="s">
        <v>44</v>
      </c>
      <c r="E59" s="8" t="s">
        <v>1569</v>
      </c>
      <c r="F59">
        <v>110201003</v>
      </c>
      <c r="H59" s="8" t="s">
        <v>149</v>
      </c>
      <c r="I59" t="s">
        <v>47</v>
      </c>
      <c r="J59" s="17">
        <v>681193000</v>
      </c>
      <c r="K59" s="11">
        <v>681193000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681193000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2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2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t="s">
        <v>48</v>
      </c>
      <c r="AT59"/>
    </row>
    <row r="60" spans="1:49" hidden="1" x14ac:dyDescent="0.3">
      <c r="A60">
        <v>2024</v>
      </c>
      <c r="B60">
        <v>307</v>
      </c>
      <c r="C60">
        <v>11020100301</v>
      </c>
      <c r="D60" s="5" t="s">
        <v>44</v>
      </c>
      <c r="E60" s="8" t="s">
        <v>1570</v>
      </c>
      <c r="F60">
        <v>11020100301</v>
      </c>
      <c r="H60" s="8" t="s">
        <v>151</v>
      </c>
      <c r="I60" t="s">
        <v>47</v>
      </c>
      <c r="J60" s="17">
        <v>681193000</v>
      </c>
      <c r="K60" s="11">
        <v>681193000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681193000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2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2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t="s">
        <v>48</v>
      </c>
      <c r="AT60"/>
    </row>
    <row r="61" spans="1:49" hidden="1" x14ac:dyDescent="0.3">
      <c r="A61">
        <v>2024</v>
      </c>
      <c r="B61">
        <v>307</v>
      </c>
      <c r="C61">
        <v>1102010030100</v>
      </c>
      <c r="D61" s="5" t="s">
        <v>44</v>
      </c>
      <c r="E61" s="8" t="s">
        <v>1571</v>
      </c>
      <c r="F61">
        <v>1102010030100</v>
      </c>
      <c r="H61" s="8" t="s">
        <v>151</v>
      </c>
      <c r="I61" t="s">
        <v>47</v>
      </c>
      <c r="J61" s="17">
        <v>681193000</v>
      </c>
      <c r="K61" s="11">
        <v>681193000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681193000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2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2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t="s">
        <v>48</v>
      </c>
      <c r="AT61"/>
    </row>
    <row r="62" spans="1:49" hidden="1" x14ac:dyDescent="0.3">
      <c r="A62">
        <v>2024</v>
      </c>
      <c r="B62">
        <v>307</v>
      </c>
      <c r="C62">
        <v>110201003010000</v>
      </c>
      <c r="D62" s="5" t="s">
        <v>44</v>
      </c>
      <c r="E62" s="8" t="s">
        <v>1572</v>
      </c>
      <c r="F62">
        <v>110201003010000</v>
      </c>
      <c r="H62" s="8" t="s">
        <v>151</v>
      </c>
      <c r="I62" t="s">
        <v>47</v>
      </c>
      <c r="J62" s="17">
        <v>681193000</v>
      </c>
      <c r="K62" s="11">
        <v>681193000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681193000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2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2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t="s">
        <v>48</v>
      </c>
      <c r="AT62"/>
    </row>
    <row r="63" spans="1:49" hidden="1" x14ac:dyDescent="0.3">
      <c r="A63">
        <v>2024</v>
      </c>
      <c r="B63">
        <v>307</v>
      </c>
      <c r="C63">
        <v>1.1020100301E+17</v>
      </c>
      <c r="D63" s="5" t="s">
        <v>44</v>
      </c>
      <c r="E63" s="8" t="s">
        <v>1573</v>
      </c>
      <c r="F63">
        <v>1.1020100301E+17</v>
      </c>
      <c r="H63" s="8" t="s">
        <v>151</v>
      </c>
      <c r="I63" t="s">
        <v>47</v>
      </c>
      <c r="J63" s="17">
        <v>681193000</v>
      </c>
      <c r="K63" s="11">
        <v>681193000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681193000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2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2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t="s">
        <v>48</v>
      </c>
      <c r="AT63"/>
    </row>
    <row r="64" spans="1:49" hidden="1" x14ac:dyDescent="0.3">
      <c r="A64">
        <v>2024</v>
      </c>
      <c r="B64">
        <v>307</v>
      </c>
      <c r="C64">
        <v>1.1020100300999999E+20</v>
      </c>
      <c r="D64" s="5" t="s">
        <v>44</v>
      </c>
      <c r="E64" s="8" t="s">
        <v>1574</v>
      </c>
      <c r="F64">
        <v>1.1020100300999999E+20</v>
      </c>
      <c r="H64" s="8" t="s">
        <v>151</v>
      </c>
      <c r="I64" t="s">
        <v>47</v>
      </c>
      <c r="J64" s="17">
        <v>681193000</v>
      </c>
      <c r="K64" s="11">
        <v>681193000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681193000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2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2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t="s">
        <v>48</v>
      </c>
      <c r="AT64"/>
    </row>
    <row r="65" spans="1:49" hidden="1" x14ac:dyDescent="0.3">
      <c r="A65">
        <v>2024</v>
      </c>
      <c r="B65">
        <v>307</v>
      </c>
      <c r="C65">
        <v>1.1020100301000001E+35</v>
      </c>
      <c r="D65" s="5">
        <v>18</v>
      </c>
      <c r="E65" s="8" t="s">
        <v>1575</v>
      </c>
      <c r="F65">
        <v>1.1020100301000001E+35</v>
      </c>
      <c r="G65" t="s">
        <v>1908</v>
      </c>
      <c r="H65" s="8" t="s">
        <v>164</v>
      </c>
      <c r="I65" t="s">
        <v>47</v>
      </c>
      <c r="J65" s="17">
        <v>9565289</v>
      </c>
      <c r="K65" s="11">
        <v>9565289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9565289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2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2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t="s">
        <v>158</v>
      </c>
      <c r="AT65" s="4" t="str">
        <f t="shared" ref="AT65:AT67" si="16">+H65</f>
        <v>E.S.E. Hospital La Misericordia - Calarcá</v>
      </c>
      <c r="AU65" t="str">
        <f t="shared" ref="AU65:AU73" si="17">+D65&amp;AT65&amp;J65</f>
        <v>18E.S.E. Hospital La Misericordia - Calarcá9565289</v>
      </c>
      <c r="AV65" t="str">
        <f>+_xlfn.XLOOKUP(AU65,CRUCE!L:L,CRUCE!M:M)</f>
        <v>READY</v>
      </c>
      <c r="AW65" t="s">
        <v>1907</v>
      </c>
    </row>
    <row r="66" spans="1:49" hidden="1" x14ac:dyDescent="0.3">
      <c r="A66">
        <v>2024</v>
      </c>
      <c r="B66">
        <v>307</v>
      </c>
      <c r="C66">
        <v>1.1020100301000001E+35</v>
      </c>
      <c r="D66" s="5">
        <v>18</v>
      </c>
      <c r="E66" s="8" t="s">
        <v>1576</v>
      </c>
      <c r="F66">
        <v>1.1020100301000001E+35</v>
      </c>
      <c r="G66" t="s">
        <v>1908</v>
      </c>
      <c r="H66" s="8" t="s">
        <v>162</v>
      </c>
      <c r="I66" t="s">
        <v>47</v>
      </c>
      <c r="J66" s="17">
        <v>183024451</v>
      </c>
      <c r="K66" s="11">
        <v>183024451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183024451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2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2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t="s">
        <v>158</v>
      </c>
      <c r="AT66" s="4" t="str">
        <f t="shared" si="16"/>
        <v>E.S.E. Hospital San Juan de Dios - Armenia</v>
      </c>
      <c r="AU66" t="str">
        <f t="shared" si="17"/>
        <v>18E.S.E. Hospital San Juan de Dios - Armenia183024451</v>
      </c>
      <c r="AV66" t="str">
        <f>+_xlfn.XLOOKUP(AU66,CRUCE!L:L,CRUCE!M:M)</f>
        <v>READY</v>
      </c>
      <c r="AW66" t="s">
        <v>1907</v>
      </c>
    </row>
    <row r="67" spans="1:49" hidden="1" x14ac:dyDescent="0.3">
      <c r="A67">
        <v>2024</v>
      </c>
      <c r="B67">
        <v>307</v>
      </c>
      <c r="C67">
        <v>1.1020100301000001E+35</v>
      </c>
      <c r="D67" s="5">
        <v>18</v>
      </c>
      <c r="E67" s="8" t="s">
        <v>1577</v>
      </c>
      <c r="F67">
        <v>1.1020100301000001E+35</v>
      </c>
      <c r="G67" t="s">
        <v>1908</v>
      </c>
      <c r="H67" s="8" t="s">
        <v>166</v>
      </c>
      <c r="I67" t="s">
        <v>47</v>
      </c>
      <c r="J67" s="17">
        <v>17537611</v>
      </c>
      <c r="K67" s="11">
        <v>17537611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17537611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2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2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t="s">
        <v>158</v>
      </c>
      <c r="AT67" s="4" t="str">
        <f t="shared" si="16"/>
        <v>E.S.E. Hospital Mental - Filandia</v>
      </c>
      <c r="AU67" t="str">
        <f t="shared" si="17"/>
        <v>18E.S.E. Hospital Mental - Filandia17537611</v>
      </c>
      <c r="AV67" t="str">
        <f>+_xlfn.XLOOKUP(AU67,CRUCE!L:L,CRUCE!M:M)</f>
        <v>READY</v>
      </c>
      <c r="AW67" t="s">
        <v>1907</v>
      </c>
    </row>
    <row r="68" spans="1:49" hidden="1" x14ac:dyDescent="0.3">
      <c r="A68">
        <v>2024</v>
      </c>
      <c r="B68">
        <v>307</v>
      </c>
      <c r="C68">
        <v>1.1020100301000001E+35</v>
      </c>
      <c r="D68" s="5">
        <v>18</v>
      </c>
      <c r="E68" s="8" t="s">
        <v>1578</v>
      </c>
      <c r="F68">
        <v>1.1020100301000001E+35</v>
      </c>
      <c r="G68" t="s">
        <v>1908</v>
      </c>
      <c r="H68" s="8" t="s">
        <v>1579</v>
      </c>
      <c r="I68" t="s">
        <v>47</v>
      </c>
      <c r="J68" s="17">
        <v>56593747</v>
      </c>
      <c r="K68" s="11">
        <v>56593747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56593747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2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2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t="s">
        <v>158</v>
      </c>
      <c r="AT68" s="4" t="s">
        <v>157</v>
      </c>
      <c r="AU68" t="str">
        <f t="shared" si="17"/>
        <v>18E.S.P. Empresa Sanitaria del Quindío S.A.56593747</v>
      </c>
      <c r="AV68" t="str">
        <f>+_xlfn.XLOOKUP(AU68,CRUCE!L:L,CRUCE!M:M)</f>
        <v>READY</v>
      </c>
      <c r="AW68" t="s">
        <v>1907</v>
      </c>
    </row>
    <row r="69" spans="1:49" hidden="1" x14ac:dyDescent="0.3">
      <c r="A69">
        <v>2024</v>
      </c>
      <c r="B69">
        <v>307</v>
      </c>
      <c r="C69">
        <v>1.1020100301000001E+35</v>
      </c>
      <c r="D69" s="5">
        <v>18</v>
      </c>
      <c r="E69" s="8" t="s">
        <v>1580</v>
      </c>
      <c r="F69">
        <v>1.1020100301000001E+35</v>
      </c>
      <c r="G69" t="s">
        <v>1908</v>
      </c>
      <c r="H69" s="8" t="s">
        <v>1581</v>
      </c>
      <c r="I69" t="s">
        <v>47</v>
      </c>
      <c r="J69" s="17">
        <v>3779183</v>
      </c>
      <c r="K69" s="11">
        <v>3779183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3779183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2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2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t="s">
        <v>158</v>
      </c>
      <c r="AT69" s="4" t="s">
        <v>168</v>
      </c>
      <c r="AU69" t="str">
        <f t="shared" si="17"/>
        <v>18Instituto Departamental de Deporte y Recreación del Quindío3779183</v>
      </c>
      <c r="AV69" t="str">
        <f>+_xlfn.XLOOKUP(AU69,CRUCE!L:L,CRUCE!M:M)</f>
        <v>READY</v>
      </c>
      <c r="AW69" t="s">
        <v>1907</v>
      </c>
    </row>
    <row r="70" spans="1:49" hidden="1" x14ac:dyDescent="0.3">
      <c r="A70">
        <v>2024</v>
      </c>
      <c r="B70">
        <v>307</v>
      </c>
      <c r="C70">
        <v>1.1020100301000001E+35</v>
      </c>
      <c r="D70" s="5">
        <v>18</v>
      </c>
      <c r="E70" s="8" t="s">
        <v>1582</v>
      </c>
      <c r="F70">
        <v>1.1020100301000001E+35</v>
      </c>
      <c r="G70" t="s">
        <v>1908</v>
      </c>
      <c r="H70" s="8" t="s">
        <v>170</v>
      </c>
      <c r="I70" t="s">
        <v>47</v>
      </c>
      <c r="J70" s="17">
        <v>9067195</v>
      </c>
      <c r="K70" s="11">
        <v>9067195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9067195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2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2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t="s">
        <v>158</v>
      </c>
      <c r="AT70" s="4" t="str">
        <f>+H70</f>
        <v>Instituto Departamental de Tránsito del Quindío</v>
      </c>
      <c r="AU70" t="str">
        <f t="shared" si="17"/>
        <v>18Instituto Departamental de Tránsito del Quindío9067195</v>
      </c>
      <c r="AV70" t="str">
        <f>+_xlfn.XLOOKUP(AU70,CRUCE!L:L,CRUCE!M:M)</f>
        <v>READY</v>
      </c>
      <c r="AW70" t="s">
        <v>1907</v>
      </c>
    </row>
    <row r="71" spans="1:49" hidden="1" x14ac:dyDescent="0.3">
      <c r="A71">
        <v>2024</v>
      </c>
      <c r="B71">
        <v>307</v>
      </c>
      <c r="C71">
        <v>1.1020100301000001E+35</v>
      </c>
      <c r="D71" s="5">
        <v>18</v>
      </c>
      <c r="E71" s="8" t="s">
        <v>1583</v>
      </c>
      <c r="F71">
        <v>1.1020100301000001E+35</v>
      </c>
      <c r="G71" t="s">
        <v>1908</v>
      </c>
      <c r="H71" s="8" t="s">
        <v>1584</v>
      </c>
      <c r="I71" t="s">
        <v>47</v>
      </c>
      <c r="J71" s="17">
        <v>28234243</v>
      </c>
      <c r="K71" s="11">
        <v>28234243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28234243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2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2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t="s">
        <v>158</v>
      </c>
      <c r="AT71" s="4" t="s">
        <v>160</v>
      </c>
      <c r="AU71" t="str">
        <f t="shared" si="17"/>
        <v>18Lotería del Quindío E.I.C.E.28234243</v>
      </c>
      <c r="AV71" t="str">
        <f>+_xlfn.XLOOKUP(AU71,CRUCE!L:L,CRUCE!M:M)</f>
        <v>READY</v>
      </c>
      <c r="AW71" t="s">
        <v>1907</v>
      </c>
    </row>
    <row r="72" spans="1:49" hidden="1" x14ac:dyDescent="0.3">
      <c r="A72">
        <v>2024</v>
      </c>
      <c r="B72">
        <v>307</v>
      </c>
      <c r="C72">
        <v>1.1020100301000001E+35</v>
      </c>
      <c r="D72" s="5">
        <v>18</v>
      </c>
      <c r="E72" s="8" t="s">
        <v>1585</v>
      </c>
      <c r="F72">
        <v>1.1020100301000001E+35</v>
      </c>
      <c r="G72" t="s">
        <v>1908</v>
      </c>
      <c r="H72" s="8" t="s">
        <v>1586</v>
      </c>
      <c r="I72" t="s">
        <v>47</v>
      </c>
      <c r="J72" s="17">
        <v>24663485</v>
      </c>
      <c r="K72" s="11">
        <v>24663485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24663485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2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2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t="s">
        <v>158</v>
      </c>
      <c r="AT72" s="4" t="s">
        <v>172</v>
      </c>
      <c r="AU72" t="str">
        <f t="shared" si="17"/>
        <v>18Promotora de Vivienda y Desarrollo del Quindío24663485</v>
      </c>
      <c r="AV72" t="str">
        <f>+_xlfn.XLOOKUP(AU72,CRUCE!L:L,CRUCE!M:M)</f>
        <v>READY</v>
      </c>
      <c r="AW72" t="s">
        <v>1907</v>
      </c>
    </row>
    <row r="73" spans="1:49" hidden="1" x14ac:dyDescent="0.3">
      <c r="A73">
        <v>2024</v>
      </c>
      <c r="B73">
        <v>307</v>
      </c>
      <c r="C73">
        <v>1.1020100301000001E+35</v>
      </c>
      <c r="D73" s="5">
        <v>18</v>
      </c>
      <c r="E73" s="8" t="s">
        <v>1587</v>
      </c>
      <c r="F73">
        <v>1.1020100301000001E+35</v>
      </c>
      <c r="G73" t="s">
        <v>1908</v>
      </c>
      <c r="H73" s="8" t="s">
        <v>174</v>
      </c>
      <c r="I73" t="s">
        <v>47</v>
      </c>
      <c r="J73" s="17">
        <v>348727796</v>
      </c>
      <c r="K73" s="11">
        <v>348727796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348727796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2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2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t="s">
        <v>158</v>
      </c>
      <c r="AT73" s="4" t="str">
        <f>+H73</f>
        <v>Universidad del Quindío</v>
      </c>
      <c r="AU73" t="str">
        <f t="shared" si="17"/>
        <v>18Universidad del Quindío348727796</v>
      </c>
      <c r="AV73" t="str">
        <f>+_xlfn.XLOOKUP(AU73,CRUCE!L:L,CRUCE!M:M)</f>
        <v>READY</v>
      </c>
      <c r="AW73" t="s">
        <v>1907</v>
      </c>
    </row>
    <row r="74" spans="1:49" hidden="1" x14ac:dyDescent="0.3">
      <c r="A74">
        <v>2024</v>
      </c>
      <c r="B74">
        <v>307</v>
      </c>
      <c r="C74">
        <v>110201005</v>
      </c>
      <c r="D74" s="5" t="s">
        <v>44</v>
      </c>
      <c r="E74" s="8" t="s">
        <v>1588</v>
      </c>
      <c r="F74">
        <v>110201005</v>
      </c>
      <c r="H74" s="8" t="s">
        <v>1325</v>
      </c>
      <c r="I74" t="s">
        <v>47</v>
      </c>
      <c r="J74" s="17">
        <v>2461968000</v>
      </c>
      <c r="K74" s="11">
        <v>2461968000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2461968000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87350199</v>
      </c>
      <c r="Y74" s="11">
        <v>0</v>
      </c>
      <c r="Z74" s="12">
        <v>87350199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87350199</v>
      </c>
      <c r="AH74" s="11">
        <v>0</v>
      </c>
      <c r="AI74" s="12">
        <v>87350199</v>
      </c>
      <c r="AJ74" s="11">
        <v>87350199</v>
      </c>
      <c r="AK74" s="11">
        <v>0</v>
      </c>
      <c r="AL74" s="11">
        <v>0</v>
      </c>
      <c r="AM74" s="11">
        <v>87350199</v>
      </c>
      <c r="AN74" s="11">
        <v>87350199</v>
      </c>
      <c r="AO74" s="11">
        <v>0</v>
      </c>
      <c r="AP74" s="11">
        <v>87350199</v>
      </c>
      <c r="AQ74" s="11">
        <v>0</v>
      </c>
      <c r="AR74" s="11">
        <v>0</v>
      </c>
      <c r="AS74" t="s">
        <v>48</v>
      </c>
      <c r="AT74"/>
    </row>
    <row r="75" spans="1:49" hidden="1" x14ac:dyDescent="0.3">
      <c r="A75">
        <v>2024</v>
      </c>
      <c r="B75">
        <v>307</v>
      </c>
      <c r="C75">
        <v>11020100559</v>
      </c>
      <c r="D75" s="5">
        <v>42</v>
      </c>
      <c r="E75" s="8" t="s">
        <v>1589</v>
      </c>
      <c r="F75">
        <v>11020100559</v>
      </c>
      <c r="G75" t="s">
        <v>1908</v>
      </c>
      <c r="H75" s="8" t="s">
        <v>1327</v>
      </c>
      <c r="I75" t="s">
        <v>47</v>
      </c>
      <c r="J75" s="17">
        <v>2461968000</v>
      </c>
      <c r="K75" s="11">
        <v>2461968000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2461968000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87350199</v>
      </c>
      <c r="Y75" s="11">
        <v>0</v>
      </c>
      <c r="Z75" s="12">
        <v>87350199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87350199</v>
      </c>
      <c r="AH75" s="11">
        <v>0</v>
      </c>
      <c r="AI75" s="12">
        <v>87350199</v>
      </c>
      <c r="AJ75" s="11">
        <v>87350199</v>
      </c>
      <c r="AK75" s="11">
        <v>0</v>
      </c>
      <c r="AL75" s="11">
        <v>0</v>
      </c>
      <c r="AM75" s="11">
        <v>87350199</v>
      </c>
      <c r="AN75" s="11">
        <v>87350199</v>
      </c>
      <c r="AO75" s="11">
        <v>0</v>
      </c>
      <c r="AP75" s="11">
        <v>87350199</v>
      </c>
      <c r="AQ75" s="11">
        <v>0</v>
      </c>
      <c r="AR75" s="11">
        <v>0</v>
      </c>
      <c r="AS75" t="s">
        <v>115</v>
      </c>
      <c r="AT75" s="4" t="str">
        <f>+H75</f>
        <v>Contribución especial sobre contratos de obras públicas</v>
      </c>
      <c r="AU75" t="str">
        <f>+D75&amp;AT75&amp;J75</f>
        <v>42Contribución especial sobre contratos de obras públicas2461968000</v>
      </c>
      <c r="AV75" t="str">
        <f>+_xlfn.XLOOKUP(AU75,CRUCE!L:L,CRUCE!M:M)</f>
        <v>READY</v>
      </c>
      <c r="AW75" t="s">
        <v>1907</v>
      </c>
    </row>
    <row r="76" spans="1:49" hidden="1" x14ac:dyDescent="0.3">
      <c r="A76">
        <v>2024</v>
      </c>
      <c r="B76">
        <v>307</v>
      </c>
      <c r="C76">
        <v>110203</v>
      </c>
      <c r="D76" s="5" t="s">
        <v>44</v>
      </c>
      <c r="E76" s="8" t="s">
        <v>1590</v>
      </c>
      <c r="F76">
        <v>110203</v>
      </c>
      <c r="H76" s="8" t="s">
        <v>184</v>
      </c>
      <c r="I76" t="s">
        <v>47</v>
      </c>
      <c r="J76" s="17">
        <v>9383386000</v>
      </c>
      <c r="K76" s="11">
        <v>9383386000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9383386000</v>
      </c>
      <c r="R76" s="11">
        <v>2073710226.8800001</v>
      </c>
      <c r="S76" s="11">
        <v>244423977</v>
      </c>
      <c r="T76" s="11">
        <v>1829286249.8800001</v>
      </c>
      <c r="U76" s="11">
        <v>0</v>
      </c>
      <c r="V76" s="11">
        <v>0</v>
      </c>
      <c r="W76" s="11">
        <v>0</v>
      </c>
      <c r="X76" s="11">
        <v>391538607.94</v>
      </c>
      <c r="Y76" s="11">
        <v>2970000</v>
      </c>
      <c r="Z76" s="12">
        <v>388568607.94</v>
      </c>
      <c r="AA76" s="11">
        <v>2073710226.8800001</v>
      </c>
      <c r="AB76" s="11">
        <v>244423977</v>
      </c>
      <c r="AC76" s="11">
        <v>1829286249.8800001</v>
      </c>
      <c r="AD76" s="11">
        <v>0</v>
      </c>
      <c r="AE76" s="11">
        <v>0</v>
      </c>
      <c r="AF76" s="11">
        <v>0</v>
      </c>
      <c r="AG76" s="11">
        <v>391538607.94</v>
      </c>
      <c r="AH76" s="11">
        <v>2970000</v>
      </c>
      <c r="AI76" s="12">
        <v>388568607.94</v>
      </c>
      <c r="AJ76" s="11">
        <v>388568607.94</v>
      </c>
      <c r="AK76" s="11">
        <v>0</v>
      </c>
      <c r="AL76" s="11">
        <v>0</v>
      </c>
      <c r="AM76" s="11">
        <v>388568607.94</v>
      </c>
      <c r="AN76" s="11">
        <v>391538607.94</v>
      </c>
      <c r="AO76" s="11">
        <v>2970000</v>
      </c>
      <c r="AP76" s="11">
        <v>391538607.94</v>
      </c>
      <c r="AQ76" s="11">
        <v>0</v>
      </c>
      <c r="AR76" s="11">
        <v>2970000</v>
      </c>
      <c r="AS76" t="s">
        <v>48</v>
      </c>
      <c r="AT76"/>
    </row>
    <row r="77" spans="1:49" hidden="1" x14ac:dyDescent="0.3">
      <c r="A77">
        <v>2024</v>
      </c>
      <c r="B77">
        <v>307</v>
      </c>
      <c r="C77">
        <v>110203001</v>
      </c>
      <c r="D77" s="5" t="s">
        <v>44</v>
      </c>
      <c r="E77" s="8" t="s">
        <v>1591</v>
      </c>
      <c r="F77">
        <v>110203001</v>
      </c>
      <c r="H77" s="8" t="s">
        <v>186</v>
      </c>
      <c r="I77" t="s">
        <v>47</v>
      </c>
      <c r="J77" s="17">
        <v>7904582000</v>
      </c>
      <c r="K77" s="11">
        <v>7904582000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7904582000</v>
      </c>
      <c r="R77" s="11">
        <v>1950519132.96</v>
      </c>
      <c r="S77" s="11">
        <v>0</v>
      </c>
      <c r="T77" s="11">
        <v>1950519132.96</v>
      </c>
      <c r="U77" s="11">
        <v>0</v>
      </c>
      <c r="V77" s="11">
        <v>0</v>
      </c>
      <c r="W77" s="11">
        <v>0</v>
      </c>
      <c r="X77" s="11">
        <v>299552423.99000001</v>
      </c>
      <c r="Y77" s="11">
        <v>2122000</v>
      </c>
      <c r="Z77" s="12">
        <v>297430423.99000001</v>
      </c>
      <c r="AA77" s="11">
        <v>1950519132.96</v>
      </c>
      <c r="AB77" s="11">
        <v>0</v>
      </c>
      <c r="AC77" s="11">
        <v>1950519132.96</v>
      </c>
      <c r="AD77" s="11">
        <v>0</v>
      </c>
      <c r="AE77" s="11">
        <v>0</v>
      </c>
      <c r="AF77" s="11">
        <v>0</v>
      </c>
      <c r="AG77" s="11">
        <v>299552423.99000001</v>
      </c>
      <c r="AH77" s="11">
        <v>2122000</v>
      </c>
      <c r="AI77" s="12">
        <v>297430423.99000001</v>
      </c>
      <c r="AJ77" s="11">
        <v>297430423.99000001</v>
      </c>
      <c r="AK77" s="11">
        <v>0</v>
      </c>
      <c r="AL77" s="11">
        <v>0</v>
      </c>
      <c r="AM77" s="11">
        <v>297430423.99000001</v>
      </c>
      <c r="AN77" s="11">
        <v>299552423.99000001</v>
      </c>
      <c r="AO77" s="11">
        <v>2122000</v>
      </c>
      <c r="AP77" s="11">
        <v>299552423.99000001</v>
      </c>
      <c r="AQ77" s="11">
        <v>0</v>
      </c>
      <c r="AR77" s="11">
        <v>2122000</v>
      </c>
      <c r="AS77" t="s">
        <v>48</v>
      </c>
      <c r="AT77"/>
    </row>
    <row r="78" spans="1:49" x14ac:dyDescent="0.3">
      <c r="A78">
        <v>2024</v>
      </c>
      <c r="B78">
        <v>307</v>
      </c>
      <c r="C78">
        <v>11020300103</v>
      </c>
      <c r="D78" s="5">
        <v>20</v>
      </c>
      <c r="E78" s="8" t="s">
        <v>1592</v>
      </c>
      <c r="F78">
        <v>11020300103</v>
      </c>
      <c r="G78" t="s">
        <v>1908</v>
      </c>
      <c r="H78" s="8" t="s">
        <v>188</v>
      </c>
      <c r="I78" t="s">
        <v>47</v>
      </c>
      <c r="J78" s="17">
        <v>77643000</v>
      </c>
      <c r="K78" s="11">
        <v>77643000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77643000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1866632</v>
      </c>
      <c r="Y78" s="11">
        <v>0</v>
      </c>
      <c r="Z78" s="12">
        <v>1866632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1866632</v>
      </c>
      <c r="AH78" s="11">
        <v>0</v>
      </c>
      <c r="AI78" s="12">
        <v>1866632</v>
      </c>
      <c r="AJ78" s="11">
        <v>1866632</v>
      </c>
      <c r="AK78" s="11">
        <v>0</v>
      </c>
      <c r="AL78" s="11">
        <v>0</v>
      </c>
      <c r="AM78" s="11">
        <v>1866632</v>
      </c>
      <c r="AN78" s="11">
        <v>1866632</v>
      </c>
      <c r="AO78" s="11">
        <v>0</v>
      </c>
      <c r="AP78" s="11">
        <v>1866632</v>
      </c>
      <c r="AQ78" s="11">
        <v>0</v>
      </c>
      <c r="AR78" s="11">
        <v>0</v>
      </c>
      <c r="AS78" t="s">
        <v>57</v>
      </c>
      <c r="AT78" s="4" t="str">
        <f t="shared" ref="AT78:AT81" si="18">+H78</f>
        <v>Sanciones disciplinarias</v>
      </c>
      <c r="AU78" t="str">
        <f t="shared" ref="AU78:AU81" si="19">+D78&amp;AT78&amp;J78</f>
        <v>20Sanciones disciplinarias77643000</v>
      </c>
      <c r="AV78" t="str">
        <f>+_xlfn.XLOOKUP(AU78,CRUCE!L:L,CRUCE!M:M)</f>
        <v>READY</v>
      </c>
      <c r="AW78" t="s">
        <v>1907</v>
      </c>
    </row>
    <row r="79" spans="1:49" x14ac:dyDescent="0.3">
      <c r="A79">
        <v>2024</v>
      </c>
      <c r="B79">
        <v>307</v>
      </c>
      <c r="C79">
        <v>11020300104</v>
      </c>
      <c r="D79" s="5">
        <v>20</v>
      </c>
      <c r="E79" s="8" t="s">
        <v>1593</v>
      </c>
      <c r="F79">
        <v>11020300104</v>
      </c>
      <c r="G79" t="s">
        <v>1908</v>
      </c>
      <c r="H79" s="8" t="s">
        <v>190</v>
      </c>
      <c r="I79" t="s">
        <v>47</v>
      </c>
      <c r="J79" s="17">
        <v>1000000</v>
      </c>
      <c r="K79" s="11">
        <v>1000000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1000000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2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2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t="s">
        <v>57</v>
      </c>
      <c r="AT79" s="4" t="str">
        <f t="shared" si="18"/>
        <v>Sanciones contractuales</v>
      </c>
      <c r="AU79" t="str">
        <f t="shared" si="19"/>
        <v>20Sanciones contractuales1000000</v>
      </c>
      <c r="AV79" t="str">
        <f>+_xlfn.XLOOKUP(AU79,CRUCE!L:L,CRUCE!M:M)</f>
        <v>READY</v>
      </c>
      <c r="AW79" t="s">
        <v>1907</v>
      </c>
    </row>
    <row r="80" spans="1:49" x14ac:dyDescent="0.3">
      <c r="A80">
        <v>2024</v>
      </c>
      <c r="B80">
        <v>307</v>
      </c>
      <c r="C80">
        <v>11020300105</v>
      </c>
      <c r="D80" s="5">
        <v>20</v>
      </c>
      <c r="E80" s="8" t="s">
        <v>1594</v>
      </c>
      <c r="F80">
        <v>11020300105</v>
      </c>
      <c r="G80" t="s">
        <v>1908</v>
      </c>
      <c r="H80" s="8" t="s">
        <v>192</v>
      </c>
      <c r="I80" t="s">
        <v>47</v>
      </c>
      <c r="J80" s="17">
        <v>217044000</v>
      </c>
      <c r="K80" s="11">
        <v>217044000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217044000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7796236</v>
      </c>
      <c r="Y80" s="11">
        <v>0</v>
      </c>
      <c r="Z80" s="12">
        <v>7796236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7796236</v>
      </c>
      <c r="AH80" s="11">
        <v>0</v>
      </c>
      <c r="AI80" s="12">
        <v>7796236</v>
      </c>
      <c r="AJ80" s="11">
        <v>7796236</v>
      </c>
      <c r="AK80" s="11">
        <v>0</v>
      </c>
      <c r="AL80" s="11">
        <v>0</v>
      </c>
      <c r="AM80" s="11">
        <v>7796236</v>
      </c>
      <c r="AN80" s="11">
        <v>7796236</v>
      </c>
      <c r="AO80" s="11">
        <v>0</v>
      </c>
      <c r="AP80" s="11">
        <v>7796236</v>
      </c>
      <c r="AQ80" s="11">
        <v>0</v>
      </c>
      <c r="AR80" s="11">
        <v>0</v>
      </c>
      <c r="AS80" t="s">
        <v>57</v>
      </c>
      <c r="AT80" s="4" t="str">
        <f t="shared" si="18"/>
        <v>Sanciones administrativas</v>
      </c>
      <c r="AU80" t="str">
        <f t="shared" si="19"/>
        <v>20Sanciones administrativas217044000</v>
      </c>
      <c r="AV80" t="str">
        <f>+_xlfn.XLOOKUP(AU80,CRUCE!L:L,CRUCE!M:M)</f>
        <v>READY</v>
      </c>
      <c r="AW80" t="s">
        <v>1907</v>
      </c>
    </row>
    <row r="81" spans="1:49" x14ac:dyDescent="0.3">
      <c r="A81">
        <v>2024</v>
      </c>
      <c r="B81">
        <v>307</v>
      </c>
      <c r="C81">
        <v>11020300106</v>
      </c>
      <c r="D81" s="5">
        <v>20</v>
      </c>
      <c r="E81" s="8" t="s">
        <v>1595</v>
      </c>
      <c r="F81">
        <v>11020300106</v>
      </c>
      <c r="G81" t="s">
        <v>1908</v>
      </c>
      <c r="H81" s="8" t="s">
        <v>194</v>
      </c>
      <c r="I81" t="s">
        <v>47</v>
      </c>
      <c r="J81" s="17">
        <v>1000000</v>
      </c>
      <c r="K81" s="11">
        <v>1000000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1000000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2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2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t="s">
        <v>57</v>
      </c>
      <c r="AT81" s="4" t="str">
        <f t="shared" si="18"/>
        <v>Sanciones fiscales</v>
      </c>
      <c r="AU81" t="str">
        <f t="shared" si="19"/>
        <v>20Sanciones fiscales1000000</v>
      </c>
      <c r="AV81" t="str">
        <f>+_xlfn.XLOOKUP(AU81,CRUCE!L:L,CRUCE!M:M)</f>
        <v>READY</v>
      </c>
      <c r="AW81" t="s">
        <v>1907</v>
      </c>
    </row>
    <row r="82" spans="1:49" hidden="1" x14ac:dyDescent="0.3">
      <c r="A82">
        <v>2024</v>
      </c>
      <c r="B82">
        <v>307</v>
      </c>
      <c r="C82">
        <v>11020300111</v>
      </c>
      <c r="D82" s="5" t="s">
        <v>44</v>
      </c>
      <c r="E82" s="8" t="s">
        <v>1596</v>
      </c>
      <c r="F82">
        <v>11020300111</v>
      </c>
      <c r="H82" s="8" t="s">
        <v>198</v>
      </c>
      <c r="I82" t="s">
        <v>47</v>
      </c>
      <c r="J82" s="17">
        <v>7491494209.5</v>
      </c>
      <c r="K82" s="11">
        <v>7491494209.5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7491494209.5</v>
      </c>
      <c r="R82" s="11">
        <v>1950519132.96</v>
      </c>
      <c r="S82" s="11">
        <v>0</v>
      </c>
      <c r="T82" s="11">
        <v>1950519132.96</v>
      </c>
      <c r="U82" s="11">
        <v>0</v>
      </c>
      <c r="V82" s="11">
        <v>0</v>
      </c>
      <c r="W82" s="11">
        <v>0</v>
      </c>
      <c r="X82" s="11">
        <v>289775565.99000001</v>
      </c>
      <c r="Y82" s="11">
        <v>2122000</v>
      </c>
      <c r="Z82" s="12">
        <v>287653565.99000001</v>
      </c>
      <c r="AA82" s="11">
        <v>1950519132.96</v>
      </c>
      <c r="AB82" s="11">
        <v>0</v>
      </c>
      <c r="AC82" s="11">
        <v>1950519132.96</v>
      </c>
      <c r="AD82" s="11">
        <v>0</v>
      </c>
      <c r="AE82" s="11">
        <v>0</v>
      </c>
      <c r="AF82" s="11">
        <v>0</v>
      </c>
      <c r="AG82" s="11">
        <v>289775565.99000001</v>
      </c>
      <c r="AH82" s="11">
        <v>2122000</v>
      </c>
      <c r="AI82" s="12">
        <v>287653565.99000001</v>
      </c>
      <c r="AJ82" s="11">
        <v>287653565.99000001</v>
      </c>
      <c r="AK82" s="11">
        <v>0</v>
      </c>
      <c r="AL82" s="11">
        <v>0</v>
      </c>
      <c r="AM82" s="11">
        <v>287653565.99000001</v>
      </c>
      <c r="AN82" s="11">
        <v>289775565.99000001</v>
      </c>
      <c r="AO82" s="11">
        <v>2122000</v>
      </c>
      <c r="AP82" s="11">
        <v>289775565.99000001</v>
      </c>
      <c r="AQ82" s="11">
        <v>0</v>
      </c>
      <c r="AR82" s="11">
        <v>2122000</v>
      </c>
      <c r="AS82" t="s">
        <v>48</v>
      </c>
      <c r="AT82"/>
    </row>
    <row r="83" spans="1:49" x14ac:dyDescent="0.3">
      <c r="A83">
        <v>2024</v>
      </c>
      <c r="B83">
        <v>307</v>
      </c>
      <c r="C83">
        <v>1102030011101</v>
      </c>
      <c r="D83" s="5">
        <v>20</v>
      </c>
      <c r="E83" s="8" t="s">
        <v>1597</v>
      </c>
      <c r="F83">
        <v>1102030011101</v>
      </c>
      <c r="G83" t="s">
        <v>1908</v>
      </c>
      <c r="H83" s="8" t="s">
        <v>205</v>
      </c>
      <c r="I83" t="s">
        <v>47</v>
      </c>
      <c r="J83" s="17">
        <v>7491494209.5</v>
      </c>
      <c r="K83" s="11">
        <v>7491494209.5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7491494209.5</v>
      </c>
      <c r="R83" s="11">
        <v>1950519132.96</v>
      </c>
      <c r="S83" s="11">
        <v>0</v>
      </c>
      <c r="T83" s="11">
        <v>1950519132.96</v>
      </c>
      <c r="U83" s="11">
        <v>0</v>
      </c>
      <c r="V83" s="11">
        <v>0</v>
      </c>
      <c r="W83" s="11">
        <v>0</v>
      </c>
      <c r="X83" s="11">
        <v>289775565.99000001</v>
      </c>
      <c r="Y83" s="11">
        <v>2122000</v>
      </c>
      <c r="Z83" s="12">
        <v>287653565.99000001</v>
      </c>
      <c r="AA83" s="11">
        <v>1950519132.96</v>
      </c>
      <c r="AB83" s="11">
        <v>0</v>
      </c>
      <c r="AC83" s="11">
        <v>1950519132.96</v>
      </c>
      <c r="AD83" s="11">
        <v>0</v>
      </c>
      <c r="AE83" s="11">
        <v>0</v>
      </c>
      <c r="AF83" s="11">
        <v>0</v>
      </c>
      <c r="AG83" s="11">
        <v>289775565.99000001</v>
      </c>
      <c r="AH83" s="11">
        <v>2122000</v>
      </c>
      <c r="AI83" s="12">
        <v>287653565.99000001</v>
      </c>
      <c r="AJ83" s="11">
        <v>287653565.99000001</v>
      </c>
      <c r="AK83" s="11">
        <v>0</v>
      </c>
      <c r="AL83" s="11">
        <v>0</v>
      </c>
      <c r="AM83" s="11">
        <v>287653565.99000001</v>
      </c>
      <c r="AN83" s="11">
        <v>289775565.99000001</v>
      </c>
      <c r="AO83" s="11">
        <v>2122000</v>
      </c>
      <c r="AP83" s="11">
        <v>289775565.99000001</v>
      </c>
      <c r="AQ83" s="11">
        <v>0</v>
      </c>
      <c r="AR83" s="11">
        <v>2122000</v>
      </c>
      <c r="AS83" t="s">
        <v>57</v>
      </c>
      <c r="AT83" s="4" t="str">
        <f t="shared" ref="AT83:AT85" si="20">+H83</f>
        <v>Impuesto sobre vehículos automotores (Sanciones )</v>
      </c>
      <c r="AU83" t="str">
        <f t="shared" ref="AU83:AU85" si="21">+D83&amp;AT83&amp;J83</f>
        <v>20Impuesto sobre vehículos automotores (Sanciones )7491494209,5</v>
      </c>
      <c r="AV83" t="str">
        <f>+_xlfn.XLOOKUP(AU83,CRUCE!L:L,CRUCE!M:M)</f>
        <v>READY</v>
      </c>
      <c r="AW83" t="s">
        <v>1907</v>
      </c>
    </row>
    <row r="84" spans="1:49" x14ac:dyDescent="0.3">
      <c r="A84">
        <v>2024</v>
      </c>
      <c r="B84">
        <v>307</v>
      </c>
      <c r="C84">
        <v>11020300113</v>
      </c>
      <c r="D84" s="5">
        <v>20</v>
      </c>
      <c r="E84" s="8" t="s">
        <v>206</v>
      </c>
      <c r="F84">
        <v>11020300113</v>
      </c>
      <c r="G84" t="s">
        <v>1908</v>
      </c>
      <c r="H84" s="8" t="s">
        <v>207</v>
      </c>
      <c r="I84" t="s">
        <v>47</v>
      </c>
      <c r="J84" s="17">
        <v>114118425</v>
      </c>
      <c r="K84" s="11">
        <v>114118425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114118425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113990</v>
      </c>
      <c r="Y84" s="11">
        <v>0</v>
      </c>
      <c r="Z84" s="12">
        <v>113990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113990</v>
      </c>
      <c r="AH84" s="11">
        <v>0</v>
      </c>
      <c r="AI84" s="12">
        <v>113990</v>
      </c>
      <c r="AJ84" s="11">
        <v>113990</v>
      </c>
      <c r="AK84" s="11">
        <v>0</v>
      </c>
      <c r="AL84" s="11">
        <v>0</v>
      </c>
      <c r="AM84" s="11">
        <v>113990</v>
      </c>
      <c r="AN84" s="11">
        <v>113990</v>
      </c>
      <c r="AO84" s="11">
        <v>0</v>
      </c>
      <c r="AP84" s="11">
        <v>113990</v>
      </c>
      <c r="AQ84" s="11">
        <v>0</v>
      </c>
      <c r="AR84" s="11">
        <v>0</v>
      </c>
      <c r="AS84" t="s">
        <v>57</v>
      </c>
      <c r="AT84" s="4" t="str">
        <f t="shared" si="20"/>
        <v>Sanciones sanitarias</v>
      </c>
      <c r="AU84" t="str">
        <f t="shared" si="21"/>
        <v>20Sanciones sanitarias114118425</v>
      </c>
      <c r="AV84" t="str">
        <f>+_xlfn.XLOOKUP(AU84,CRUCE!L:L,CRUCE!M:M)</f>
        <v>READY</v>
      </c>
      <c r="AW84" t="s">
        <v>1907</v>
      </c>
    </row>
    <row r="85" spans="1:49" x14ac:dyDescent="0.3">
      <c r="A85">
        <v>2024</v>
      </c>
      <c r="B85">
        <v>307</v>
      </c>
      <c r="C85">
        <v>11020300118</v>
      </c>
      <c r="D85" s="5">
        <v>20</v>
      </c>
      <c r="E85" s="8" t="s">
        <v>210</v>
      </c>
      <c r="F85">
        <v>11020300118</v>
      </c>
      <c r="G85" t="s">
        <v>1908</v>
      </c>
      <c r="H85" s="8" t="s">
        <v>211</v>
      </c>
      <c r="I85" t="s">
        <v>47</v>
      </c>
      <c r="J85" s="17">
        <v>2282365.5</v>
      </c>
      <c r="K85" s="11">
        <v>2282365.5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2282365.5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2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2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t="s">
        <v>57</v>
      </c>
      <c r="AT85" s="4" t="str">
        <f t="shared" si="20"/>
        <v>Multas y sanciones por violación al régimen de venta de medicamentos controlados</v>
      </c>
      <c r="AU85" t="str">
        <f t="shared" si="21"/>
        <v>20Multas y sanciones por violación al régimen de venta de medicamentos controlados2282365,5</v>
      </c>
      <c r="AV85" t="str">
        <f>+_xlfn.XLOOKUP(AU85,CRUCE!L:L,CRUCE!M:M)</f>
        <v>READY</v>
      </c>
      <c r="AW85" t="s">
        <v>1907</v>
      </c>
    </row>
    <row r="86" spans="1:49" hidden="1" x14ac:dyDescent="0.3">
      <c r="A86">
        <v>2024</v>
      </c>
      <c r="B86">
        <v>307</v>
      </c>
      <c r="C86">
        <v>110203002</v>
      </c>
      <c r="D86" s="5" t="s">
        <v>44</v>
      </c>
      <c r="E86" s="8" t="s">
        <v>1598</v>
      </c>
      <c r="F86">
        <v>110203002</v>
      </c>
      <c r="H86" s="8" t="s">
        <v>213</v>
      </c>
      <c r="I86" t="s">
        <v>47</v>
      </c>
      <c r="J86" s="17">
        <v>1478804000</v>
      </c>
      <c r="K86" s="11">
        <v>1478804000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1478804000</v>
      </c>
      <c r="R86" s="11">
        <v>123191093.92</v>
      </c>
      <c r="S86" s="11">
        <v>244423977</v>
      </c>
      <c r="T86" s="11">
        <v>-121232883.08</v>
      </c>
      <c r="U86" s="11">
        <v>0</v>
      </c>
      <c r="V86" s="11">
        <v>0</v>
      </c>
      <c r="W86" s="11">
        <v>0</v>
      </c>
      <c r="X86" s="11">
        <v>91986183.950000003</v>
      </c>
      <c r="Y86" s="11">
        <v>848000</v>
      </c>
      <c r="Z86" s="12">
        <v>91138183.950000003</v>
      </c>
      <c r="AA86" s="11">
        <v>123191093.92</v>
      </c>
      <c r="AB86" s="11">
        <v>244423977</v>
      </c>
      <c r="AC86" s="11">
        <v>-121232883.08</v>
      </c>
      <c r="AD86" s="11">
        <v>0</v>
      </c>
      <c r="AE86" s="11">
        <v>0</v>
      </c>
      <c r="AF86" s="11">
        <v>0</v>
      </c>
      <c r="AG86" s="11">
        <v>91986183.950000003</v>
      </c>
      <c r="AH86" s="11">
        <v>848000</v>
      </c>
      <c r="AI86" s="12">
        <v>91138183.950000003</v>
      </c>
      <c r="AJ86" s="11">
        <v>91138183.950000003</v>
      </c>
      <c r="AK86" s="11">
        <v>0</v>
      </c>
      <c r="AL86" s="11">
        <v>0</v>
      </c>
      <c r="AM86" s="11">
        <v>91138183.950000003</v>
      </c>
      <c r="AN86" s="11">
        <v>91986183.950000003</v>
      </c>
      <c r="AO86" s="11">
        <v>848000</v>
      </c>
      <c r="AP86" s="11">
        <v>91986183.950000003</v>
      </c>
      <c r="AQ86" s="11">
        <v>0</v>
      </c>
      <c r="AR86" s="11">
        <v>848000</v>
      </c>
      <c r="AS86" t="s">
        <v>48</v>
      </c>
      <c r="AT86"/>
    </row>
    <row r="87" spans="1:49" x14ac:dyDescent="0.3">
      <c r="A87">
        <v>2024</v>
      </c>
      <c r="B87">
        <v>307</v>
      </c>
      <c r="C87">
        <v>11020300201</v>
      </c>
      <c r="D87" s="5">
        <v>20</v>
      </c>
      <c r="E87" s="8" t="s">
        <v>1599</v>
      </c>
      <c r="F87">
        <v>11020300201</v>
      </c>
      <c r="G87" t="s">
        <v>1908</v>
      </c>
      <c r="H87" s="8" t="s">
        <v>1600</v>
      </c>
      <c r="I87" t="s">
        <v>47</v>
      </c>
      <c r="J87" s="17">
        <v>1478804000</v>
      </c>
      <c r="K87" s="11">
        <v>1478804000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1478804000</v>
      </c>
      <c r="R87" s="11">
        <v>123191093.92</v>
      </c>
      <c r="S87" s="11">
        <v>244423977</v>
      </c>
      <c r="T87" s="11">
        <v>-121232883.08</v>
      </c>
      <c r="U87" s="11">
        <v>0</v>
      </c>
      <c r="V87" s="11">
        <v>0</v>
      </c>
      <c r="W87" s="11">
        <v>0</v>
      </c>
      <c r="X87" s="11">
        <v>91986183.950000003</v>
      </c>
      <c r="Y87" s="11">
        <v>848000</v>
      </c>
      <c r="Z87" s="12">
        <v>91138183.950000003</v>
      </c>
      <c r="AA87" s="11">
        <v>123191093.92</v>
      </c>
      <c r="AB87" s="11">
        <v>244423977</v>
      </c>
      <c r="AC87" s="11">
        <v>-121232883.08</v>
      </c>
      <c r="AD87" s="11">
        <v>0</v>
      </c>
      <c r="AE87" s="11">
        <v>0</v>
      </c>
      <c r="AF87" s="11">
        <v>0</v>
      </c>
      <c r="AG87" s="11">
        <v>91986183.950000003</v>
      </c>
      <c r="AH87" s="11">
        <v>848000</v>
      </c>
      <c r="AI87" s="12">
        <v>91138183.950000003</v>
      </c>
      <c r="AJ87" s="11">
        <v>91138183.950000003</v>
      </c>
      <c r="AK87" s="11">
        <v>0</v>
      </c>
      <c r="AL87" s="11">
        <v>0</v>
      </c>
      <c r="AM87" s="11">
        <v>91138183.950000003</v>
      </c>
      <c r="AN87" s="11">
        <v>91986183.950000003</v>
      </c>
      <c r="AO87" s="11">
        <v>848000</v>
      </c>
      <c r="AP87" s="11">
        <v>91986183.950000003</v>
      </c>
      <c r="AQ87" s="11">
        <v>0</v>
      </c>
      <c r="AR87" s="11">
        <v>848000</v>
      </c>
      <c r="AS87" t="s">
        <v>57</v>
      </c>
      <c r="AT87" s="4" t="s">
        <v>220</v>
      </c>
      <c r="AU87" t="str">
        <f>+D87&amp;AT87&amp;J87</f>
        <v>20Impuesto sobre vehículos automotores (Intereses de Mora)1478804000</v>
      </c>
      <c r="AV87" t="str">
        <f>+_xlfn.XLOOKUP(AU87,CRUCE!L:L,CRUCE!M:M)</f>
        <v>READY</v>
      </c>
      <c r="AW87" t="s">
        <v>1907</v>
      </c>
    </row>
    <row r="88" spans="1:49" hidden="1" x14ac:dyDescent="0.3">
      <c r="A88">
        <v>2024</v>
      </c>
      <c r="B88">
        <v>307</v>
      </c>
      <c r="C88">
        <v>110205</v>
      </c>
      <c r="D88" s="5" t="s">
        <v>44</v>
      </c>
      <c r="E88" s="8" t="s">
        <v>1601</v>
      </c>
      <c r="F88">
        <v>110205</v>
      </c>
      <c r="H88" s="8" t="s">
        <v>222</v>
      </c>
      <c r="I88" t="s">
        <v>47</v>
      </c>
      <c r="J88" s="17">
        <v>320000000</v>
      </c>
      <c r="K88" s="11">
        <v>320000000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320000000</v>
      </c>
      <c r="R88" s="11">
        <v>36573002.049999997</v>
      </c>
      <c r="S88" s="11">
        <v>347000</v>
      </c>
      <c r="T88" s="11">
        <v>36226002.049999997</v>
      </c>
      <c r="U88" s="11">
        <v>0</v>
      </c>
      <c r="V88" s="11">
        <v>0</v>
      </c>
      <c r="W88" s="11">
        <v>0</v>
      </c>
      <c r="X88" s="11">
        <v>28682260.359999999</v>
      </c>
      <c r="Y88" s="11">
        <v>0</v>
      </c>
      <c r="Z88" s="12">
        <v>28682260.359999999</v>
      </c>
      <c r="AA88" s="11">
        <v>36573002.049999997</v>
      </c>
      <c r="AB88" s="11">
        <v>347000</v>
      </c>
      <c r="AC88" s="11">
        <v>36226002.049999997</v>
      </c>
      <c r="AD88" s="11">
        <v>0</v>
      </c>
      <c r="AE88" s="11">
        <v>0</v>
      </c>
      <c r="AF88" s="11">
        <v>0</v>
      </c>
      <c r="AG88" s="11">
        <v>28682260.359999999</v>
      </c>
      <c r="AH88" s="11">
        <v>0</v>
      </c>
      <c r="AI88" s="12">
        <v>28682260.359999999</v>
      </c>
      <c r="AJ88" s="11">
        <v>28682260.359999999</v>
      </c>
      <c r="AK88" s="11">
        <v>0</v>
      </c>
      <c r="AL88" s="11">
        <v>0</v>
      </c>
      <c r="AM88" s="11">
        <v>28682260.359999999</v>
      </c>
      <c r="AN88" s="11">
        <v>28682260.359999999</v>
      </c>
      <c r="AO88" s="11">
        <v>0</v>
      </c>
      <c r="AP88" s="11">
        <v>28682260.359999999</v>
      </c>
      <c r="AQ88" s="11">
        <v>0</v>
      </c>
      <c r="AR88" s="11">
        <v>0</v>
      </c>
      <c r="AS88" t="s">
        <v>48</v>
      </c>
      <c r="AT88"/>
    </row>
    <row r="89" spans="1:49" hidden="1" x14ac:dyDescent="0.3">
      <c r="A89">
        <v>2024</v>
      </c>
      <c r="B89">
        <v>307</v>
      </c>
      <c r="C89">
        <v>110205001</v>
      </c>
      <c r="D89" s="5" t="s">
        <v>44</v>
      </c>
      <c r="E89" s="8" t="s">
        <v>1602</v>
      </c>
      <c r="F89">
        <v>110205001</v>
      </c>
      <c r="H89" s="8" t="s">
        <v>224</v>
      </c>
      <c r="I89" t="s">
        <v>47</v>
      </c>
      <c r="J89" s="17">
        <v>70000000</v>
      </c>
      <c r="K89" s="11">
        <v>70000000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70000000</v>
      </c>
      <c r="R89" s="11">
        <v>28563421.850000001</v>
      </c>
      <c r="S89" s="11">
        <v>347000</v>
      </c>
      <c r="T89" s="11">
        <v>28216421.850000001</v>
      </c>
      <c r="U89" s="11">
        <v>0</v>
      </c>
      <c r="V89" s="11">
        <v>0</v>
      </c>
      <c r="W89" s="11">
        <v>0</v>
      </c>
      <c r="X89" s="11">
        <v>27606022.550000001</v>
      </c>
      <c r="Y89" s="11">
        <v>0</v>
      </c>
      <c r="Z89" s="12">
        <v>27606022.550000001</v>
      </c>
      <c r="AA89" s="11">
        <v>28563421.850000001</v>
      </c>
      <c r="AB89" s="11">
        <v>347000</v>
      </c>
      <c r="AC89" s="11">
        <v>28216421.850000001</v>
      </c>
      <c r="AD89" s="11">
        <v>0</v>
      </c>
      <c r="AE89" s="11">
        <v>0</v>
      </c>
      <c r="AF89" s="11">
        <v>0</v>
      </c>
      <c r="AG89" s="11">
        <v>27606022.550000001</v>
      </c>
      <c r="AH89" s="11">
        <v>0</v>
      </c>
      <c r="AI89" s="12">
        <v>27606022.550000001</v>
      </c>
      <c r="AJ89" s="11">
        <v>27606022.550000001</v>
      </c>
      <c r="AK89" s="11">
        <v>0</v>
      </c>
      <c r="AL89" s="11">
        <v>0</v>
      </c>
      <c r="AM89" s="11">
        <v>27606022.550000001</v>
      </c>
      <c r="AN89" s="11">
        <v>27606022.550000001</v>
      </c>
      <c r="AO89" s="11">
        <v>0</v>
      </c>
      <c r="AP89" s="11">
        <v>27606022.550000001</v>
      </c>
      <c r="AQ89" s="11">
        <v>0</v>
      </c>
      <c r="AR89" s="11">
        <v>0</v>
      </c>
      <c r="AS89" t="s">
        <v>48</v>
      </c>
      <c r="AT89"/>
    </row>
    <row r="90" spans="1:49" x14ac:dyDescent="0.3">
      <c r="A90">
        <v>2024</v>
      </c>
      <c r="B90">
        <v>307</v>
      </c>
      <c r="C90">
        <v>11020500109</v>
      </c>
      <c r="D90" s="5">
        <v>20</v>
      </c>
      <c r="E90" s="8" t="s">
        <v>1603</v>
      </c>
      <c r="F90">
        <v>11020500109</v>
      </c>
      <c r="G90" t="s">
        <v>1908</v>
      </c>
      <c r="H90" s="8" t="s">
        <v>226</v>
      </c>
      <c r="I90" t="s">
        <v>47</v>
      </c>
      <c r="J90" s="17">
        <v>70000000</v>
      </c>
      <c r="K90" s="11">
        <v>70000000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70000000</v>
      </c>
      <c r="R90" s="11">
        <v>28563421.850000001</v>
      </c>
      <c r="S90" s="11">
        <v>347000</v>
      </c>
      <c r="T90" s="11">
        <v>28216421.850000001</v>
      </c>
      <c r="U90" s="11">
        <v>0</v>
      </c>
      <c r="V90" s="11">
        <v>0</v>
      </c>
      <c r="W90" s="11">
        <v>0</v>
      </c>
      <c r="X90" s="11">
        <v>27606022.550000001</v>
      </c>
      <c r="Y90" s="11">
        <v>0</v>
      </c>
      <c r="Z90" s="12">
        <v>27606022.550000001</v>
      </c>
      <c r="AA90" s="11">
        <v>28563421.850000001</v>
      </c>
      <c r="AB90" s="11">
        <v>347000</v>
      </c>
      <c r="AC90" s="11">
        <v>28216421.850000001</v>
      </c>
      <c r="AD90" s="11">
        <v>0</v>
      </c>
      <c r="AE90" s="11">
        <v>0</v>
      </c>
      <c r="AF90" s="11">
        <v>0</v>
      </c>
      <c r="AG90" s="11">
        <v>27606022.550000001</v>
      </c>
      <c r="AH90" s="11">
        <v>0</v>
      </c>
      <c r="AI90" s="12">
        <v>27606022.550000001</v>
      </c>
      <c r="AJ90" s="11">
        <v>27606022.550000001</v>
      </c>
      <c r="AK90" s="11">
        <v>0</v>
      </c>
      <c r="AL90" s="11">
        <v>0</v>
      </c>
      <c r="AM90" s="11">
        <v>27606022.550000001</v>
      </c>
      <c r="AN90" s="11">
        <v>27606022.550000001</v>
      </c>
      <c r="AO90" s="11">
        <v>0</v>
      </c>
      <c r="AP90" s="11">
        <v>27606022.550000001</v>
      </c>
      <c r="AQ90" s="11">
        <v>0</v>
      </c>
      <c r="AR90" s="11">
        <v>0</v>
      </c>
      <c r="AS90" t="s">
        <v>57</v>
      </c>
      <c r="AT90" s="4" t="str">
        <f>+H90</f>
        <v>Servicios para la comunidad, sociales y personales</v>
      </c>
      <c r="AU90" t="str">
        <f>+D90&amp;AT90&amp;J90</f>
        <v>20Servicios para la comunidad, sociales y personales70000000</v>
      </c>
      <c r="AV90" t="str">
        <f>+_xlfn.XLOOKUP(AU90,CRUCE!L:L,CRUCE!M:M)</f>
        <v>READY</v>
      </c>
      <c r="AW90" t="s">
        <v>1907</v>
      </c>
    </row>
    <row r="91" spans="1:49" hidden="1" x14ac:dyDescent="0.3">
      <c r="A91">
        <v>2024</v>
      </c>
      <c r="B91">
        <v>307</v>
      </c>
      <c r="C91">
        <v>110205002</v>
      </c>
      <c r="D91" s="5" t="s">
        <v>44</v>
      </c>
      <c r="E91" s="8" t="s">
        <v>1604</v>
      </c>
      <c r="F91">
        <v>110205002</v>
      </c>
      <c r="H91" s="8" t="s">
        <v>228</v>
      </c>
      <c r="I91" t="s">
        <v>47</v>
      </c>
      <c r="J91" s="17">
        <v>250000000</v>
      </c>
      <c r="K91" s="11">
        <v>250000000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250000000</v>
      </c>
      <c r="R91" s="11">
        <v>8009580.2000000002</v>
      </c>
      <c r="S91" s="11">
        <v>0</v>
      </c>
      <c r="T91" s="11">
        <v>8009580.2000000002</v>
      </c>
      <c r="U91" s="11">
        <v>0</v>
      </c>
      <c r="V91" s="11">
        <v>0</v>
      </c>
      <c r="W91" s="11">
        <v>0</v>
      </c>
      <c r="X91" s="11">
        <v>1076237.81</v>
      </c>
      <c r="Y91" s="11">
        <v>0</v>
      </c>
      <c r="Z91" s="12">
        <v>1076237.81</v>
      </c>
      <c r="AA91" s="11">
        <v>8009580.2000000002</v>
      </c>
      <c r="AB91" s="11">
        <v>0</v>
      </c>
      <c r="AC91" s="11">
        <v>8009580.2000000002</v>
      </c>
      <c r="AD91" s="11">
        <v>0</v>
      </c>
      <c r="AE91" s="11">
        <v>0</v>
      </c>
      <c r="AF91" s="11">
        <v>0</v>
      </c>
      <c r="AG91" s="11">
        <v>1076237.81</v>
      </c>
      <c r="AH91" s="11">
        <v>0</v>
      </c>
      <c r="AI91" s="12">
        <v>1076237.81</v>
      </c>
      <c r="AJ91" s="11">
        <v>1076237.81</v>
      </c>
      <c r="AK91" s="11">
        <v>0</v>
      </c>
      <c r="AL91" s="11">
        <v>0</v>
      </c>
      <c r="AM91" s="11">
        <v>1076237.81</v>
      </c>
      <c r="AN91" s="11">
        <v>1076237.81</v>
      </c>
      <c r="AO91" s="11">
        <v>0</v>
      </c>
      <c r="AP91" s="11">
        <v>1076237.81</v>
      </c>
      <c r="AQ91" s="11">
        <v>0</v>
      </c>
      <c r="AR91" s="11">
        <v>0</v>
      </c>
      <c r="AS91" t="s">
        <v>48</v>
      </c>
      <c r="AT91"/>
    </row>
    <row r="92" spans="1:49" x14ac:dyDescent="0.3">
      <c r="A92">
        <v>2024</v>
      </c>
      <c r="B92">
        <v>307</v>
      </c>
      <c r="C92">
        <v>11020500207</v>
      </c>
      <c r="D92" s="5">
        <v>20</v>
      </c>
      <c r="E92" s="8" t="s">
        <v>1605</v>
      </c>
      <c r="F92">
        <v>11020500207</v>
      </c>
      <c r="G92" t="s">
        <v>1908</v>
      </c>
      <c r="H92" s="8" t="s">
        <v>230</v>
      </c>
      <c r="I92" t="s">
        <v>47</v>
      </c>
      <c r="J92" s="17">
        <v>250000000</v>
      </c>
      <c r="K92" s="11">
        <v>250000000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250000000</v>
      </c>
      <c r="R92" s="11">
        <v>8009580.2000000002</v>
      </c>
      <c r="S92" s="11">
        <v>0</v>
      </c>
      <c r="T92" s="11">
        <v>8009580.2000000002</v>
      </c>
      <c r="U92" s="11">
        <v>0</v>
      </c>
      <c r="V92" s="11">
        <v>0</v>
      </c>
      <c r="W92" s="11">
        <v>0</v>
      </c>
      <c r="X92" s="11">
        <v>1076237.81</v>
      </c>
      <c r="Y92" s="11">
        <v>0</v>
      </c>
      <c r="Z92" s="12">
        <v>1076237.81</v>
      </c>
      <c r="AA92" s="11">
        <v>8009580.2000000002</v>
      </c>
      <c r="AB92" s="11">
        <v>0</v>
      </c>
      <c r="AC92" s="11">
        <v>8009580.2000000002</v>
      </c>
      <c r="AD92" s="11">
        <v>0</v>
      </c>
      <c r="AE92" s="11">
        <v>0</v>
      </c>
      <c r="AF92" s="11">
        <v>0</v>
      </c>
      <c r="AG92" s="11">
        <v>1076237.81</v>
      </c>
      <c r="AH92" s="11">
        <v>0</v>
      </c>
      <c r="AI92" s="12">
        <v>1076237.81</v>
      </c>
      <c r="AJ92" s="11">
        <v>1076237.81</v>
      </c>
      <c r="AK92" s="11">
        <v>0</v>
      </c>
      <c r="AL92" s="11">
        <v>0</v>
      </c>
      <c r="AM92" s="11">
        <v>1076237.81</v>
      </c>
      <c r="AN92" s="11">
        <v>1076237.81</v>
      </c>
      <c r="AO92" s="11">
        <v>0</v>
      </c>
      <c r="AP92" s="11">
        <v>1076237.81</v>
      </c>
      <c r="AQ92" s="11">
        <v>0</v>
      </c>
      <c r="AR92" s="11">
        <v>0</v>
      </c>
      <c r="AS92" t="s">
        <v>57</v>
      </c>
      <c r="AT92" s="4" t="str">
        <f>+H92</f>
        <v>Servicios financieros y servicios conexos, servicios inmobiliarios y servicios de leasing</v>
      </c>
      <c r="AU92" t="str">
        <f>+D92&amp;AT92&amp;J92</f>
        <v>20Servicios financieros y servicios conexos, servicios inmobiliarios y servicios de leasing250000000</v>
      </c>
      <c r="AV92" t="str">
        <f>+_xlfn.XLOOKUP(AU92,CRUCE!L:L,CRUCE!M:M)</f>
        <v>READY</v>
      </c>
      <c r="AW92" t="s">
        <v>1907</v>
      </c>
    </row>
    <row r="93" spans="1:49" hidden="1" x14ac:dyDescent="0.3">
      <c r="A93">
        <v>2024</v>
      </c>
      <c r="B93">
        <v>307</v>
      </c>
      <c r="C93">
        <v>110206</v>
      </c>
      <c r="D93" s="5" t="s">
        <v>44</v>
      </c>
      <c r="E93" s="8" t="s">
        <v>1606</v>
      </c>
      <c r="F93">
        <v>110206</v>
      </c>
      <c r="H93" s="8" t="s">
        <v>242</v>
      </c>
      <c r="I93" t="s">
        <v>47</v>
      </c>
      <c r="J93" s="17">
        <v>16952072000</v>
      </c>
      <c r="K93" s="11">
        <v>16952072000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16952072000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461435106</v>
      </c>
      <c r="Y93" s="11">
        <v>0</v>
      </c>
      <c r="Z93" s="12">
        <v>461435106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461435106</v>
      </c>
      <c r="AH93" s="11">
        <v>0</v>
      </c>
      <c r="AI93" s="12">
        <v>461435106</v>
      </c>
      <c r="AJ93" s="11">
        <v>461435106</v>
      </c>
      <c r="AK93" s="11">
        <v>0</v>
      </c>
      <c r="AL93" s="11">
        <v>0</v>
      </c>
      <c r="AM93" s="11">
        <v>461435106</v>
      </c>
      <c r="AN93" s="11">
        <v>461435106</v>
      </c>
      <c r="AO93" s="11">
        <v>0</v>
      </c>
      <c r="AP93" s="11">
        <v>461435106</v>
      </c>
      <c r="AQ93" s="11">
        <v>0</v>
      </c>
      <c r="AR93" s="11">
        <v>0</v>
      </c>
      <c r="AS93" t="s">
        <v>48</v>
      </c>
      <c r="AT93"/>
    </row>
    <row r="94" spans="1:49" hidden="1" x14ac:dyDescent="0.3">
      <c r="A94">
        <v>2024</v>
      </c>
      <c r="B94">
        <v>307</v>
      </c>
      <c r="C94">
        <v>110206001</v>
      </c>
      <c r="D94" s="5" t="s">
        <v>44</v>
      </c>
      <c r="E94" s="8" t="s">
        <v>1607</v>
      </c>
      <c r="F94">
        <v>110206001</v>
      </c>
      <c r="H94" s="8" t="s">
        <v>244</v>
      </c>
      <c r="I94" t="s">
        <v>47</v>
      </c>
      <c r="J94" s="17">
        <v>4052617000</v>
      </c>
      <c r="K94" s="11">
        <v>4052617000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4052617000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2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2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t="s">
        <v>48</v>
      </c>
      <c r="AT94"/>
    </row>
    <row r="95" spans="1:49" hidden="1" x14ac:dyDescent="0.3">
      <c r="A95">
        <v>2024</v>
      </c>
      <c r="B95">
        <v>307</v>
      </c>
      <c r="C95">
        <v>11020600105</v>
      </c>
      <c r="D95" s="5">
        <v>27</v>
      </c>
      <c r="E95" s="8" t="s">
        <v>1608</v>
      </c>
      <c r="F95">
        <v>11020600105</v>
      </c>
      <c r="G95" t="s">
        <v>1908</v>
      </c>
      <c r="H95" s="8" t="s">
        <v>246</v>
      </c>
      <c r="I95" t="s">
        <v>47</v>
      </c>
      <c r="J95" s="17">
        <v>4052617000</v>
      </c>
      <c r="K95" s="11">
        <v>4052617000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4052617000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2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2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t="s">
        <v>247</v>
      </c>
      <c r="AT95" s="4" t="str">
        <f>+H95</f>
        <v>Agua potable y saneamiento básico</v>
      </c>
      <c r="AU95" t="str">
        <f>+D95&amp;AT95&amp;J95</f>
        <v>27Agua potable y saneamiento básico4052617000</v>
      </c>
      <c r="AV95" t="str">
        <f>+_xlfn.XLOOKUP(AU95,CRUCE!L:L,CRUCE!M:M)</f>
        <v>READY</v>
      </c>
      <c r="AW95" t="s">
        <v>1907</v>
      </c>
    </row>
    <row r="96" spans="1:49" hidden="1" x14ac:dyDescent="0.3">
      <c r="A96">
        <v>2024</v>
      </c>
      <c r="B96">
        <v>307</v>
      </c>
      <c r="C96">
        <v>110206003</v>
      </c>
      <c r="D96" s="5" t="s">
        <v>44</v>
      </c>
      <c r="E96" s="8" t="s">
        <v>1609</v>
      </c>
      <c r="F96">
        <v>110206003</v>
      </c>
      <c r="H96" s="8" t="s">
        <v>249</v>
      </c>
      <c r="I96" t="s">
        <v>47</v>
      </c>
      <c r="J96" s="17">
        <v>3672925000</v>
      </c>
      <c r="K96" s="11">
        <v>3672925000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3672925000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461435106</v>
      </c>
      <c r="Y96" s="11">
        <v>0</v>
      </c>
      <c r="Z96" s="12">
        <v>461435106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461435106</v>
      </c>
      <c r="AH96" s="11">
        <v>0</v>
      </c>
      <c r="AI96" s="12">
        <v>461435106</v>
      </c>
      <c r="AJ96" s="11">
        <v>461435106</v>
      </c>
      <c r="AK96" s="11">
        <v>0</v>
      </c>
      <c r="AL96" s="11">
        <v>0</v>
      </c>
      <c r="AM96" s="11">
        <v>461435106</v>
      </c>
      <c r="AN96" s="11">
        <v>461435106</v>
      </c>
      <c r="AO96" s="11">
        <v>0</v>
      </c>
      <c r="AP96" s="11">
        <v>461435106</v>
      </c>
      <c r="AQ96" s="11">
        <v>0</v>
      </c>
      <c r="AR96" s="11">
        <v>0</v>
      </c>
      <c r="AS96" t="s">
        <v>48</v>
      </c>
      <c r="AT96"/>
    </row>
    <row r="97" spans="1:49" hidden="1" x14ac:dyDescent="0.3">
      <c r="A97">
        <v>2024</v>
      </c>
      <c r="B97">
        <v>307</v>
      </c>
      <c r="C97">
        <v>11020600301</v>
      </c>
      <c r="D97" s="5" t="s">
        <v>44</v>
      </c>
      <c r="E97" s="8" t="s">
        <v>1610</v>
      </c>
      <c r="F97">
        <v>11020600301</v>
      </c>
      <c r="H97" s="8" t="s">
        <v>251</v>
      </c>
      <c r="I97" t="s">
        <v>47</v>
      </c>
      <c r="J97" s="17">
        <v>3672925000</v>
      </c>
      <c r="K97" s="11">
        <v>3672925000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3672925000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461435106</v>
      </c>
      <c r="Y97" s="11">
        <v>0</v>
      </c>
      <c r="Z97" s="12">
        <v>461435106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461435106</v>
      </c>
      <c r="AH97" s="11">
        <v>0</v>
      </c>
      <c r="AI97" s="12">
        <v>461435106</v>
      </c>
      <c r="AJ97" s="11">
        <v>461435106</v>
      </c>
      <c r="AK97" s="11">
        <v>0</v>
      </c>
      <c r="AL97" s="11">
        <v>0</v>
      </c>
      <c r="AM97" s="11">
        <v>461435106</v>
      </c>
      <c r="AN97" s="11">
        <v>461435106</v>
      </c>
      <c r="AO97" s="11">
        <v>0</v>
      </c>
      <c r="AP97" s="11">
        <v>461435106</v>
      </c>
      <c r="AQ97" s="11">
        <v>0</v>
      </c>
      <c r="AR97" s="11">
        <v>0</v>
      </c>
      <c r="AS97" t="s">
        <v>48</v>
      </c>
      <c r="AT97"/>
    </row>
    <row r="98" spans="1:49" hidden="1" x14ac:dyDescent="0.3">
      <c r="A98">
        <v>2024</v>
      </c>
      <c r="B98">
        <v>307</v>
      </c>
      <c r="C98">
        <v>1102060030110</v>
      </c>
      <c r="D98" s="5">
        <v>23</v>
      </c>
      <c r="E98" s="8" t="s">
        <v>1611</v>
      </c>
      <c r="F98">
        <v>1102060030110</v>
      </c>
      <c r="G98" t="s">
        <v>1908</v>
      </c>
      <c r="H98" s="8" t="s">
        <v>253</v>
      </c>
      <c r="I98" t="s">
        <v>47</v>
      </c>
      <c r="J98" s="17">
        <v>3569066000</v>
      </c>
      <c r="K98" s="11">
        <v>3569066000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3569066000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461435106</v>
      </c>
      <c r="Y98" s="11">
        <v>0</v>
      </c>
      <c r="Z98" s="12">
        <v>461435106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461435106</v>
      </c>
      <c r="AH98" s="11">
        <v>0</v>
      </c>
      <c r="AI98" s="12">
        <v>461435106</v>
      </c>
      <c r="AJ98" s="11">
        <v>461435106</v>
      </c>
      <c r="AK98" s="11">
        <v>0</v>
      </c>
      <c r="AL98" s="11">
        <v>0</v>
      </c>
      <c r="AM98" s="11">
        <v>461435106</v>
      </c>
      <c r="AN98" s="11">
        <v>461435106</v>
      </c>
      <c r="AO98" s="11">
        <v>0</v>
      </c>
      <c r="AP98" s="11">
        <v>461435106</v>
      </c>
      <c r="AQ98" s="11">
        <v>0</v>
      </c>
      <c r="AR98" s="11">
        <v>0</v>
      </c>
      <c r="AS98" t="s">
        <v>1076</v>
      </c>
      <c r="AT98" s="4" t="str">
        <f t="shared" ref="AT98:AT99" si="22">+H98</f>
        <v>Participación de la sobretasa al ACPM</v>
      </c>
      <c r="AU98" t="str">
        <f t="shared" ref="AU98:AU99" si="23">+D98&amp;AT98&amp;J98</f>
        <v>23Participación de la sobretasa al ACPM3569066000</v>
      </c>
      <c r="AV98" t="str">
        <f>+_xlfn.XLOOKUP(AU98,CRUCE!L:L,CRUCE!M:M)</f>
        <v>READY</v>
      </c>
      <c r="AW98" t="s">
        <v>1907</v>
      </c>
    </row>
    <row r="99" spans="1:49" hidden="1" x14ac:dyDescent="0.3">
      <c r="A99">
        <v>2024</v>
      </c>
      <c r="B99">
        <v>307</v>
      </c>
      <c r="C99">
        <v>1102060030111</v>
      </c>
      <c r="D99" s="5">
        <v>47</v>
      </c>
      <c r="E99" s="8" t="s">
        <v>1612</v>
      </c>
      <c r="F99">
        <v>1102060030111</v>
      </c>
      <c r="G99" t="s">
        <v>1908</v>
      </c>
      <c r="H99" s="8" t="s">
        <v>255</v>
      </c>
      <c r="I99" t="s">
        <v>47</v>
      </c>
      <c r="J99" s="17">
        <v>103859000</v>
      </c>
      <c r="K99" s="11">
        <v>103859000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103859000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2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2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t="s">
        <v>256</v>
      </c>
      <c r="AT99" s="4" t="str">
        <f t="shared" si="22"/>
        <v>Participación del impuesto nacional al consumo del servicio de telefonía móvil</v>
      </c>
      <c r="AU99" t="str">
        <f t="shared" si="23"/>
        <v>47Participación del impuesto nacional al consumo del servicio de telefonía móvil103859000</v>
      </c>
      <c r="AV99" t="str">
        <f>+_xlfn.XLOOKUP(AU99,CRUCE!L:L,CRUCE!M:M)</f>
        <v>READY</v>
      </c>
      <c r="AW99" t="s">
        <v>1907</v>
      </c>
    </row>
    <row r="100" spans="1:49" hidden="1" x14ac:dyDescent="0.3">
      <c r="A100">
        <v>2024</v>
      </c>
      <c r="B100">
        <v>307</v>
      </c>
      <c r="C100">
        <v>110206006</v>
      </c>
      <c r="D100" s="5" t="s">
        <v>44</v>
      </c>
      <c r="E100" s="8" t="s">
        <v>1613</v>
      </c>
      <c r="F100">
        <v>110206006</v>
      </c>
      <c r="H100" s="8" t="s">
        <v>267</v>
      </c>
      <c r="I100" t="s">
        <v>47</v>
      </c>
      <c r="J100" s="17">
        <v>500000000</v>
      </c>
      <c r="K100" s="11">
        <v>500000000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500000000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2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2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t="s">
        <v>48</v>
      </c>
      <c r="AT100"/>
    </row>
    <row r="101" spans="1:49" hidden="1" x14ac:dyDescent="0.3">
      <c r="A101">
        <v>2024</v>
      </c>
      <c r="B101">
        <v>307</v>
      </c>
      <c r="C101">
        <v>11020600606</v>
      </c>
      <c r="D101" s="5" t="s">
        <v>44</v>
      </c>
      <c r="E101" s="8" t="s">
        <v>1614</v>
      </c>
      <c r="F101">
        <v>11020600606</v>
      </c>
      <c r="H101" s="8" t="s">
        <v>267</v>
      </c>
      <c r="I101" t="s">
        <v>47</v>
      </c>
      <c r="J101" s="17">
        <v>500000000</v>
      </c>
      <c r="K101" s="11">
        <v>500000000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500000000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2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2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t="s">
        <v>48</v>
      </c>
      <c r="AT101"/>
    </row>
    <row r="102" spans="1:49" hidden="1" x14ac:dyDescent="0.3">
      <c r="A102">
        <v>2024</v>
      </c>
      <c r="B102">
        <v>307</v>
      </c>
      <c r="C102">
        <v>1102060060600</v>
      </c>
      <c r="D102" s="5" t="s">
        <v>44</v>
      </c>
      <c r="E102" s="8" t="s">
        <v>1615</v>
      </c>
      <c r="F102">
        <v>1102060060600</v>
      </c>
      <c r="H102" s="8" t="s">
        <v>267</v>
      </c>
      <c r="I102" t="s">
        <v>47</v>
      </c>
      <c r="J102" s="17">
        <v>500000000</v>
      </c>
      <c r="K102" s="11">
        <v>500000000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500000000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2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2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t="s">
        <v>48</v>
      </c>
      <c r="AT102"/>
    </row>
    <row r="103" spans="1:49" hidden="1" x14ac:dyDescent="0.3">
      <c r="A103">
        <v>2024</v>
      </c>
      <c r="B103">
        <v>307</v>
      </c>
      <c r="C103">
        <v>110206006060000</v>
      </c>
      <c r="D103" s="5" t="s">
        <v>44</v>
      </c>
      <c r="E103" s="8" t="s">
        <v>1616</v>
      </c>
      <c r="F103">
        <v>110206006060000</v>
      </c>
      <c r="H103" s="8" t="s">
        <v>267</v>
      </c>
      <c r="I103" t="s">
        <v>47</v>
      </c>
      <c r="J103" s="17">
        <v>500000000</v>
      </c>
      <c r="K103" s="11">
        <v>500000000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500000000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2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2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t="s">
        <v>48</v>
      </c>
      <c r="AT103"/>
    </row>
    <row r="104" spans="1:49" hidden="1" x14ac:dyDescent="0.3">
      <c r="A104">
        <v>2024</v>
      </c>
      <c r="B104">
        <v>307</v>
      </c>
      <c r="C104">
        <v>1.1020600606E+17</v>
      </c>
      <c r="D104" s="5" t="s">
        <v>44</v>
      </c>
      <c r="E104" s="8" t="s">
        <v>1617</v>
      </c>
      <c r="F104">
        <v>1.1020600606E+17</v>
      </c>
      <c r="H104" s="8" t="s">
        <v>267</v>
      </c>
      <c r="I104" t="s">
        <v>47</v>
      </c>
      <c r="J104" s="17">
        <v>500000000</v>
      </c>
      <c r="K104" s="11">
        <v>500000000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500000000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2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2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t="s">
        <v>48</v>
      </c>
      <c r="AT104"/>
    </row>
    <row r="105" spans="1:49" hidden="1" x14ac:dyDescent="0.3">
      <c r="A105">
        <v>2024</v>
      </c>
      <c r="B105">
        <v>307</v>
      </c>
      <c r="C105">
        <v>1.1020600606E+20</v>
      </c>
      <c r="D105" s="5" t="s">
        <v>44</v>
      </c>
      <c r="E105" s="8" t="s">
        <v>1618</v>
      </c>
      <c r="F105">
        <v>1.1020600606E+20</v>
      </c>
      <c r="H105" s="8" t="s">
        <v>267</v>
      </c>
      <c r="I105" t="s">
        <v>47</v>
      </c>
      <c r="J105" s="17">
        <v>500000000</v>
      </c>
      <c r="K105" s="11">
        <v>500000000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500000000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2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2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t="s">
        <v>48</v>
      </c>
      <c r="AT105"/>
    </row>
    <row r="106" spans="1:49" hidden="1" x14ac:dyDescent="0.3">
      <c r="A106">
        <v>2024</v>
      </c>
      <c r="B106">
        <v>307</v>
      </c>
      <c r="C106">
        <v>1.1020600605999999E+35</v>
      </c>
      <c r="D106" s="5">
        <v>56</v>
      </c>
      <c r="E106" s="8" t="s">
        <v>1619</v>
      </c>
      <c r="F106">
        <v>1.1020600605999999E+35</v>
      </c>
      <c r="G106" t="s">
        <v>1908</v>
      </c>
      <c r="H106" s="8" t="s">
        <v>1620</v>
      </c>
      <c r="I106" t="s">
        <v>47</v>
      </c>
      <c r="J106" s="17">
        <v>500000000</v>
      </c>
      <c r="K106" s="11">
        <v>500000000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500000000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2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2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t="s">
        <v>279</v>
      </c>
      <c r="AT106" s="4" t="s">
        <v>286</v>
      </c>
      <c r="AU106" t="str">
        <f>+D106&amp;AT106&amp;J106</f>
        <v>56Federación Nacional de Departamentos500000000</v>
      </c>
      <c r="AV106" t="str">
        <f>+_xlfn.XLOOKUP(AU106,CRUCE!L:L,CRUCE!M:M)</f>
        <v>READY</v>
      </c>
      <c r="AW106" t="s">
        <v>1907</v>
      </c>
    </row>
    <row r="107" spans="1:49" hidden="1" x14ac:dyDescent="0.3">
      <c r="A107">
        <v>2024</v>
      </c>
      <c r="B107">
        <v>307</v>
      </c>
      <c r="C107">
        <v>11020600902</v>
      </c>
      <c r="D107" s="5" t="s">
        <v>44</v>
      </c>
      <c r="E107" s="8" t="s">
        <v>1621</v>
      </c>
      <c r="F107">
        <v>11020600902</v>
      </c>
      <c r="H107" s="8" t="s">
        <v>291</v>
      </c>
      <c r="I107" t="s">
        <v>47</v>
      </c>
      <c r="J107" s="17">
        <v>8726530000</v>
      </c>
      <c r="K107" s="11">
        <v>8726530000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8726530000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2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2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t="s">
        <v>48</v>
      </c>
      <c r="AT107"/>
    </row>
    <row r="108" spans="1:49" hidden="1" x14ac:dyDescent="0.3">
      <c r="A108">
        <v>2024</v>
      </c>
      <c r="B108">
        <v>307</v>
      </c>
      <c r="C108">
        <v>1102060090202</v>
      </c>
      <c r="D108" s="5" t="s">
        <v>44</v>
      </c>
      <c r="E108" s="8" t="s">
        <v>1622</v>
      </c>
      <c r="F108">
        <v>1102060090202</v>
      </c>
      <c r="H108" s="8" t="s">
        <v>293</v>
      </c>
      <c r="I108" t="s">
        <v>47</v>
      </c>
      <c r="J108" s="17">
        <v>8726530000</v>
      </c>
      <c r="K108" s="11">
        <v>8726530000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8726530000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2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2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t="s">
        <v>48</v>
      </c>
      <c r="AT108"/>
    </row>
    <row r="109" spans="1:49" hidden="1" x14ac:dyDescent="0.3">
      <c r="A109">
        <v>2024</v>
      </c>
      <c r="B109">
        <v>307</v>
      </c>
      <c r="C109">
        <v>110206009020200</v>
      </c>
      <c r="D109" s="5" t="s">
        <v>44</v>
      </c>
      <c r="E109" s="8" t="s">
        <v>1623</v>
      </c>
      <c r="F109">
        <v>110206009020200</v>
      </c>
      <c r="H109" s="8" t="s">
        <v>293</v>
      </c>
      <c r="I109" t="s">
        <v>47</v>
      </c>
      <c r="J109" s="17">
        <v>8726530000</v>
      </c>
      <c r="K109" s="11">
        <v>8726530000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8726530000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2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2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t="s">
        <v>48</v>
      </c>
      <c r="AT109"/>
    </row>
    <row r="110" spans="1:49" hidden="1" x14ac:dyDescent="0.3">
      <c r="A110">
        <v>2024</v>
      </c>
      <c r="B110">
        <v>307</v>
      </c>
      <c r="C110">
        <v>1.102060090202E+17</v>
      </c>
      <c r="D110" s="5" t="s">
        <v>44</v>
      </c>
      <c r="E110" s="8" t="s">
        <v>1624</v>
      </c>
      <c r="F110">
        <v>1.102060090202E+17</v>
      </c>
      <c r="H110" s="8" t="s">
        <v>293</v>
      </c>
      <c r="I110" t="s">
        <v>47</v>
      </c>
      <c r="J110" s="17">
        <v>8726530000</v>
      </c>
      <c r="K110" s="11">
        <v>8726530000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8726530000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2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2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t="s">
        <v>48</v>
      </c>
      <c r="AT110"/>
    </row>
    <row r="111" spans="1:49" hidden="1" x14ac:dyDescent="0.3">
      <c r="A111">
        <v>2024</v>
      </c>
      <c r="B111">
        <v>307</v>
      </c>
      <c r="C111">
        <v>1.1020600902019999E+20</v>
      </c>
      <c r="D111" s="5" t="s">
        <v>44</v>
      </c>
      <c r="E111" s="8" t="s">
        <v>1625</v>
      </c>
      <c r="F111">
        <v>1.1020600902019999E+20</v>
      </c>
      <c r="H111" s="8" t="s">
        <v>293</v>
      </c>
      <c r="I111" t="s">
        <v>47</v>
      </c>
      <c r="J111" s="17">
        <v>8726530000</v>
      </c>
      <c r="K111" s="11">
        <v>8726530000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8726530000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2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2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t="s">
        <v>48</v>
      </c>
      <c r="AT111"/>
    </row>
    <row r="112" spans="1:49" hidden="1" x14ac:dyDescent="0.3">
      <c r="A112">
        <v>2024</v>
      </c>
      <c r="B112">
        <v>307</v>
      </c>
      <c r="C112">
        <v>1.102060090202E+35</v>
      </c>
      <c r="D112" s="5">
        <v>49</v>
      </c>
      <c r="E112" s="8" t="s">
        <v>1626</v>
      </c>
      <c r="F112">
        <v>1.102060090202E+35</v>
      </c>
      <c r="G112" t="s">
        <v>1908</v>
      </c>
      <c r="H112" s="8" t="s">
        <v>341</v>
      </c>
      <c r="I112" t="s">
        <v>47</v>
      </c>
      <c r="J112" s="17">
        <v>424948</v>
      </c>
      <c r="K112" s="11">
        <v>424948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424948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2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2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1">
        <v>0</v>
      </c>
      <c r="AP112" s="11">
        <v>0</v>
      </c>
      <c r="AQ112" s="11">
        <v>0</v>
      </c>
      <c r="AR112" s="11">
        <v>0</v>
      </c>
      <c r="AS112" t="s">
        <v>1339</v>
      </c>
      <c r="AT112" s="4" t="str">
        <f t="shared" ref="AT112:AT132" si="24">+H112</f>
        <v>Alcalá</v>
      </c>
      <c r="AU112" t="str">
        <f t="shared" ref="AU112:AU132" si="25">+D112&amp;AT112&amp;J112</f>
        <v>49Alcalá424948</v>
      </c>
      <c r="AV112" t="str">
        <f>+_xlfn.XLOOKUP(AU112,CRUCE!L:L,CRUCE!M:M)</f>
        <v>READY</v>
      </c>
      <c r="AW112" t="s">
        <v>1907</v>
      </c>
    </row>
    <row r="113" spans="1:49" hidden="1" x14ac:dyDescent="0.3">
      <c r="A113">
        <v>2024</v>
      </c>
      <c r="B113">
        <v>307</v>
      </c>
      <c r="C113">
        <v>1.102060090202E+35</v>
      </c>
      <c r="D113" s="5">
        <v>49</v>
      </c>
      <c r="E113" s="8" t="s">
        <v>1627</v>
      </c>
      <c r="F113">
        <v>1.102060090202E+35</v>
      </c>
      <c r="G113" t="s">
        <v>1908</v>
      </c>
      <c r="H113" s="8" t="s">
        <v>1628</v>
      </c>
      <c r="I113" t="s">
        <v>47</v>
      </c>
      <c r="J113" s="17">
        <v>135357418</v>
      </c>
      <c r="K113" s="11">
        <v>135357418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135357418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2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2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t="s">
        <v>1339</v>
      </c>
      <c r="AT113" s="4" t="str">
        <f t="shared" si="24"/>
        <v xml:space="preserve">Armenia </v>
      </c>
      <c r="AU113" t="str">
        <f t="shared" si="25"/>
        <v>49Armenia 135357418</v>
      </c>
      <c r="AV113" t="str">
        <f>+_xlfn.XLOOKUP(AU113,CRUCE!L:L,CRUCE!M:M)</f>
        <v>READY</v>
      </c>
      <c r="AW113" t="s">
        <v>1907</v>
      </c>
    </row>
    <row r="114" spans="1:49" hidden="1" x14ac:dyDescent="0.3">
      <c r="A114">
        <v>2024</v>
      </c>
      <c r="B114">
        <v>307</v>
      </c>
      <c r="C114">
        <v>1.102060090202E+35</v>
      </c>
      <c r="D114" s="5">
        <v>49</v>
      </c>
      <c r="E114" s="8" t="s">
        <v>1629</v>
      </c>
      <c r="F114">
        <v>1.102060090202E+35</v>
      </c>
      <c r="G114" t="s">
        <v>1908</v>
      </c>
      <c r="H114" s="8" t="s">
        <v>327</v>
      </c>
      <c r="I114" t="s">
        <v>47</v>
      </c>
      <c r="J114" s="17">
        <v>7651123</v>
      </c>
      <c r="K114" s="11">
        <v>7651123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7651123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2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2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t="s">
        <v>1339</v>
      </c>
      <c r="AT114" s="4" t="str">
        <f t="shared" si="24"/>
        <v>Buenavista - Quindío</v>
      </c>
      <c r="AU114" t="str">
        <f t="shared" si="25"/>
        <v>49Buenavista - Quindío7651123</v>
      </c>
      <c r="AV114" t="str">
        <f>+_xlfn.XLOOKUP(AU114,CRUCE!L:L,CRUCE!M:M)</f>
        <v>READY</v>
      </c>
      <c r="AW114" t="s">
        <v>1907</v>
      </c>
    </row>
    <row r="115" spans="1:49" hidden="1" x14ac:dyDescent="0.3">
      <c r="A115">
        <v>2024</v>
      </c>
      <c r="B115">
        <v>307</v>
      </c>
      <c r="C115">
        <v>1.102060090202E+35</v>
      </c>
      <c r="D115" s="5">
        <v>49</v>
      </c>
      <c r="E115" s="8" t="s">
        <v>1630</v>
      </c>
      <c r="F115">
        <v>1.102060090202E+35</v>
      </c>
      <c r="G115" t="s">
        <v>1908</v>
      </c>
      <c r="H115" s="8" t="s">
        <v>1631</v>
      </c>
      <c r="I115" t="s">
        <v>47</v>
      </c>
      <c r="J115" s="17">
        <v>28431417</v>
      </c>
      <c r="K115" s="11">
        <v>28431417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28431417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2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2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t="s">
        <v>1339</v>
      </c>
      <c r="AT115" s="4" t="str">
        <f t="shared" si="24"/>
        <v xml:space="preserve">Calarca </v>
      </c>
      <c r="AU115" t="str">
        <f t="shared" si="25"/>
        <v>49Calarca 28431417</v>
      </c>
      <c r="AV115" t="str">
        <f>+_xlfn.XLOOKUP(AU115,CRUCE!L:L,CRUCE!M:M)</f>
        <v>READY</v>
      </c>
      <c r="AW115" t="s">
        <v>1907</v>
      </c>
    </row>
    <row r="116" spans="1:49" hidden="1" x14ac:dyDescent="0.3">
      <c r="A116">
        <v>2024</v>
      </c>
      <c r="B116">
        <v>307</v>
      </c>
      <c r="C116">
        <v>1.102060090202E+35</v>
      </c>
      <c r="D116" s="5">
        <v>49</v>
      </c>
      <c r="E116" s="8" t="s">
        <v>1632</v>
      </c>
      <c r="F116">
        <v>1.102060090202E+35</v>
      </c>
      <c r="G116" t="s">
        <v>1908</v>
      </c>
      <c r="H116" s="8" t="s">
        <v>329</v>
      </c>
      <c r="I116" t="s">
        <v>47</v>
      </c>
      <c r="J116" s="17">
        <v>11311872</v>
      </c>
      <c r="K116" s="11">
        <v>11311872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11311872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2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2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t="s">
        <v>1339</v>
      </c>
      <c r="AT116" s="4" t="str">
        <f t="shared" si="24"/>
        <v>Circasia</v>
      </c>
      <c r="AU116" t="str">
        <f t="shared" si="25"/>
        <v>49Circasia11311872</v>
      </c>
      <c r="AV116" t="str">
        <f>+_xlfn.XLOOKUP(AU116,CRUCE!L:L,CRUCE!M:M)</f>
        <v>READY</v>
      </c>
      <c r="AW116" t="s">
        <v>1907</v>
      </c>
    </row>
    <row r="117" spans="1:49" hidden="1" x14ac:dyDescent="0.3">
      <c r="A117">
        <v>2024</v>
      </c>
      <c r="B117">
        <v>307</v>
      </c>
      <c r="C117">
        <v>1.102060090202E+35</v>
      </c>
      <c r="D117" s="5">
        <v>49</v>
      </c>
      <c r="E117" s="8" t="s">
        <v>1633</v>
      </c>
      <c r="F117">
        <v>1.102060090202E+35</v>
      </c>
      <c r="G117" t="s">
        <v>1908</v>
      </c>
      <c r="H117" s="8" t="s">
        <v>313</v>
      </c>
      <c r="I117" t="s">
        <v>47</v>
      </c>
      <c r="J117" s="17">
        <v>361607216</v>
      </c>
      <c r="K117" s="11">
        <v>361607216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361607216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2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2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t="s">
        <v>1339</v>
      </c>
      <c r="AT117" s="4" t="str">
        <f t="shared" si="24"/>
        <v>Departamento de Caldas</v>
      </c>
      <c r="AU117" t="str">
        <f t="shared" si="25"/>
        <v>49Departamento de Caldas361607216</v>
      </c>
      <c r="AV117" t="str">
        <f>+_xlfn.XLOOKUP(AU117,CRUCE!L:L,CRUCE!M:M)</f>
        <v>READY</v>
      </c>
      <c r="AW117" t="s">
        <v>1907</v>
      </c>
    </row>
    <row r="118" spans="1:49" hidden="1" x14ac:dyDescent="0.3">
      <c r="A118">
        <v>2024</v>
      </c>
      <c r="B118">
        <v>307</v>
      </c>
      <c r="C118">
        <v>1.102060090202E+35</v>
      </c>
      <c r="D118" s="5">
        <v>49</v>
      </c>
      <c r="E118" s="8" t="s">
        <v>1634</v>
      </c>
      <c r="F118">
        <v>1.102060090202E+35</v>
      </c>
      <c r="G118" t="s">
        <v>1908</v>
      </c>
      <c r="H118" s="8" t="s">
        <v>1635</v>
      </c>
      <c r="I118" t="s">
        <v>47</v>
      </c>
      <c r="J118" s="17">
        <v>10080210</v>
      </c>
      <c r="K118" s="11">
        <v>10080210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10080210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2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2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t="s">
        <v>1339</v>
      </c>
      <c r="AT118" s="4" t="str">
        <f t="shared" si="24"/>
        <v>Departamento del Valle del Cauca</v>
      </c>
      <c r="AU118" t="str">
        <f t="shared" si="25"/>
        <v>49Departamento del Valle del Cauca10080210</v>
      </c>
      <c r="AV118" t="str">
        <f>+_xlfn.XLOOKUP(AU118,CRUCE!L:L,CRUCE!M:M)</f>
        <v>READY</v>
      </c>
      <c r="AW118" t="s">
        <v>1907</v>
      </c>
    </row>
    <row r="119" spans="1:49" hidden="1" x14ac:dyDescent="0.3">
      <c r="A119">
        <v>2024</v>
      </c>
      <c r="B119">
        <v>307</v>
      </c>
      <c r="C119">
        <v>1.102060090202E+35</v>
      </c>
      <c r="D119" s="5">
        <v>49</v>
      </c>
      <c r="E119" s="8" t="s">
        <v>1636</v>
      </c>
      <c r="F119">
        <v>1.102060090202E+35</v>
      </c>
      <c r="G119" t="s">
        <v>1908</v>
      </c>
      <c r="H119" s="8" t="s">
        <v>1637</v>
      </c>
      <c r="I119" t="s">
        <v>47</v>
      </c>
      <c r="J119" s="17">
        <v>21244362</v>
      </c>
      <c r="K119" s="11">
        <v>21244362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21244362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2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2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t="s">
        <v>1339</v>
      </c>
      <c r="AT119" s="4" t="str">
        <f t="shared" si="24"/>
        <v xml:space="preserve">Filandia </v>
      </c>
      <c r="AU119" t="str">
        <f t="shared" si="25"/>
        <v>49Filandia 21244362</v>
      </c>
      <c r="AV119" t="str">
        <f>+_xlfn.XLOOKUP(AU119,CRUCE!L:L,CRUCE!M:M)</f>
        <v>READY</v>
      </c>
      <c r="AW119" t="s">
        <v>1907</v>
      </c>
    </row>
    <row r="120" spans="1:49" hidden="1" x14ac:dyDescent="0.3">
      <c r="A120">
        <v>2024</v>
      </c>
      <c r="B120">
        <v>307</v>
      </c>
      <c r="C120">
        <v>1.102060090202E+35</v>
      </c>
      <c r="D120" s="5">
        <v>49</v>
      </c>
      <c r="E120" s="8" t="s">
        <v>1638</v>
      </c>
      <c r="F120">
        <v>1.102060090202E+35</v>
      </c>
      <c r="G120" t="s">
        <v>1908</v>
      </c>
      <c r="H120" s="8" t="s">
        <v>1639</v>
      </c>
      <c r="I120" t="s">
        <v>47</v>
      </c>
      <c r="J120" s="17">
        <v>8076089</v>
      </c>
      <c r="K120" s="11">
        <v>8076089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8076089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2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2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t="s">
        <v>1339</v>
      </c>
      <c r="AT120" s="4" t="str">
        <f t="shared" si="24"/>
        <v xml:space="preserve">Genova </v>
      </c>
      <c r="AU120" t="str">
        <f t="shared" si="25"/>
        <v>49Genova 8076089</v>
      </c>
      <c r="AV120" t="str">
        <f>+_xlfn.XLOOKUP(AU120,CRUCE!L:L,CRUCE!M:M)</f>
        <v>READY</v>
      </c>
      <c r="AW120" t="s">
        <v>1907</v>
      </c>
    </row>
    <row r="121" spans="1:49" hidden="1" x14ac:dyDescent="0.3">
      <c r="A121">
        <v>2024</v>
      </c>
      <c r="B121">
        <v>307</v>
      </c>
      <c r="C121">
        <v>1.102060090202E+35</v>
      </c>
      <c r="D121" s="5">
        <v>49</v>
      </c>
      <c r="E121" s="8" t="s">
        <v>1640</v>
      </c>
      <c r="F121">
        <v>1.102060090202E+35</v>
      </c>
      <c r="G121" t="s">
        <v>1908</v>
      </c>
      <c r="H121" s="8" t="s">
        <v>1338</v>
      </c>
      <c r="I121" t="s">
        <v>47</v>
      </c>
      <c r="J121" s="17">
        <v>38481576</v>
      </c>
      <c r="K121" s="11">
        <v>38481576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38481576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2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2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t="s">
        <v>1339</v>
      </c>
      <c r="AT121" s="4" t="str">
        <f t="shared" si="24"/>
        <v xml:space="preserve">La Tebaida </v>
      </c>
      <c r="AU121" t="str">
        <f t="shared" si="25"/>
        <v>49La Tebaida 38481576</v>
      </c>
      <c r="AV121" t="str">
        <f>+_xlfn.XLOOKUP(AU121,CRUCE!L:L,CRUCE!M:M)</f>
        <v>READY</v>
      </c>
      <c r="AW121" t="s">
        <v>1907</v>
      </c>
    </row>
    <row r="122" spans="1:49" hidden="1" x14ac:dyDescent="0.3">
      <c r="A122">
        <v>2024</v>
      </c>
      <c r="B122">
        <v>307</v>
      </c>
      <c r="C122">
        <v>1.102060090202E+35</v>
      </c>
      <c r="D122" s="5">
        <v>49</v>
      </c>
      <c r="E122" s="8" t="s">
        <v>1641</v>
      </c>
      <c r="F122">
        <v>1.102060090202E+35</v>
      </c>
      <c r="G122" t="s">
        <v>1908</v>
      </c>
      <c r="H122" s="8" t="s">
        <v>335</v>
      </c>
      <c r="I122" t="s">
        <v>47</v>
      </c>
      <c r="J122" s="17">
        <v>6729980</v>
      </c>
      <c r="K122" s="11">
        <v>6729980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6729980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2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2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t="s">
        <v>1339</v>
      </c>
      <c r="AT122" s="4" t="str">
        <f t="shared" si="24"/>
        <v>Montenegro</v>
      </c>
      <c r="AU122" t="str">
        <f t="shared" si="25"/>
        <v>49Montenegro6729980</v>
      </c>
      <c r="AV122" t="str">
        <f>+_xlfn.XLOOKUP(AU122,CRUCE!L:L,CRUCE!M:M)</f>
        <v>READY</v>
      </c>
      <c r="AW122" t="s">
        <v>1907</v>
      </c>
    </row>
    <row r="123" spans="1:49" hidden="1" x14ac:dyDescent="0.3">
      <c r="A123">
        <v>2024</v>
      </c>
      <c r="B123">
        <v>307</v>
      </c>
      <c r="C123">
        <v>1.102060090202E+35</v>
      </c>
      <c r="D123" s="5">
        <v>49</v>
      </c>
      <c r="E123" s="8" t="s">
        <v>1642</v>
      </c>
      <c r="F123">
        <v>1.102060090202E+35</v>
      </c>
      <c r="G123" t="s">
        <v>1908</v>
      </c>
      <c r="H123" s="8" t="s">
        <v>1643</v>
      </c>
      <c r="I123" t="s">
        <v>47</v>
      </c>
      <c r="J123" s="17">
        <v>1101554</v>
      </c>
      <c r="K123" s="11">
        <v>1101554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1101554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2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2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t="s">
        <v>1339</v>
      </c>
      <c r="AT123" s="4" t="str">
        <f t="shared" si="24"/>
        <v xml:space="preserve">Obando </v>
      </c>
      <c r="AU123" t="str">
        <f t="shared" si="25"/>
        <v>49Obando 1101554</v>
      </c>
      <c r="AV123" t="str">
        <f>+_xlfn.XLOOKUP(AU123,CRUCE!L:L,CRUCE!M:M)</f>
        <v>READY</v>
      </c>
      <c r="AW123" t="s">
        <v>1907</v>
      </c>
    </row>
    <row r="124" spans="1:49" hidden="1" x14ac:dyDescent="0.3">
      <c r="A124">
        <v>2024</v>
      </c>
      <c r="B124">
        <v>307</v>
      </c>
      <c r="C124">
        <v>1.102060090202E+35</v>
      </c>
      <c r="D124" s="5">
        <v>49</v>
      </c>
      <c r="E124" s="8" t="s">
        <v>1644</v>
      </c>
      <c r="F124">
        <v>1.102060090202E+35</v>
      </c>
      <c r="G124" t="s">
        <v>1908</v>
      </c>
      <c r="H124" s="8" t="s">
        <v>1645</v>
      </c>
      <c r="I124" t="s">
        <v>47</v>
      </c>
      <c r="J124" s="17">
        <v>3440872</v>
      </c>
      <c r="K124" s="11">
        <v>3440872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3440872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2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2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t="s">
        <v>1339</v>
      </c>
      <c r="AT124" s="4" t="str">
        <f t="shared" si="24"/>
        <v xml:space="preserve">Pereira </v>
      </c>
      <c r="AU124" t="str">
        <f t="shared" si="25"/>
        <v>49Pereira 3440872</v>
      </c>
      <c r="AV124" t="str">
        <f>+_xlfn.XLOOKUP(AU124,CRUCE!L:L,CRUCE!M:M)</f>
        <v>READY</v>
      </c>
      <c r="AW124" t="s">
        <v>1907</v>
      </c>
    </row>
    <row r="125" spans="1:49" hidden="1" x14ac:dyDescent="0.3">
      <c r="A125">
        <v>2024</v>
      </c>
      <c r="B125">
        <v>307</v>
      </c>
      <c r="C125">
        <v>1.102060090202E+35</v>
      </c>
      <c r="D125" s="5">
        <v>49</v>
      </c>
      <c r="E125" s="8" t="s">
        <v>1646</v>
      </c>
      <c r="F125">
        <v>1.102060090202E+35</v>
      </c>
      <c r="G125" t="s">
        <v>1908</v>
      </c>
      <c r="H125" s="8" t="s">
        <v>1647</v>
      </c>
      <c r="I125" t="s">
        <v>47</v>
      </c>
      <c r="J125" s="17">
        <v>4965553</v>
      </c>
      <c r="K125" s="11">
        <v>4965553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4965553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2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2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t="s">
        <v>1339</v>
      </c>
      <c r="AT125" s="4" t="str">
        <f t="shared" si="24"/>
        <v xml:space="preserve">Puerto Salgar </v>
      </c>
      <c r="AU125" t="str">
        <f t="shared" si="25"/>
        <v>49Puerto Salgar 4965553</v>
      </c>
      <c r="AV125" t="str">
        <f>+_xlfn.XLOOKUP(AU125,CRUCE!L:L,CRUCE!M:M)</f>
        <v>READY</v>
      </c>
      <c r="AW125" t="s">
        <v>1907</v>
      </c>
    </row>
    <row r="126" spans="1:49" hidden="1" x14ac:dyDescent="0.3">
      <c r="A126">
        <v>2024</v>
      </c>
      <c r="B126">
        <v>307</v>
      </c>
      <c r="C126">
        <v>1.102060090202E+35</v>
      </c>
      <c r="D126" s="5">
        <v>49</v>
      </c>
      <c r="E126" s="8" t="s">
        <v>1648</v>
      </c>
      <c r="F126">
        <v>1.102060090202E+35</v>
      </c>
      <c r="G126" t="s">
        <v>1908</v>
      </c>
      <c r="H126" s="8" t="s">
        <v>1649</v>
      </c>
      <c r="I126" t="s">
        <v>47</v>
      </c>
      <c r="J126" s="17">
        <v>54264828</v>
      </c>
      <c r="K126" s="11">
        <v>54264828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54264828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2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2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t="s">
        <v>1339</v>
      </c>
      <c r="AT126" s="4" t="str">
        <f t="shared" si="24"/>
        <v xml:space="preserve">Quimbaya </v>
      </c>
      <c r="AU126" t="str">
        <f t="shared" si="25"/>
        <v>49Quimbaya 54264828</v>
      </c>
      <c r="AV126" t="str">
        <f>+_xlfn.XLOOKUP(AU126,CRUCE!L:L,CRUCE!M:M)</f>
        <v>READY</v>
      </c>
      <c r="AW126" t="s">
        <v>1907</v>
      </c>
    </row>
    <row r="127" spans="1:49" hidden="1" x14ac:dyDescent="0.3">
      <c r="A127">
        <v>2024</v>
      </c>
      <c r="B127">
        <v>307</v>
      </c>
      <c r="C127">
        <v>1.102060090202E+35</v>
      </c>
      <c r="D127" s="5">
        <v>49</v>
      </c>
      <c r="E127" s="8" t="s">
        <v>1650</v>
      </c>
      <c r="F127">
        <v>1.102060090202E+35</v>
      </c>
      <c r="G127" t="s">
        <v>1908</v>
      </c>
      <c r="H127" s="8" t="s">
        <v>1651</v>
      </c>
      <c r="I127" t="s">
        <v>47</v>
      </c>
      <c r="J127" s="17">
        <v>3664446</v>
      </c>
      <c r="K127" s="11">
        <v>3664446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3664446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2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2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t="s">
        <v>1339</v>
      </c>
      <c r="AT127" s="4" t="str">
        <f t="shared" si="24"/>
        <v xml:space="preserve">Risaralda </v>
      </c>
      <c r="AU127" t="str">
        <f t="shared" si="25"/>
        <v>49Risaralda 3664446</v>
      </c>
      <c r="AV127" t="str">
        <f>+_xlfn.XLOOKUP(AU127,CRUCE!L:L,CRUCE!M:M)</f>
        <v>READY</v>
      </c>
      <c r="AW127" t="s">
        <v>1907</v>
      </c>
    </row>
    <row r="128" spans="1:49" hidden="1" x14ac:dyDescent="0.3">
      <c r="A128">
        <v>2024</v>
      </c>
      <c r="B128">
        <v>307</v>
      </c>
      <c r="C128">
        <v>1.102060090202E+35</v>
      </c>
      <c r="D128" s="5">
        <v>49</v>
      </c>
      <c r="E128" s="8" t="s">
        <v>1652</v>
      </c>
      <c r="F128">
        <v>1.102060090202E+35</v>
      </c>
      <c r="G128" t="s">
        <v>1908</v>
      </c>
      <c r="H128" s="8" t="s">
        <v>1653</v>
      </c>
      <c r="I128" t="s">
        <v>47</v>
      </c>
      <c r="J128" s="17">
        <v>1272076</v>
      </c>
      <c r="K128" s="11">
        <v>1272076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1272076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2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2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t="s">
        <v>1339</v>
      </c>
      <c r="AT128" s="4" t="str">
        <f t="shared" si="24"/>
        <v xml:space="preserve">Salento </v>
      </c>
      <c r="AU128" t="str">
        <f t="shared" si="25"/>
        <v>49Salento 1272076</v>
      </c>
      <c r="AV128" t="str">
        <f>+_xlfn.XLOOKUP(AU128,CRUCE!L:L,CRUCE!M:M)</f>
        <v>READY</v>
      </c>
      <c r="AW128" t="s">
        <v>1907</v>
      </c>
    </row>
    <row r="129" spans="1:49" hidden="1" x14ac:dyDescent="0.3">
      <c r="A129">
        <v>2024</v>
      </c>
      <c r="B129">
        <v>307</v>
      </c>
      <c r="C129">
        <v>1.102060090202E+35</v>
      </c>
      <c r="D129" s="5">
        <v>49</v>
      </c>
      <c r="E129" s="8" t="s">
        <v>1654</v>
      </c>
      <c r="F129">
        <v>1.102060090202E+35</v>
      </c>
      <c r="G129" t="s">
        <v>1908</v>
      </c>
      <c r="H129" s="8" t="s">
        <v>321</v>
      </c>
      <c r="I129" t="s">
        <v>47</v>
      </c>
      <c r="J129" s="17">
        <v>1711740</v>
      </c>
      <c r="K129" s="11">
        <v>1711740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1711740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2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2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t="s">
        <v>1339</v>
      </c>
      <c r="AT129" s="4" t="str">
        <f t="shared" si="24"/>
        <v>Supía</v>
      </c>
      <c r="AU129" t="str">
        <f t="shared" si="25"/>
        <v>49Supía1711740</v>
      </c>
      <c r="AV129" t="str">
        <f>+_xlfn.XLOOKUP(AU129,CRUCE!L:L,CRUCE!M:M)</f>
        <v>READY</v>
      </c>
      <c r="AW129" t="s">
        <v>1907</v>
      </c>
    </row>
    <row r="130" spans="1:49" hidden="1" x14ac:dyDescent="0.3">
      <c r="A130">
        <v>2024</v>
      </c>
      <c r="B130">
        <v>307</v>
      </c>
      <c r="C130">
        <v>1.102060090202E+35</v>
      </c>
      <c r="D130" s="5">
        <v>133</v>
      </c>
      <c r="E130" s="8" t="s">
        <v>1655</v>
      </c>
      <c r="F130">
        <v>1.102060090202E+35</v>
      </c>
      <c r="G130" t="s">
        <v>1908</v>
      </c>
      <c r="H130" s="8" t="s">
        <v>1347</v>
      </c>
      <c r="I130" t="s">
        <v>47</v>
      </c>
      <c r="J130" s="17">
        <v>8000000000</v>
      </c>
      <c r="K130" s="11">
        <v>8000000000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8000000000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2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2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t="s">
        <v>1348</v>
      </c>
      <c r="AT130" s="4" t="str">
        <f t="shared" si="24"/>
        <v>Fondo Nacional de Pensiones de las Entidades Territoriales - FONPET</v>
      </c>
      <c r="AU130" t="str">
        <f t="shared" si="25"/>
        <v>133Fondo Nacional de Pensiones de las Entidades Territoriales - FONPET8000000000</v>
      </c>
      <c r="AV130" t="str">
        <f>+_xlfn.XLOOKUP(AU130,CRUCE!L:L,CRUCE!M:M)</f>
        <v>READY</v>
      </c>
      <c r="AW130" t="s">
        <v>1907</v>
      </c>
    </row>
    <row r="131" spans="1:49" hidden="1" x14ac:dyDescent="0.3">
      <c r="A131">
        <v>2024</v>
      </c>
      <c r="B131">
        <v>307</v>
      </c>
      <c r="C131">
        <v>1.102060090202E+35</v>
      </c>
      <c r="D131" s="5">
        <v>49</v>
      </c>
      <c r="E131" s="8" t="s">
        <v>1656</v>
      </c>
      <c r="F131">
        <v>1.102060090202E+35</v>
      </c>
      <c r="G131" t="s">
        <v>1908</v>
      </c>
      <c r="H131" s="8" t="s">
        <v>1657</v>
      </c>
      <c r="I131" t="s">
        <v>47</v>
      </c>
      <c r="J131" s="17">
        <v>11942474</v>
      </c>
      <c r="K131" s="11">
        <v>11942474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11942474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2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2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t="s">
        <v>1339</v>
      </c>
      <c r="AT131" s="4" t="str">
        <f t="shared" si="24"/>
        <v xml:space="preserve">Municipio de Risaralda Caldas </v>
      </c>
      <c r="AU131" t="str">
        <f t="shared" si="25"/>
        <v>49Municipio de Risaralda Caldas 11942474</v>
      </c>
      <c r="AV131" t="str">
        <f>+_xlfn.XLOOKUP(AU131,CRUCE!L:L,CRUCE!M:M)</f>
        <v>READY</v>
      </c>
      <c r="AW131" t="s">
        <v>1907</v>
      </c>
    </row>
    <row r="132" spans="1:49" hidden="1" x14ac:dyDescent="0.3">
      <c r="A132">
        <v>2024</v>
      </c>
      <c r="B132">
        <v>307</v>
      </c>
      <c r="C132">
        <v>1.102060090202E+35</v>
      </c>
      <c r="D132" s="5">
        <v>49</v>
      </c>
      <c r="E132" s="8" t="s">
        <v>1658</v>
      </c>
      <c r="F132">
        <v>1.102060090202E+35</v>
      </c>
      <c r="G132" t="s">
        <v>1908</v>
      </c>
      <c r="H132" s="8" t="s">
        <v>343</v>
      </c>
      <c r="I132" t="s">
        <v>47</v>
      </c>
      <c r="J132" s="17">
        <v>14770246</v>
      </c>
      <c r="K132" s="11">
        <v>14770246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14770246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2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2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t="s">
        <v>1339</v>
      </c>
      <c r="AT132" s="4" t="str">
        <f t="shared" si="24"/>
        <v>Sevilla</v>
      </c>
      <c r="AU132" t="str">
        <f t="shared" si="25"/>
        <v>49Sevilla14770246</v>
      </c>
      <c r="AV132" t="str">
        <f>+_xlfn.XLOOKUP(AU132,CRUCE!L:L,CRUCE!M:M)</f>
        <v>READY</v>
      </c>
      <c r="AW132" t="s">
        <v>1907</v>
      </c>
    </row>
    <row r="133" spans="1:49" hidden="1" x14ac:dyDescent="0.3">
      <c r="A133">
        <v>2024</v>
      </c>
      <c r="B133">
        <v>307</v>
      </c>
      <c r="C133">
        <v>110207</v>
      </c>
      <c r="D133" s="5" t="s">
        <v>44</v>
      </c>
      <c r="E133" s="8" t="s">
        <v>1659</v>
      </c>
      <c r="F133">
        <v>110207</v>
      </c>
      <c r="H133" s="8" t="s">
        <v>347</v>
      </c>
      <c r="I133" t="s">
        <v>47</v>
      </c>
      <c r="J133" s="17">
        <v>23284431400.27</v>
      </c>
      <c r="K133" s="11">
        <v>23284431400.27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23284431400.27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3977143802</v>
      </c>
      <c r="Y133" s="11">
        <v>371652710</v>
      </c>
      <c r="Z133" s="12">
        <v>3605491092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3977143802</v>
      </c>
      <c r="AH133" s="11">
        <v>371652710</v>
      </c>
      <c r="AI133" s="12">
        <v>3605491092</v>
      </c>
      <c r="AJ133" s="11">
        <v>3605491092</v>
      </c>
      <c r="AK133" s="11">
        <v>0</v>
      </c>
      <c r="AL133" s="11">
        <v>0</v>
      </c>
      <c r="AM133" s="11">
        <v>3605491092</v>
      </c>
      <c r="AN133" s="11">
        <v>3977143802</v>
      </c>
      <c r="AO133" s="11">
        <v>371652710</v>
      </c>
      <c r="AP133" s="11">
        <v>3977143802</v>
      </c>
      <c r="AQ133" s="11">
        <v>0</v>
      </c>
      <c r="AR133" s="11">
        <v>371652710</v>
      </c>
      <c r="AS133" t="s">
        <v>48</v>
      </c>
      <c r="AT133"/>
    </row>
    <row r="134" spans="1:49" hidden="1" x14ac:dyDescent="0.3">
      <c r="A134">
        <v>2024</v>
      </c>
      <c r="B134">
        <v>307</v>
      </c>
      <c r="C134">
        <v>110207002</v>
      </c>
      <c r="D134" s="5" t="s">
        <v>44</v>
      </c>
      <c r="E134" s="8" t="s">
        <v>1660</v>
      </c>
      <c r="F134">
        <v>110207002</v>
      </c>
      <c r="H134" s="8" t="s">
        <v>349</v>
      </c>
      <c r="I134" t="s">
        <v>47</v>
      </c>
      <c r="J134" s="17">
        <v>23284431400.27</v>
      </c>
      <c r="K134" s="11">
        <v>23284431400.27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23284431400.27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3977143802</v>
      </c>
      <c r="Y134" s="11">
        <v>371652710</v>
      </c>
      <c r="Z134" s="12">
        <v>3605491092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3977143802</v>
      </c>
      <c r="AH134" s="11">
        <v>371652710</v>
      </c>
      <c r="AI134" s="12">
        <v>3605491092</v>
      </c>
      <c r="AJ134" s="11">
        <v>3605491092</v>
      </c>
      <c r="AK134" s="11">
        <v>0</v>
      </c>
      <c r="AL134" s="11">
        <v>0</v>
      </c>
      <c r="AM134" s="11">
        <v>3605491092</v>
      </c>
      <c r="AN134" s="11">
        <v>3977143802</v>
      </c>
      <c r="AO134" s="11">
        <v>371652710</v>
      </c>
      <c r="AP134" s="11">
        <v>3977143802</v>
      </c>
      <c r="AQ134" s="11">
        <v>0</v>
      </c>
      <c r="AR134" s="11">
        <v>371652710</v>
      </c>
      <c r="AS134" t="s">
        <v>48</v>
      </c>
      <c r="AT134"/>
    </row>
    <row r="135" spans="1:49" hidden="1" x14ac:dyDescent="0.3">
      <c r="A135">
        <v>2024</v>
      </c>
      <c r="B135">
        <v>307</v>
      </c>
      <c r="C135">
        <v>11020700201</v>
      </c>
      <c r="D135" s="5" t="s">
        <v>44</v>
      </c>
      <c r="E135" s="8" t="s">
        <v>1661</v>
      </c>
      <c r="F135">
        <v>11020700201</v>
      </c>
      <c r="H135" s="8" t="s">
        <v>351</v>
      </c>
      <c r="I135" t="s">
        <v>47</v>
      </c>
      <c r="J135" s="17">
        <v>23280191500.27</v>
      </c>
      <c r="K135" s="11">
        <v>23280191500.27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23280191500.27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3976161632</v>
      </c>
      <c r="Y135" s="11">
        <v>371652710</v>
      </c>
      <c r="Z135" s="12">
        <v>3604508922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3976161632</v>
      </c>
      <c r="AH135" s="11">
        <v>371652710</v>
      </c>
      <c r="AI135" s="12">
        <v>3604508922</v>
      </c>
      <c r="AJ135" s="11">
        <v>3604508922</v>
      </c>
      <c r="AK135" s="11">
        <v>0</v>
      </c>
      <c r="AL135" s="11">
        <v>0</v>
      </c>
      <c r="AM135" s="11">
        <v>3604508922</v>
      </c>
      <c r="AN135" s="11">
        <v>3976161632</v>
      </c>
      <c r="AO135" s="11">
        <v>371652710</v>
      </c>
      <c r="AP135" s="11">
        <v>3976161632</v>
      </c>
      <c r="AQ135" s="11">
        <v>0</v>
      </c>
      <c r="AR135" s="11">
        <v>371652710</v>
      </c>
      <c r="AS135" t="s">
        <v>48</v>
      </c>
      <c r="AT135"/>
    </row>
    <row r="136" spans="1:49" hidden="1" x14ac:dyDescent="0.3">
      <c r="A136">
        <v>2024</v>
      </c>
      <c r="B136">
        <v>307</v>
      </c>
      <c r="C136">
        <v>1102070020102</v>
      </c>
      <c r="D136" s="5" t="s">
        <v>44</v>
      </c>
      <c r="E136" s="8" t="s">
        <v>1662</v>
      </c>
      <c r="F136">
        <v>1102070020102</v>
      </c>
      <c r="H136" s="8" t="s">
        <v>353</v>
      </c>
      <c r="I136" t="s">
        <v>47</v>
      </c>
      <c r="J136" s="17">
        <v>1113282428.1500001</v>
      </c>
      <c r="K136" s="11">
        <v>1113282428.1500001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1113282428.1500001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532697130</v>
      </c>
      <c r="Y136" s="11">
        <v>0</v>
      </c>
      <c r="Z136" s="12">
        <v>532697130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532697130</v>
      </c>
      <c r="AH136" s="11">
        <v>0</v>
      </c>
      <c r="AI136" s="12">
        <v>532697130</v>
      </c>
      <c r="AJ136" s="11">
        <v>532697130</v>
      </c>
      <c r="AK136" s="11">
        <v>0</v>
      </c>
      <c r="AL136" s="11">
        <v>0</v>
      </c>
      <c r="AM136" s="11">
        <v>532697130</v>
      </c>
      <c r="AN136" s="11">
        <v>532697130</v>
      </c>
      <c r="AO136" s="11">
        <v>0</v>
      </c>
      <c r="AP136" s="11">
        <v>532697130</v>
      </c>
      <c r="AQ136" s="11">
        <v>0</v>
      </c>
      <c r="AR136" s="11">
        <v>0</v>
      </c>
      <c r="AS136" t="s">
        <v>48</v>
      </c>
      <c r="AT136"/>
    </row>
    <row r="137" spans="1:49" hidden="1" x14ac:dyDescent="0.3">
      <c r="A137">
        <v>2024</v>
      </c>
      <c r="B137">
        <v>307</v>
      </c>
      <c r="C137">
        <v>110207002010201</v>
      </c>
      <c r="D137" s="5">
        <v>179</v>
      </c>
      <c r="E137" s="8" t="s">
        <v>1663</v>
      </c>
      <c r="F137">
        <v>110207002010201</v>
      </c>
      <c r="G137" t="s">
        <v>1908</v>
      </c>
      <c r="H137" s="8" t="s">
        <v>355</v>
      </c>
      <c r="I137" t="s">
        <v>47</v>
      </c>
      <c r="J137" s="17">
        <v>43610921.390000001</v>
      </c>
      <c r="K137" s="11">
        <v>43610921.390000001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43610921.390000001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22795950</v>
      </c>
      <c r="Y137" s="11">
        <v>0</v>
      </c>
      <c r="Z137" s="12">
        <v>22795950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22795950</v>
      </c>
      <c r="AH137" s="11">
        <v>0</v>
      </c>
      <c r="AI137" s="12">
        <v>22795950</v>
      </c>
      <c r="AJ137" s="11">
        <v>22795950</v>
      </c>
      <c r="AK137" s="11">
        <v>0</v>
      </c>
      <c r="AL137" s="11">
        <v>0</v>
      </c>
      <c r="AM137" s="11">
        <v>22795950</v>
      </c>
      <c r="AN137" s="11">
        <v>22795950</v>
      </c>
      <c r="AO137" s="11">
        <v>0</v>
      </c>
      <c r="AP137" s="11">
        <v>22795950</v>
      </c>
      <c r="AQ137" s="11">
        <v>0</v>
      </c>
      <c r="AR137" s="11">
        <v>0</v>
      </c>
      <c r="AS137" t="s">
        <v>357</v>
      </c>
      <c r="AT137" s="4" t="str">
        <f t="shared" ref="AT137:AT138" si="26">+H137</f>
        <v>Derechos de monopolio por la introducción de licores destilados de producción nacional</v>
      </c>
      <c r="AU137" t="str">
        <f t="shared" ref="AU137:AU142" si="27">+D137&amp;AT137&amp;J137</f>
        <v>179Derechos de monopolio por la introducción de licores destilados de producción nacional43610921,39</v>
      </c>
      <c r="AV137" t="str">
        <f>+_xlfn.XLOOKUP(AU137,CRUCE!L:L,CRUCE!M:M)</f>
        <v>READY</v>
      </c>
      <c r="AW137" t="s">
        <v>1907</v>
      </c>
    </row>
    <row r="138" spans="1:49" x14ac:dyDescent="0.3">
      <c r="A138">
        <v>2024</v>
      </c>
      <c r="B138">
        <v>307</v>
      </c>
      <c r="C138">
        <v>110207002010201</v>
      </c>
      <c r="D138" s="5">
        <v>20</v>
      </c>
      <c r="E138" s="8" t="s">
        <v>1664</v>
      </c>
      <c r="F138">
        <v>110207002010201</v>
      </c>
      <c r="G138" t="s">
        <v>1908</v>
      </c>
      <c r="H138" s="8" t="s">
        <v>355</v>
      </c>
      <c r="I138" t="s">
        <v>47</v>
      </c>
      <c r="J138" s="17">
        <v>668700795.91999996</v>
      </c>
      <c r="K138" s="11">
        <v>668700795.91999996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668700795.91999996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349537900</v>
      </c>
      <c r="Y138" s="11">
        <v>0</v>
      </c>
      <c r="Z138" s="12">
        <v>349537900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349537900</v>
      </c>
      <c r="AH138" s="11">
        <v>0</v>
      </c>
      <c r="AI138" s="12">
        <v>349537900</v>
      </c>
      <c r="AJ138" s="11">
        <v>349537900</v>
      </c>
      <c r="AK138" s="11">
        <v>0</v>
      </c>
      <c r="AL138" s="11">
        <v>0</v>
      </c>
      <c r="AM138" s="11">
        <v>349537900</v>
      </c>
      <c r="AN138" s="11">
        <v>349537900</v>
      </c>
      <c r="AO138" s="11">
        <v>0</v>
      </c>
      <c r="AP138" s="11">
        <v>349537900</v>
      </c>
      <c r="AQ138" s="11">
        <v>0</v>
      </c>
      <c r="AR138" s="11">
        <v>0</v>
      </c>
      <c r="AS138" t="s">
        <v>57</v>
      </c>
      <c r="AT138" s="4" t="str">
        <f t="shared" si="26"/>
        <v>Derechos de monopolio por la introducción de licores destilados de producción nacional</v>
      </c>
      <c r="AU138" t="str">
        <f t="shared" si="27"/>
        <v>20Derechos de monopolio por la introducción de licores destilados de producción nacional668700795,92</v>
      </c>
      <c r="AV138" t="str">
        <f>+_xlfn.XLOOKUP(AU138,CRUCE!L:L,CRUCE!M:M)</f>
        <v>READY</v>
      </c>
      <c r="AW138" t="s">
        <v>1907</v>
      </c>
    </row>
    <row r="139" spans="1:49" hidden="1" x14ac:dyDescent="0.3">
      <c r="A139">
        <v>2024</v>
      </c>
      <c r="B139">
        <v>307</v>
      </c>
      <c r="C139">
        <v>110207002010201</v>
      </c>
      <c r="D139" s="5">
        <v>35</v>
      </c>
      <c r="E139" s="8" t="s">
        <v>1665</v>
      </c>
      <c r="F139">
        <v>110207002010201</v>
      </c>
      <c r="G139" t="s">
        <v>1908</v>
      </c>
      <c r="H139" s="8" t="s">
        <v>355</v>
      </c>
      <c r="I139" t="s">
        <v>47</v>
      </c>
      <c r="J139" s="17">
        <v>203517633.16</v>
      </c>
      <c r="K139" s="11">
        <v>203517633.16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203517633.16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106381100</v>
      </c>
      <c r="Y139" s="11">
        <v>0</v>
      </c>
      <c r="Z139" s="12">
        <v>106381100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106381100</v>
      </c>
      <c r="AH139" s="11">
        <v>0</v>
      </c>
      <c r="AI139" s="12">
        <v>106381100</v>
      </c>
      <c r="AJ139" s="11">
        <v>106381100</v>
      </c>
      <c r="AK139" s="11">
        <v>0</v>
      </c>
      <c r="AL139" s="11">
        <v>0</v>
      </c>
      <c r="AM139" s="11">
        <v>106381100</v>
      </c>
      <c r="AN139" s="11">
        <v>106381100</v>
      </c>
      <c r="AO139" s="11">
        <v>0</v>
      </c>
      <c r="AP139" s="11">
        <v>106381100</v>
      </c>
      <c r="AQ139" s="11">
        <v>0</v>
      </c>
      <c r="AR139" s="11">
        <v>0</v>
      </c>
      <c r="AS139" t="s">
        <v>365</v>
      </c>
      <c r="AT139" s="4" t="s">
        <v>1091</v>
      </c>
      <c r="AU139" t="str">
        <f t="shared" si="27"/>
        <v>35Derechos de monopolio por la introducción de licores destilados de producción nacional (Monopolio pa203517633,16</v>
      </c>
      <c r="AV139" t="str">
        <f>+_xlfn.XLOOKUP(AU139,CRUCE!L:L,CRUCE!M:M)</f>
        <v>READY</v>
      </c>
      <c r="AW139" t="s">
        <v>1907</v>
      </c>
    </row>
    <row r="140" spans="1:49" hidden="1" x14ac:dyDescent="0.3">
      <c r="A140">
        <v>2024</v>
      </c>
      <c r="B140">
        <v>307</v>
      </c>
      <c r="C140">
        <v>110207002010202</v>
      </c>
      <c r="D140" s="5">
        <v>179</v>
      </c>
      <c r="E140" s="8" t="s">
        <v>1666</v>
      </c>
      <c r="F140">
        <v>110207002010202</v>
      </c>
      <c r="G140" t="s">
        <v>1908</v>
      </c>
      <c r="H140" s="8" t="s">
        <v>1096</v>
      </c>
      <c r="I140" t="s">
        <v>47</v>
      </c>
      <c r="J140" s="17">
        <v>9402508.5099999998</v>
      </c>
      <c r="K140" s="11">
        <v>9402508.5099999998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9402508.5099999998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2570580</v>
      </c>
      <c r="Y140" s="11">
        <v>0</v>
      </c>
      <c r="Z140" s="12">
        <v>2570580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2570580</v>
      </c>
      <c r="AH140" s="11">
        <v>0</v>
      </c>
      <c r="AI140" s="12">
        <v>2570580</v>
      </c>
      <c r="AJ140" s="11">
        <v>2570580</v>
      </c>
      <c r="AK140" s="11">
        <v>0</v>
      </c>
      <c r="AL140" s="11">
        <v>0</v>
      </c>
      <c r="AM140" s="11">
        <v>2570580</v>
      </c>
      <c r="AN140" s="11">
        <v>2570580</v>
      </c>
      <c r="AO140" s="11">
        <v>0</v>
      </c>
      <c r="AP140" s="11">
        <v>2570580</v>
      </c>
      <c r="AQ140" s="11">
        <v>0</v>
      </c>
      <c r="AR140" s="11">
        <v>0</v>
      </c>
      <c r="AS140" t="s">
        <v>357</v>
      </c>
      <c r="AT140" s="4" t="str">
        <f t="shared" ref="AT140:AT141" si="28">+H140</f>
        <v>Derechos de monopolio por la introducción de licores destilados de producción extranjera</v>
      </c>
      <c r="AU140" t="str">
        <f t="shared" si="27"/>
        <v>179Derechos de monopolio por la introducción de licores destilados de producción extranjera9402508,51</v>
      </c>
      <c r="AV140" t="str">
        <f>+_xlfn.XLOOKUP(AU140,CRUCE!L:L,CRUCE!M:M)</f>
        <v>READY</v>
      </c>
      <c r="AW140" t="s">
        <v>1907</v>
      </c>
    </row>
    <row r="141" spans="1:49" x14ac:dyDescent="0.3">
      <c r="A141">
        <v>2024</v>
      </c>
      <c r="B141">
        <v>307</v>
      </c>
      <c r="C141">
        <v>110207002010202</v>
      </c>
      <c r="D141" s="5">
        <v>20</v>
      </c>
      <c r="E141" s="8" t="s">
        <v>1667</v>
      </c>
      <c r="F141">
        <v>110207002010202</v>
      </c>
      <c r="G141" t="s">
        <v>1908</v>
      </c>
      <c r="H141" s="8" t="s">
        <v>1096</v>
      </c>
      <c r="I141" t="s">
        <v>47</v>
      </c>
      <c r="J141" s="17">
        <v>144172196.13999999</v>
      </c>
      <c r="K141" s="11">
        <v>144172196.13999999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144172196.13999999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39415560</v>
      </c>
      <c r="Y141" s="11">
        <v>0</v>
      </c>
      <c r="Z141" s="12">
        <v>39415560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39415560</v>
      </c>
      <c r="AH141" s="11">
        <v>0</v>
      </c>
      <c r="AI141" s="12">
        <v>39415560</v>
      </c>
      <c r="AJ141" s="11">
        <v>39415560</v>
      </c>
      <c r="AK141" s="11">
        <v>0</v>
      </c>
      <c r="AL141" s="11">
        <v>0</v>
      </c>
      <c r="AM141" s="11">
        <v>39415560</v>
      </c>
      <c r="AN141" s="11">
        <v>39415560</v>
      </c>
      <c r="AO141" s="11">
        <v>0</v>
      </c>
      <c r="AP141" s="11">
        <v>39415560</v>
      </c>
      <c r="AQ141" s="11">
        <v>0</v>
      </c>
      <c r="AR141" s="11">
        <v>0</v>
      </c>
      <c r="AS141" t="s">
        <v>57</v>
      </c>
      <c r="AT141" s="4" t="str">
        <f t="shared" si="28"/>
        <v>Derechos de monopolio por la introducción de licores destilados de producción extranjera</v>
      </c>
      <c r="AU141" t="str">
        <f t="shared" si="27"/>
        <v>20Derechos de monopolio por la introducción de licores destilados de producción extranjera144172196,14</v>
      </c>
      <c r="AV141" t="str">
        <f>+_xlfn.XLOOKUP(AU141,CRUCE!L:L,CRUCE!M:M)</f>
        <v>READY</v>
      </c>
      <c r="AW141" t="s">
        <v>1907</v>
      </c>
    </row>
    <row r="142" spans="1:49" hidden="1" x14ac:dyDescent="0.3">
      <c r="A142">
        <v>2024</v>
      </c>
      <c r="B142">
        <v>307</v>
      </c>
      <c r="C142">
        <v>110207002010202</v>
      </c>
      <c r="D142" s="5">
        <v>35</v>
      </c>
      <c r="E142" s="8" t="s">
        <v>1668</v>
      </c>
      <c r="F142">
        <v>110207002010202</v>
      </c>
      <c r="G142" t="s">
        <v>1908</v>
      </c>
      <c r="H142" s="8" t="s">
        <v>1096</v>
      </c>
      <c r="I142" t="s">
        <v>47</v>
      </c>
      <c r="J142" s="17">
        <v>43878373.030000001</v>
      </c>
      <c r="K142" s="11">
        <v>43878373.030000001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43878373.030000001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11996040</v>
      </c>
      <c r="Y142" s="11">
        <v>0</v>
      </c>
      <c r="Z142" s="12">
        <v>11996040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11996040</v>
      </c>
      <c r="AH142" s="11">
        <v>0</v>
      </c>
      <c r="AI142" s="12">
        <v>11996040</v>
      </c>
      <c r="AJ142" s="11">
        <v>11996040</v>
      </c>
      <c r="AK142" s="11">
        <v>0</v>
      </c>
      <c r="AL142" s="11">
        <v>0</v>
      </c>
      <c r="AM142" s="11">
        <v>11996040</v>
      </c>
      <c r="AN142" s="11">
        <v>11996040</v>
      </c>
      <c r="AO142" s="11">
        <v>0</v>
      </c>
      <c r="AP142" s="11">
        <v>11996040</v>
      </c>
      <c r="AQ142" s="11">
        <v>0</v>
      </c>
      <c r="AR142" s="11">
        <v>0</v>
      </c>
      <c r="AS142" t="s">
        <v>365</v>
      </c>
      <c r="AT142" s="4" t="s">
        <v>1098</v>
      </c>
      <c r="AU142" t="str">
        <f t="shared" si="27"/>
        <v>35Derechos de monopolio por la introducción de licores destilados de producción extranjera (Monopolio 43878373,03</v>
      </c>
      <c r="AV142" t="str">
        <f>+_xlfn.XLOOKUP(AU142,CRUCE!L:L,CRUCE!M:M)</f>
        <v>READY</v>
      </c>
      <c r="AW142" t="s">
        <v>1907</v>
      </c>
    </row>
    <row r="143" spans="1:49" hidden="1" x14ac:dyDescent="0.3">
      <c r="A143">
        <v>2024</v>
      </c>
      <c r="B143">
        <v>307</v>
      </c>
      <c r="C143">
        <v>1102070020103</v>
      </c>
      <c r="D143" s="5" t="s">
        <v>44</v>
      </c>
      <c r="E143" s="8" t="s">
        <v>1669</v>
      </c>
      <c r="F143">
        <v>1102070020103</v>
      </c>
      <c r="H143" s="8" t="s">
        <v>359</v>
      </c>
      <c r="I143" t="s">
        <v>47</v>
      </c>
      <c r="J143" s="17">
        <v>22166909072.119999</v>
      </c>
      <c r="K143" s="11">
        <v>22166909072.119999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22166909072.119999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3443464502</v>
      </c>
      <c r="Y143" s="11">
        <v>371652710</v>
      </c>
      <c r="Z143" s="12">
        <v>3071811792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3443464502</v>
      </c>
      <c r="AH143" s="11">
        <v>371652710</v>
      </c>
      <c r="AI143" s="12">
        <v>3071811792</v>
      </c>
      <c r="AJ143" s="11">
        <v>3071811792</v>
      </c>
      <c r="AK143" s="11">
        <v>0</v>
      </c>
      <c r="AL143" s="11">
        <v>0</v>
      </c>
      <c r="AM143" s="11">
        <v>3071811792</v>
      </c>
      <c r="AN143" s="11">
        <v>3443464502</v>
      </c>
      <c r="AO143" s="11">
        <v>371652710</v>
      </c>
      <c r="AP143" s="11">
        <v>3443464502</v>
      </c>
      <c r="AQ143" s="11">
        <v>0</v>
      </c>
      <c r="AR143" s="11">
        <v>371652710</v>
      </c>
      <c r="AS143" t="s">
        <v>48</v>
      </c>
      <c r="AT143"/>
    </row>
    <row r="144" spans="1:49" hidden="1" x14ac:dyDescent="0.3">
      <c r="A144">
        <v>2024</v>
      </c>
      <c r="B144">
        <v>307</v>
      </c>
      <c r="C144">
        <v>110207002010302</v>
      </c>
      <c r="D144" s="5" t="s">
        <v>44</v>
      </c>
      <c r="E144" s="8" t="s">
        <v>1670</v>
      </c>
      <c r="F144">
        <v>110207002010302</v>
      </c>
      <c r="H144" s="8" t="s">
        <v>361</v>
      </c>
      <c r="I144" t="s">
        <v>47</v>
      </c>
      <c r="J144" s="17">
        <v>22166909072.119999</v>
      </c>
      <c r="K144" s="11">
        <v>22166909072.119999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22166909072.119999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3443464502</v>
      </c>
      <c r="Y144" s="11">
        <v>371652710</v>
      </c>
      <c r="Z144" s="12">
        <v>3071811792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3443464502</v>
      </c>
      <c r="AH144" s="11">
        <v>371652710</v>
      </c>
      <c r="AI144" s="12">
        <v>3071811792</v>
      </c>
      <c r="AJ144" s="11">
        <v>3071811792</v>
      </c>
      <c r="AK144" s="11">
        <v>0</v>
      </c>
      <c r="AL144" s="11">
        <v>0</v>
      </c>
      <c r="AM144" s="11">
        <v>3071811792</v>
      </c>
      <c r="AN144" s="11">
        <v>3443464502</v>
      </c>
      <c r="AO144" s="11">
        <v>371652710</v>
      </c>
      <c r="AP144" s="11">
        <v>3443464502</v>
      </c>
      <c r="AQ144" s="11">
        <v>0</v>
      </c>
      <c r="AR144" s="11">
        <v>371652710</v>
      </c>
      <c r="AS144" t="s">
        <v>48</v>
      </c>
      <c r="AT144"/>
    </row>
    <row r="145" spans="1:49" hidden="1" x14ac:dyDescent="0.3">
      <c r="A145">
        <v>2024</v>
      </c>
      <c r="B145">
        <v>307</v>
      </c>
      <c r="C145">
        <v>1.10207002010302E+17</v>
      </c>
      <c r="D145" s="5">
        <v>179</v>
      </c>
      <c r="E145" s="8" t="s">
        <v>1671</v>
      </c>
      <c r="F145">
        <v>1.10207002010302E+17</v>
      </c>
      <c r="G145" t="s">
        <v>1908</v>
      </c>
      <c r="H145" s="8" t="s">
        <v>363</v>
      </c>
      <c r="I145" t="s">
        <v>47</v>
      </c>
      <c r="J145" s="17">
        <v>826885792.25</v>
      </c>
      <c r="K145" s="11">
        <v>826885792.25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826885792.25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128320770</v>
      </c>
      <c r="Y145" s="11">
        <v>0</v>
      </c>
      <c r="Z145" s="12">
        <v>128320770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128320770</v>
      </c>
      <c r="AH145" s="11">
        <v>0</v>
      </c>
      <c r="AI145" s="12">
        <v>128320770</v>
      </c>
      <c r="AJ145" s="11">
        <v>128320770</v>
      </c>
      <c r="AK145" s="11">
        <v>0</v>
      </c>
      <c r="AL145" s="11">
        <v>0</v>
      </c>
      <c r="AM145" s="11">
        <v>128320770</v>
      </c>
      <c r="AN145" s="11">
        <v>128320770</v>
      </c>
      <c r="AO145" s="11">
        <v>0</v>
      </c>
      <c r="AP145" s="11">
        <v>128320770</v>
      </c>
      <c r="AQ145" s="11">
        <v>0</v>
      </c>
      <c r="AR145" s="11">
        <v>0</v>
      </c>
      <c r="AS145" t="s">
        <v>357</v>
      </c>
      <c r="AT145" s="4" t="str">
        <f t="shared" ref="AT145:AT147" si="29">+H145</f>
        <v>Participación por el consumo de licores destilados introducidos de producción nacional</v>
      </c>
      <c r="AU145" t="str">
        <f t="shared" ref="AU145:AU147" si="30">+D145&amp;AT145&amp;J145</f>
        <v>179Participación por el consumo de licores destilados introducidos de producción nacional826885792,25</v>
      </c>
      <c r="AV145" t="str">
        <f>+_xlfn.XLOOKUP(AU145,CRUCE!L:L,CRUCE!M:M)</f>
        <v>READY</v>
      </c>
      <c r="AW145" t="s">
        <v>1907</v>
      </c>
    </row>
    <row r="146" spans="1:49" x14ac:dyDescent="0.3">
      <c r="A146">
        <v>2024</v>
      </c>
      <c r="B146">
        <v>307</v>
      </c>
      <c r="C146">
        <v>1.10207002010302E+17</v>
      </c>
      <c r="D146" s="5">
        <v>20</v>
      </c>
      <c r="E146" s="8" t="s">
        <v>1672</v>
      </c>
      <c r="F146">
        <v>1.10207002010302E+17</v>
      </c>
      <c r="G146" t="s">
        <v>1908</v>
      </c>
      <c r="H146" s="8" t="s">
        <v>363</v>
      </c>
      <c r="I146" t="s">
        <v>47</v>
      </c>
      <c r="J146" s="17">
        <v>12680890781.209999</v>
      </c>
      <c r="K146" s="11">
        <v>12680890781.209999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12680890781.209999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1967585140</v>
      </c>
      <c r="Y146" s="11">
        <v>0</v>
      </c>
      <c r="Z146" s="12">
        <v>1967585140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1967585140</v>
      </c>
      <c r="AH146" s="11">
        <v>0</v>
      </c>
      <c r="AI146" s="12">
        <v>1967585140</v>
      </c>
      <c r="AJ146" s="11">
        <v>1967585140</v>
      </c>
      <c r="AK146" s="11">
        <v>0</v>
      </c>
      <c r="AL146" s="11">
        <v>0</v>
      </c>
      <c r="AM146" s="11">
        <v>1967585140</v>
      </c>
      <c r="AN146" s="11">
        <v>1967585140</v>
      </c>
      <c r="AO146" s="11">
        <v>0</v>
      </c>
      <c r="AP146" s="11">
        <v>1967585140</v>
      </c>
      <c r="AQ146" s="11">
        <v>0</v>
      </c>
      <c r="AR146" s="11">
        <v>0</v>
      </c>
      <c r="AS146" t="s">
        <v>57</v>
      </c>
      <c r="AT146" s="4" t="str">
        <f t="shared" si="29"/>
        <v>Participación por el consumo de licores destilados introducidos de producción nacional</v>
      </c>
      <c r="AU146" t="str">
        <f t="shared" si="30"/>
        <v>20Participación por el consumo de licores destilados introducidos de producción nacional12680890781,21</v>
      </c>
      <c r="AV146" t="str">
        <f>+_xlfn.XLOOKUP(AU146,CRUCE!L:L,CRUCE!M:M)</f>
        <v>READY</v>
      </c>
      <c r="AW146" t="s">
        <v>1907</v>
      </c>
    </row>
    <row r="147" spans="1:49" hidden="1" x14ac:dyDescent="0.3">
      <c r="A147">
        <v>2024</v>
      </c>
      <c r="B147">
        <v>307</v>
      </c>
      <c r="C147">
        <v>1.10207002010302E+17</v>
      </c>
      <c r="D147" s="5">
        <v>35</v>
      </c>
      <c r="E147" s="8" t="s">
        <v>1673</v>
      </c>
      <c r="F147">
        <v>1.10207002010302E+17</v>
      </c>
      <c r="G147" t="s">
        <v>1908</v>
      </c>
      <c r="H147" s="8" t="s">
        <v>363</v>
      </c>
      <c r="I147" t="s">
        <v>47</v>
      </c>
      <c r="J147" s="17">
        <v>3859258163.8499999</v>
      </c>
      <c r="K147" s="11">
        <v>3859258163.8499999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3859258163.8499999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598830260</v>
      </c>
      <c r="Y147" s="11">
        <v>0</v>
      </c>
      <c r="Z147" s="12">
        <v>598830260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598830260</v>
      </c>
      <c r="AH147" s="11">
        <v>0</v>
      </c>
      <c r="AI147" s="12">
        <v>598830260</v>
      </c>
      <c r="AJ147" s="11">
        <v>598830260</v>
      </c>
      <c r="AK147" s="11">
        <v>0</v>
      </c>
      <c r="AL147" s="11">
        <v>0</v>
      </c>
      <c r="AM147" s="11">
        <v>598830260</v>
      </c>
      <c r="AN147" s="11">
        <v>598830260</v>
      </c>
      <c r="AO147" s="11">
        <v>0</v>
      </c>
      <c r="AP147" s="11">
        <v>598830260</v>
      </c>
      <c r="AQ147" s="11">
        <v>0</v>
      </c>
      <c r="AR147" s="11">
        <v>0</v>
      </c>
      <c r="AS147" t="s">
        <v>365</v>
      </c>
      <c r="AT147" s="4" t="str">
        <f t="shared" si="29"/>
        <v>Participación por el consumo de licores destilados introducidos de producción nacional</v>
      </c>
      <c r="AU147" t="str">
        <f t="shared" si="30"/>
        <v>35Participación por el consumo de licores destilados introducidos de producción nacional3859258163,85</v>
      </c>
      <c r="AV147" t="str">
        <f>+_xlfn.XLOOKUP(AU147,CRUCE!L:L,CRUCE!M:M)</f>
        <v>READY</v>
      </c>
      <c r="AW147" t="s">
        <v>1907</v>
      </c>
    </row>
    <row r="148" spans="1:49" hidden="1" x14ac:dyDescent="0.3">
      <c r="A148">
        <v>2024</v>
      </c>
      <c r="B148">
        <v>307</v>
      </c>
      <c r="C148">
        <v>1.10207002010302E+17</v>
      </c>
      <c r="D148" s="5" t="s">
        <v>44</v>
      </c>
      <c r="E148" s="8" t="s">
        <v>1674</v>
      </c>
      <c r="F148">
        <v>1.10207002010302E+17</v>
      </c>
      <c r="H148" s="8" t="s">
        <v>1102</v>
      </c>
      <c r="I148" t="s">
        <v>47</v>
      </c>
      <c r="J148" s="17">
        <v>4799874334.8100004</v>
      </c>
      <c r="K148" s="11">
        <v>4799874334.8100004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4799874334.8100004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748728332</v>
      </c>
      <c r="Y148" s="11">
        <v>371652710</v>
      </c>
      <c r="Z148" s="12">
        <v>377075622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748728332</v>
      </c>
      <c r="AH148" s="11">
        <v>371652710</v>
      </c>
      <c r="AI148" s="12">
        <v>377075622</v>
      </c>
      <c r="AJ148" s="11">
        <v>377075622</v>
      </c>
      <c r="AK148" s="11">
        <v>0</v>
      </c>
      <c r="AL148" s="11">
        <v>0</v>
      </c>
      <c r="AM148" s="11">
        <v>377075622</v>
      </c>
      <c r="AN148" s="11">
        <v>748728332</v>
      </c>
      <c r="AO148" s="11">
        <v>371652710</v>
      </c>
      <c r="AP148" s="11">
        <v>748728332</v>
      </c>
      <c r="AQ148" s="11">
        <v>0</v>
      </c>
      <c r="AR148" s="11">
        <v>371652710</v>
      </c>
      <c r="AS148" t="s">
        <v>48</v>
      </c>
      <c r="AT148"/>
    </row>
    <row r="149" spans="1:49" hidden="1" x14ac:dyDescent="0.3">
      <c r="A149">
        <v>2024</v>
      </c>
      <c r="B149">
        <v>307</v>
      </c>
      <c r="C149">
        <v>1.1020700201030201E+20</v>
      </c>
      <c r="D149" s="5">
        <v>179</v>
      </c>
      <c r="E149" s="8" t="s">
        <v>1675</v>
      </c>
      <c r="F149">
        <v>1.1020700201030201E+20</v>
      </c>
      <c r="G149" t="s">
        <v>1908</v>
      </c>
      <c r="H149" s="8" t="s">
        <v>1108</v>
      </c>
      <c r="I149" t="s">
        <v>47</v>
      </c>
      <c r="J149" s="17">
        <v>228210777.84999999</v>
      </c>
      <c r="K149" s="11">
        <v>228210777.84999999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228210777.84999999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18650135</v>
      </c>
      <c r="Y149" s="11">
        <v>0</v>
      </c>
      <c r="Z149" s="12">
        <v>18650135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18650135</v>
      </c>
      <c r="AH149" s="11">
        <v>0</v>
      </c>
      <c r="AI149" s="12">
        <v>18650135</v>
      </c>
      <c r="AJ149" s="11">
        <v>18650135</v>
      </c>
      <c r="AK149" s="11">
        <v>0</v>
      </c>
      <c r="AL149" s="11">
        <v>0</v>
      </c>
      <c r="AM149" s="11">
        <v>18650135</v>
      </c>
      <c r="AN149" s="11">
        <v>18650135</v>
      </c>
      <c r="AO149" s="11">
        <v>0</v>
      </c>
      <c r="AP149" s="11">
        <v>18650135</v>
      </c>
      <c r="AQ149" s="11">
        <v>0</v>
      </c>
      <c r="AR149" s="11">
        <v>0</v>
      </c>
      <c r="AS149" t="s">
        <v>357</v>
      </c>
      <c r="AT149" s="4" t="str">
        <f t="shared" ref="AT149:AT151" si="31">+H149</f>
        <v>Participación por el consumo de licores destilados introducidos de producción extranjera recaudado p</v>
      </c>
      <c r="AU149" t="str">
        <f t="shared" ref="AU149:AU151" si="32">+D149&amp;AT149&amp;J149</f>
        <v>179Participación por el consumo de licores destilados introducidos de producción extranjera recaudado p228210777,85</v>
      </c>
      <c r="AV149" t="str">
        <f>+_xlfn.XLOOKUP(AU149,CRUCE!L:L,CRUCE!M:M)</f>
        <v>READY</v>
      </c>
      <c r="AW149" t="s">
        <v>1907</v>
      </c>
    </row>
    <row r="150" spans="1:49" x14ac:dyDescent="0.3">
      <c r="A150">
        <v>2024</v>
      </c>
      <c r="B150">
        <v>307</v>
      </c>
      <c r="C150">
        <v>1.1020700201030201E+20</v>
      </c>
      <c r="D150" s="5">
        <v>20</v>
      </c>
      <c r="E150" s="8" t="s">
        <v>1676</v>
      </c>
      <c r="F150">
        <v>1.1020700201030201E+20</v>
      </c>
      <c r="G150" t="s">
        <v>1908</v>
      </c>
      <c r="H150" s="8" t="s">
        <v>1108</v>
      </c>
      <c r="I150" t="s">
        <v>47</v>
      </c>
      <c r="J150" s="17">
        <v>3504941927</v>
      </c>
      <c r="K150" s="11">
        <v>3504941927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3504941927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362694202</v>
      </c>
      <c r="Y150" s="11">
        <v>86706577</v>
      </c>
      <c r="Z150" s="12">
        <v>275987625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362694202</v>
      </c>
      <c r="AH150" s="11">
        <v>86706577</v>
      </c>
      <c r="AI150" s="12">
        <v>275987625</v>
      </c>
      <c r="AJ150" s="11">
        <v>275987625</v>
      </c>
      <c r="AK150" s="11">
        <v>0</v>
      </c>
      <c r="AL150" s="11">
        <v>0</v>
      </c>
      <c r="AM150" s="11">
        <v>275987625</v>
      </c>
      <c r="AN150" s="11">
        <v>362694202</v>
      </c>
      <c r="AO150" s="11">
        <v>86706577</v>
      </c>
      <c r="AP150" s="11">
        <v>362694202</v>
      </c>
      <c r="AQ150" s="11">
        <v>0</v>
      </c>
      <c r="AR150" s="11">
        <v>86706577</v>
      </c>
      <c r="AS150" t="s">
        <v>57</v>
      </c>
      <c r="AT150" s="4" t="str">
        <f t="shared" si="31"/>
        <v>Participación por el consumo de licores destilados introducidos de producción extranjera recaudado p</v>
      </c>
      <c r="AU150" t="str">
        <f t="shared" si="32"/>
        <v>20Participación por el consumo de licores destilados introducidos de producción extranjera recaudado p3504941927</v>
      </c>
      <c r="AV150" t="str">
        <f>+_xlfn.XLOOKUP(AU150,CRUCE!L:L,CRUCE!M:M)</f>
        <v>READY</v>
      </c>
      <c r="AW150" t="s">
        <v>1907</v>
      </c>
    </row>
    <row r="151" spans="1:49" hidden="1" x14ac:dyDescent="0.3">
      <c r="A151">
        <v>2024</v>
      </c>
      <c r="B151">
        <v>307</v>
      </c>
      <c r="C151">
        <v>1.1020700201030201E+20</v>
      </c>
      <c r="D151" s="5">
        <v>35</v>
      </c>
      <c r="E151" s="8" t="s">
        <v>1677</v>
      </c>
      <c r="F151">
        <v>1.1020700201030201E+20</v>
      </c>
      <c r="G151" t="s">
        <v>1908</v>
      </c>
      <c r="H151" s="8" t="s">
        <v>1108</v>
      </c>
      <c r="I151" t="s">
        <v>47</v>
      </c>
      <c r="J151" s="17">
        <v>1066721629.96</v>
      </c>
      <c r="K151" s="11">
        <v>1066721629.96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1066721629.96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367383995</v>
      </c>
      <c r="Y151" s="11">
        <v>284946133</v>
      </c>
      <c r="Z151" s="12">
        <v>82437862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367383995</v>
      </c>
      <c r="AH151" s="11">
        <v>284946133</v>
      </c>
      <c r="AI151" s="12">
        <v>82437862</v>
      </c>
      <c r="AJ151" s="11">
        <v>82437862</v>
      </c>
      <c r="AK151" s="11">
        <v>0</v>
      </c>
      <c r="AL151" s="11">
        <v>0</v>
      </c>
      <c r="AM151" s="11">
        <v>82437862</v>
      </c>
      <c r="AN151" s="11">
        <v>367383995</v>
      </c>
      <c r="AO151" s="11">
        <v>284946133</v>
      </c>
      <c r="AP151" s="11">
        <v>367383995</v>
      </c>
      <c r="AQ151" s="11">
        <v>0</v>
      </c>
      <c r="AR151" s="11">
        <v>284946133</v>
      </c>
      <c r="AS151" t="s">
        <v>365</v>
      </c>
      <c r="AT151" s="4" t="str">
        <f t="shared" si="31"/>
        <v>Participación por el consumo de licores destilados introducidos de producción extranjera recaudado p</v>
      </c>
      <c r="AU151" t="str">
        <f t="shared" si="32"/>
        <v>35Participación por el consumo de licores destilados introducidos de producción extranjera recaudado p1066721629,96</v>
      </c>
      <c r="AV151" t="str">
        <f>+_xlfn.XLOOKUP(AU151,CRUCE!L:L,CRUCE!M:M)</f>
        <v>READY</v>
      </c>
      <c r="AW151" t="s">
        <v>1907</v>
      </c>
    </row>
    <row r="152" spans="1:49" hidden="1" x14ac:dyDescent="0.3">
      <c r="A152">
        <v>2024</v>
      </c>
      <c r="B152">
        <v>307</v>
      </c>
      <c r="C152">
        <v>11020700202</v>
      </c>
      <c r="D152" s="5" t="s">
        <v>44</v>
      </c>
      <c r="E152" s="8" t="s">
        <v>1678</v>
      </c>
      <c r="F152">
        <v>11020700202</v>
      </c>
      <c r="H152" s="8" t="s">
        <v>1112</v>
      </c>
      <c r="I152" t="s">
        <v>47</v>
      </c>
      <c r="J152" s="17">
        <v>4239900</v>
      </c>
      <c r="K152" s="11">
        <v>4239900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4239900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982170</v>
      </c>
      <c r="Y152" s="11">
        <v>0</v>
      </c>
      <c r="Z152" s="12">
        <v>982170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982170</v>
      </c>
      <c r="AH152" s="11">
        <v>0</v>
      </c>
      <c r="AI152" s="12">
        <v>982170</v>
      </c>
      <c r="AJ152" s="11">
        <v>982170</v>
      </c>
      <c r="AK152" s="11">
        <v>0</v>
      </c>
      <c r="AL152" s="11">
        <v>0</v>
      </c>
      <c r="AM152" s="11">
        <v>982170</v>
      </c>
      <c r="AN152" s="11">
        <v>982170</v>
      </c>
      <c r="AO152" s="11">
        <v>0</v>
      </c>
      <c r="AP152" s="11">
        <v>982170</v>
      </c>
      <c r="AQ152" s="11">
        <v>0</v>
      </c>
      <c r="AR152" s="11">
        <v>0</v>
      </c>
      <c r="AS152" t="s">
        <v>48</v>
      </c>
      <c r="AT152"/>
    </row>
    <row r="153" spans="1:49" x14ac:dyDescent="0.3">
      <c r="A153">
        <v>2024</v>
      </c>
      <c r="B153">
        <v>307</v>
      </c>
      <c r="C153">
        <v>1102070020201</v>
      </c>
      <c r="D153" s="5">
        <v>20</v>
      </c>
      <c r="E153" s="8" t="s">
        <v>1679</v>
      </c>
      <c r="F153">
        <v>1102070020201</v>
      </c>
      <c r="G153" t="s">
        <v>1908</v>
      </c>
      <c r="H153" s="8" t="s">
        <v>1114</v>
      </c>
      <c r="I153" t="s">
        <v>47</v>
      </c>
      <c r="J153" s="17">
        <v>2624700</v>
      </c>
      <c r="K153" s="11">
        <v>2624700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2624700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608010</v>
      </c>
      <c r="Y153" s="11">
        <v>0</v>
      </c>
      <c r="Z153" s="12">
        <v>608010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608010</v>
      </c>
      <c r="AH153" s="11">
        <v>0</v>
      </c>
      <c r="AI153" s="12">
        <v>608010</v>
      </c>
      <c r="AJ153" s="11">
        <v>608010</v>
      </c>
      <c r="AK153" s="11">
        <v>0</v>
      </c>
      <c r="AL153" s="11">
        <v>0</v>
      </c>
      <c r="AM153" s="11">
        <v>608010</v>
      </c>
      <c r="AN153" s="11">
        <v>608010</v>
      </c>
      <c r="AO153" s="11">
        <v>0</v>
      </c>
      <c r="AP153" s="11">
        <v>608010</v>
      </c>
      <c r="AQ153" s="11">
        <v>0</v>
      </c>
      <c r="AR153" s="11">
        <v>0</v>
      </c>
      <c r="AS153" t="s">
        <v>57</v>
      </c>
      <c r="AT153" s="4" t="str">
        <f t="shared" ref="AT153:AT155" si="33">+H153</f>
        <v>Participación por la utilización de alcohol potable producido</v>
      </c>
      <c r="AU153" t="str">
        <f t="shared" ref="AU153:AU155" si="34">+D153&amp;AT153&amp;J153</f>
        <v>20Participación por la utilización de alcohol potable producido2624700</v>
      </c>
      <c r="AV153" t="str">
        <f>+_xlfn.XLOOKUP(AU153,CRUCE!L:L,CRUCE!M:M)</f>
        <v>READY</v>
      </c>
      <c r="AW153" t="s">
        <v>1907</v>
      </c>
    </row>
    <row r="154" spans="1:49" hidden="1" x14ac:dyDescent="0.3">
      <c r="A154">
        <v>2024</v>
      </c>
      <c r="B154">
        <v>307</v>
      </c>
      <c r="C154">
        <v>1102070020201</v>
      </c>
      <c r="D154" s="5">
        <v>205</v>
      </c>
      <c r="E154" s="8" t="s">
        <v>1680</v>
      </c>
      <c r="F154">
        <v>1102070020201</v>
      </c>
      <c r="G154" t="s">
        <v>1908</v>
      </c>
      <c r="H154" s="8" t="s">
        <v>1114</v>
      </c>
      <c r="I154" t="s">
        <v>47</v>
      </c>
      <c r="J154" s="17">
        <v>673000</v>
      </c>
      <c r="K154" s="11">
        <v>673000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673000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155900</v>
      </c>
      <c r="Y154" s="11">
        <v>0</v>
      </c>
      <c r="Z154" s="12">
        <v>155900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155900</v>
      </c>
      <c r="AH154" s="11">
        <v>0</v>
      </c>
      <c r="AI154" s="12">
        <v>155900</v>
      </c>
      <c r="AJ154" s="11">
        <v>155900</v>
      </c>
      <c r="AK154" s="11">
        <v>0</v>
      </c>
      <c r="AL154" s="11">
        <v>0</v>
      </c>
      <c r="AM154" s="11">
        <v>155900</v>
      </c>
      <c r="AN154" s="11">
        <v>155900</v>
      </c>
      <c r="AO154" s="11">
        <v>0</v>
      </c>
      <c r="AP154" s="11">
        <v>155900</v>
      </c>
      <c r="AQ154" s="11">
        <v>0</v>
      </c>
      <c r="AR154" s="11">
        <v>0</v>
      </c>
      <c r="AS154" t="s">
        <v>1116</v>
      </c>
      <c r="AT154" s="4" t="str">
        <f t="shared" si="33"/>
        <v>Participación por la utilización de alcohol potable producido</v>
      </c>
      <c r="AU154" t="str">
        <f t="shared" si="34"/>
        <v>205Participación por la utilización de alcohol potable producido673000</v>
      </c>
      <c r="AV154" t="str">
        <f>+_xlfn.XLOOKUP(AU154,CRUCE!L:L,CRUCE!M:M)</f>
        <v>READY</v>
      </c>
      <c r="AW154" t="s">
        <v>1907</v>
      </c>
    </row>
    <row r="155" spans="1:49" hidden="1" x14ac:dyDescent="0.3">
      <c r="A155">
        <v>2024</v>
      </c>
      <c r="B155">
        <v>307</v>
      </c>
      <c r="C155">
        <v>1102070020201</v>
      </c>
      <c r="D155" s="5">
        <v>35</v>
      </c>
      <c r="E155" s="8" t="s">
        <v>1681</v>
      </c>
      <c r="F155">
        <v>1102070020201</v>
      </c>
      <c r="G155" t="s">
        <v>1908</v>
      </c>
      <c r="H155" s="8" t="s">
        <v>1114</v>
      </c>
      <c r="I155" t="s">
        <v>47</v>
      </c>
      <c r="J155" s="17">
        <v>942200</v>
      </c>
      <c r="K155" s="11">
        <v>942200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942200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218260</v>
      </c>
      <c r="Y155" s="11">
        <v>0</v>
      </c>
      <c r="Z155" s="12">
        <v>218260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218260</v>
      </c>
      <c r="AH155" s="11">
        <v>0</v>
      </c>
      <c r="AI155" s="12">
        <v>218260</v>
      </c>
      <c r="AJ155" s="11">
        <v>218260</v>
      </c>
      <c r="AK155" s="11">
        <v>0</v>
      </c>
      <c r="AL155" s="11">
        <v>0</v>
      </c>
      <c r="AM155" s="11">
        <v>218260</v>
      </c>
      <c r="AN155" s="11">
        <v>218260</v>
      </c>
      <c r="AO155" s="11">
        <v>0</v>
      </c>
      <c r="AP155" s="11">
        <v>218260</v>
      </c>
      <c r="AQ155" s="11">
        <v>0</v>
      </c>
      <c r="AR155" s="11">
        <v>0</v>
      </c>
      <c r="AS155" t="s">
        <v>365</v>
      </c>
      <c r="AT155" s="4" t="str">
        <f t="shared" si="33"/>
        <v>Participación por la utilización de alcohol potable producido</v>
      </c>
      <c r="AU155" t="str">
        <f t="shared" si="34"/>
        <v>35Participación por la utilización de alcohol potable producido942200</v>
      </c>
      <c r="AV155" t="str">
        <f>+_xlfn.XLOOKUP(AU155,CRUCE!L:L,CRUCE!M:M)</f>
        <v>READY</v>
      </c>
      <c r="AW155" t="s">
        <v>1907</v>
      </c>
    </row>
    <row r="156" spans="1:49" hidden="1" x14ac:dyDescent="0.3">
      <c r="A156">
        <v>2024</v>
      </c>
      <c r="B156">
        <v>307</v>
      </c>
      <c r="C156">
        <v>12</v>
      </c>
      <c r="D156" s="5" t="s">
        <v>44</v>
      </c>
      <c r="E156" s="8" t="s">
        <v>1368</v>
      </c>
      <c r="F156">
        <v>12</v>
      </c>
      <c r="H156" s="8" t="s">
        <v>367</v>
      </c>
      <c r="I156" t="s">
        <v>47</v>
      </c>
      <c r="J156" s="17">
        <v>9816004400</v>
      </c>
      <c r="K156" s="11">
        <v>9816004400</v>
      </c>
      <c r="L156" s="11">
        <v>3070996620.3899999</v>
      </c>
      <c r="M156" s="11">
        <v>0</v>
      </c>
      <c r="N156" s="11">
        <v>3070996620.3899999</v>
      </c>
      <c r="O156" s="11">
        <v>3070996620.3899999</v>
      </c>
      <c r="P156" s="11">
        <v>0</v>
      </c>
      <c r="Q156" s="11">
        <v>12887001020.389999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367140317.31999999</v>
      </c>
      <c r="Y156" s="11">
        <v>171.27</v>
      </c>
      <c r="Z156" s="12">
        <v>367140146.05000001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367140317.31999999</v>
      </c>
      <c r="AH156" s="11">
        <v>171.27</v>
      </c>
      <c r="AI156" s="12">
        <v>367140146.05000001</v>
      </c>
      <c r="AJ156" s="11">
        <v>367140146.05000001</v>
      </c>
      <c r="AK156" s="11">
        <v>0</v>
      </c>
      <c r="AL156" s="11">
        <v>0</v>
      </c>
      <c r="AM156" s="11">
        <v>367140146.05000001</v>
      </c>
      <c r="AN156" s="11">
        <v>367140317.31999999</v>
      </c>
      <c r="AO156" s="11">
        <v>171.27</v>
      </c>
      <c r="AP156" s="11">
        <v>367140317.31999999</v>
      </c>
      <c r="AQ156" s="11">
        <v>0</v>
      </c>
      <c r="AR156" s="11">
        <v>171.27</v>
      </c>
      <c r="AS156" t="s">
        <v>48</v>
      </c>
      <c r="AT156"/>
    </row>
    <row r="157" spans="1:49" hidden="1" x14ac:dyDescent="0.3">
      <c r="A157">
        <v>2024</v>
      </c>
      <c r="B157">
        <v>307</v>
      </c>
      <c r="C157">
        <v>1203</v>
      </c>
      <c r="D157" s="5" t="s">
        <v>44</v>
      </c>
      <c r="E157" s="8" t="s">
        <v>1682</v>
      </c>
      <c r="F157">
        <v>1203</v>
      </c>
      <c r="H157" s="8" t="s">
        <v>373</v>
      </c>
      <c r="I157" t="s">
        <v>47</v>
      </c>
      <c r="J157" s="17">
        <v>200000000</v>
      </c>
      <c r="K157" s="11">
        <v>200000000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200000000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2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2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t="s">
        <v>48</v>
      </c>
      <c r="AT157"/>
    </row>
    <row r="158" spans="1:49" hidden="1" x14ac:dyDescent="0.3">
      <c r="A158">
        <v>2024</v>
      </c>
      <c r="B158">
        <v>307</v>
      </c>
      <c r="C158">
        <v>120303</v>
      </c>
      <c r="D158" s="5" t="s">
        <v>44</v>
      </c>
      <c r="E158" s="8" t="s">
        <v>1683</v>
      </c>
      <c r="F158">
        <v>120303</v>
      </c>
      <c r="H158" s="8" t="s">
        <v>375</v>
      </c>
      <c r="I158" t="s">
        <v>47</v>
      </c>
      <c r="J158" s="17">
        <v>200000000</v>
      </c>
      <c r="K158" s="11">
        <v>200000000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200000000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2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2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t="s">
        <v>48</v>
      </c>
      <c r="AT158"/>
    </row>
    <row r="159" spans="1:49" x14ac:dyDescent="0.3">
      <c r="A159">
        <v>2024</v>
      </c>
      <c r="B159">
        <v>307</v>
      </c>
      <c r="C159">
        <v>120303001</v>
      </c>
      <c r="D159" s="5">
        <v>20</v>
      </c>
      <c r="E159" s="8" t="s">
        <v>1684</v>
      </c>
      <c r="F159">
        <v>120303001</v>
      </c>
      <c r="G159" t="s">
        <v>1908</v>
      </c>
      <c r="H159" s="8" t="s">
        <v>377</v>
      </c>
      <c r="I159" t="s">
        <v>47</v>
      </c>
      <c r="J159" s="17">
        <v>200000000</v>
      </c>
      <c r="K159" s="11">
        <v>200000000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200000000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2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2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t="s">
        <v>57</v>
      </c>
      <c r="AT159" s="4" t="str">
        <f>+H159</f>
        <v>Terminal de Transportes de Armenia</v>
      </c>
      <c r="AU159" t="str">
        <f>+D159&amp;AT159&amp;J159</f>
        <v>20Terminal de Transportes de Armenia200000000</v>
      </c>
      <c r="AV159" t="str">
        <f>+_xlfn.XLOOKUP(AU159,CRUCE!L:L,CRUCE!M:M)</f>
        <v>READY</v>
      </c>
      <c r="AW159" t="s">
        <v>1907</v>
      </c>
    </row>
    <row r="160" spans="1:49" hidden="1" x14ac:dyDescent="0.3">
      <c r="A160">
        <v>2024</v>
      </c>
      <c r="B160">
        <v>307</v>
      </c>
      <c r="C160">
        <v>1205</v>
      </c>
      <c r="D160" s="5" t="s">
        <v>44</v>
      </c>
      <c r="E160" s="8" t="s">
        <v>1685</v>
      </c>
      <c r="F160">
        <v>1205</v>
      </c>
      <c r="H160" s="8" t="s">
        <v>379</v>
      </c>
      <c r="I160" t="s">
        <v>47</v>
      </c>
      <c r="J160" s="17">
        <v>406004400</v>
      </c>
      <c r="K160" s="11">
        <v>406004400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406004400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367140144.31999999</v>
      </c>
      <c r="Y160" s="11">
        <v>0</v>
      </c>
      <c r="Z160" s="12">
        <v>367140144.31999999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367140144.31999999</v>
      </c>
      <c r="AH160" s="11">
        <v>0</v>
      </c>
      <c r="AI160" s="12">
        <v>367140144.31999999</v>
      </c>
      <c r="AJ160" s="11">
        <v>367140144.31999999</v>
      </c>
      <c r="AK160" s="11">
        <v>0</v>
      </c>
      <c r="AL160" s="11">
        <v>0</v>
      </c>
      <c r="AM160" s="11">
        <v>367140144.31999999</v>
      </c>
      <c r="AN160" s="11">
        <v>367140144.31999999</v>
      </c>
      <c r="AO160" s="11">
        <v>0</v>
      </c>
      <c r="AP160" s="11">
        <v>367140144.31999999</v>
      </c>
      <c r="AQ160" s="11">
        <v>0</v>
      </c>
      <c r="AR160" s="11">
        <v>0</v>
      </c>
      <c r="AS160" t="s">
        <v>48</v>
      </c>
      <c r="AT160"/>
    </row>
    <row r="161" spans="1:49" hidden="1" x14ac:dyDescent="0.3">
      <c r="A161">
        <v>2024</v>
      </c>
      <c r="B161">
        <v>307</v>
      </c>
      <c r="C161">
        <v>120502</v>
      </c>
      <c r="D161" s="5" t="s">
        <v>44</v>
      </c>
      <c r="E161" s="8" t="s">
        <v>1686</v>
      </c>
      <c r="F161">
        <v>120502</v>
      </c>
      <c r="H161" s="8" t="s">
        <v>381</v>
      </c>
      <c r="I161" t="s">
        <v>47</v>
      </c>
      <c r="J161" s="17">
        <v>406004400</v>
      </c>
      <c r="K161" s="11">
        <v>406004400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406004400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367140144.31999999</v>
      </c>
      <c r="Y161" s="11">
        <v>0</v>
      </c>
      <c r="Z161" s="12">
        <v>367140144.31999999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367140144.31999999</v>
      </c>
      <c r="AH161" s="11">
        <v>0</v>
      </c>
      <c r="AI161" s="12">
        <v>367140144.31999999</v>
      </c>
      <c r="AJ161" s="11">
        <v>367140144.31999999</v>
      </c>
      <c r="AK161" s="11">
        <v>0</v>
      </c>
      <c r="AL161" s="11">
        <v>0</v>
      </c>
      <c r="AM161" s="11">
        <v>367140144.31999999</v>
      </c>
      <c r="AN161" s="11">
        <v>367140144.31999999</v>
      </c>
      <c r="AO161" s="11">
        <v>0</v>
      </c>
      <c r="AP161" s="11">
        <v>367140144.31999999</v>
      </c>
      <c r="AQ161" s="11">
        <v>0</v>
      </c>
      <c r="AR161" s="11">
        <v>0</v>
      </c>
      <c r="AS161" t="s">
        <v>48</v>
      </c>
      <c r="AT161"/>
    </row>
    <row r="162" spans="1:49" hidden="1" x14ac:dyDescent="0.3">
      <c r="A162">
        <v>2024</v>
      </c>
      <c r="B162">
        <v>307</v>
      </c>
      <c r="C162">
        <v>120502002</v>
      </c>
      <c r="D162" s="5">
        <v>4</v>
      </c>
      <c r="E162" s="8" t="s">
        <v>1687</v>
      </c>
      <c r="F162">
        <v>120502002</v>
      </c>
      <c r="G162" t="s">
        <v>1909</v>
      </c>
      <c r="H162" s="8" t="s">
        <v>1121</v>
      </c>
      <c r="I162" t="s">
        <v>47</v>
      </c>
      <c r="J162" s="17">
        <v>20000000</v>
      </c>
      <c r="K162" s="11">
        <v>20000000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20000000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2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2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t="s">
        <v>125</v>
      </c>
      <c r="AT162" s="4" t="str">
        <f t="shared" ref="AT162:AT175" si="35">+H162</f>
        <v>Depósitos Estampilla Prodesarrollo Inversion 50%</v>
      </c>
      <c r="AU162" t="str">
        <f t="shared" ref="AU162:AU175" si="36">+D162&amp;AT162&amp;J162</f>
        <v>4Depósitos Estampilla Prodesarrollo Inversion 50%20000000</v>
      </c>
      <c r="AV162" t="str">
        <f>+_xlfn.XLOOKUP(AU162,CRUCE!L:L,CRUCE!M:M)</f>
        <v>READY</v>
      </c>
      <c r="AW162" t="s">
        <v>1907</v>
      </c>
    </row>
    <row r="163" spans="1:49" hidden="1" x14ac:dyDescent="0.3">
      <c r="A163">
        <v>2024</v>
      </c>
      <c r="B163">
        <v>307</v>
      </c>
      <c r="C163">
        <v>120502003</v>
      </c>
      <c r="D163" s="5">
        <v>176</v>
      </c>
      <c r="E163" s="8" t="s">
        <v>1688</v>
      </c>
      <c r="F163">
        <v>120502003</v>
      </c>
      <c r="G163" t="s">
        <v>1909</v>
      </c>
      <c r="H163" s="8" t="s">
        <v>1123</v>
      </c>
      <c r="I163" t="s">
        <v>47</v>
      </c>
      <c r="J163" s="17">
        <v>5000000</v>
      </c>
      <c r="K163" s="11">
        <v>5000000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5000000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2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2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0</v>
      </c>
      <c r="AR163" s="11">
        <v>0</v>
      </c>
      <c r="AS163" t="s">
        <v>127</v>
      </c>
      <c r="AT163" s="4" t="str">
        <f t="shared" si="35"/>
        <v>Depósitos Estampilla Prodesarrollo Pensiones 20%</v>
      </c>
      <c r="AU163" t="str">
        <f t="shared" si="36"/>
        <v>176Depósitos Estampilla Prodesarrollo Pensiones 20%5000000</v>
      </c>
      <c r="AV163" t="str">
        <f>+_xlfn.XLOOKUP(AU163,CRUCE!L:L,CRUCE!M:M)</f>
        <v>READY</v>
      </c>
      <c r="AW163" t="s">
        <v>1907</v>
      </c>
    </row>
    <row r="164" spans="1:49" hidden="1" x14ac:dyDescent="0.3">
      <c r="A164">
        <v>2024</v>
      </c>
      <c r="B164">
        <v>307</v>
      </c>
      <c r="C164">
        <v>120502004</v>
      </c>
      <c r="D164" s="5">
        <v>5</v>
      </c>
      <c r="E164" s="8" t="s">
        <v>1689</v>
      </c>
      <c r="F164">
        <v>120502004</v>
      </c>
      <c r="G164" t="s">
        <v>1909</v>
      </c>
      <c r="H164" s="8" t="s">
        <v>1125</v>
      </c>
      <c r="I164" t="s">
        <v>47</v>
      </c>
      <c r="J164" s="17">
        <v>2000000</v>
      </c>
      <c r="K164" s="11">
        <v>2000000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2000000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2264123.71</v>
      </c>
      <c r="Y164" s="11">
        <v>0</v>
      </c>
      <c r="Z164" s="12">
        <v>2264123.71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2264123.71</v>
      </c>
      <c r="AH164" s="11">
        <v>0</v>
      </c>
      <c r="AI164" s="12">
        <v>2264123.71</v>
      </c>
      <c r="AJ164" s="11">
        <v>2264123.71</v>
      </c>
      <c r="AK164" s="11">
        <v>0</v>
      </c>
      <c r="AL164" s="11">
        <v>0</v>
      </c>
      <c r="AM164" s="11">
        <v>2264123.71</v>
      </c>
      <c r="AN164" s="11">
        <v>2264123.71</v>
      </c>
      <c r="AO164" s="11">
        <v>0</v>
      </c>
      <c r="AP164" s="11">
        <v>2264123.71</v>
      </c>
      <c r="AQ164" s="11">
        <v>0</v>
      </c>
      <c r="AR164" s="11">
        <v>0</v>
      </c>
      <c r="AS164" t="s">
        <v>135</v>
      </c>
      <c r="AT164" s="4" t="str">
        <f t="shared" si="35"/>
        <v>Depósitos Estampilla Procultura Pensiones 20%</v>
      </c>
      <c r="AU164" t="str">
        <f t="shared" si="36"/>
        <v>5Depósitos Estampilla Procultura Pensiones 20%2000000</v>
      </c>
      <c r="AV164" t="str">
        <f>+_xlfn.XLOOKUP(AU164,CRUCE!L:L,CRUCE!M:M)</f>
        <v>READY</v>
      </c>
      <c r="AW164" t="s">
        <v>1907</v>
      </c>
    </row>
    <row r="165" spans="1:49" hidden="1" x14ac:dyDescent="0.3">
      <c r="A165">
        <v>2024</v>
      </c>
      <c r="B165">
        <v>307</v>
      </c>
      <c r="C165">
        <v>120502005</v>
      </c>
      <c r="D165" s="5">
        <v>33</v>
      </c>
      <c r="E165" s="8" t="s">
        <v>1690</v>
      </c>
      <c r="F165">
        <v>120502005</v>
      </c>
      <c r="G165" t="s">
        <v>1909</v>
      </c>
      <c r="H165" s="8" t="s">
        <v>1127</v>
      </c>
      <c r="I165" t="s">
        <v>47</v>
      </c>
      <c r="J165" s="17">
        <v>1000000</v>
      </c>
      <c r="K165" s="11">
        <v>1000000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1000000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1132061.8500000001</v>
      </c>
      <c r="Y165" s="11">
        <v>0</v>
      </c>
      <c r="Z165" s="12">
        <v>1132061.8500000001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1132061.8500000001</v>
      </c>
      <c r="AH165" s="11">
        <v>0</v>
      </c>
      <c r="AI165" s="12">
        <v>1132061.8500000001</v>
      </c>
      <c r="AJ165" s="11">
        <v>1132061.8500000001</v>
      </c>
      <c r="AK165" s="11">
        <v>0</v>
      </c>
      <c r="AL165" s="11">
        <v>0</v>
      </c>
      <c r="AM165" s="11">
        <v>1132061.8500000001</v>
      </c>
      <c r="AN165" s="11">
        <v>1132061.8500000001</v>
      </c>
      <c r="AO165" s="11">
        <v>0</v>
      </c>
      <c r="AP165" s="11">
        <v>1132061.8500000001</v>
      </c>
      <c r="AQ165" s="11">
        <v>0</v>
      </c>
      <c r="AR165" s="11">
        <v>0</v>
      </c>
      <c r="AS165" t="s">
        <v>137</v>
      </c>
      <c r="AT165" s="4" t="str">
        <f t="shared" si="35"/>
        <v>Depósitos Estampilla Procultura Seguridad Social 10%</v>
      </c>
      <c r="AU165" t="str">
        <f t="shared" si="36"/>
        <v>33Depósitos Estampilla Procultura Seguridad Social 10%1000000</v>
      </c>
      <c r="AV165" t="str">
        <f>+_xlfn.XLOOKUP(AU165,CRUCE!L:L,CRUCE!M:M)</f>
        <v>READY</v>
      </c>
      <c r="AW165" t="s">
        <v>1907</v>
      </c>
    </row>
    <row r="166" spans="1:49" hidden="1" x14ac:dyDescent="0.3">
      <c r="A166">
        <v>2024</v>
      </c>
      <c r="B166">
        <v>307</v>
      </c>
      <c r="C166">
        <v>120502006</v>
      </c>
      <c r="D166" s="5">
        <v>34</v>
      </c>
      <c r="E166" s="8" t="s">
        <v>1691</v>
      </c>
      <c r="F166">
        <v>120502006</v>
      </c>
      <c r="G166" t="s">
        <v>1909</v>
      </c>
      <c r="H166" s="8" t="s">
        <v>1129</v>
      </c>
      <c r="I166" t="s">
        <v>47</v>
      </c>
      <c r="J166" s="17">
        <v>1000000</v>
      </c>
      <c r="K166" s="11">
        <v>1000000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1000000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1132061.8500000001</v>
      </c>
      <c r="Y166" s="11">
        <v>0</v>
      </c>
      <c r="Z166" s="12">
        <v>1132061.8500000001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1132061.8500000001</v>
      </c>
      <c r="AH166" s="11">
        <v>0</v>
      </c>
      <c r="AI166" s="12">
        <v>1132061.8500000001</v>
      </c>
      <c r="AJ166" s="11">
        <v>1132061.8500000001</v>
      </c>
      <c r="AK166" s="11">
        <v>0</v>
      </c>
      <c r="AL166" s="11">
        <v>0</v>
      </c>
      <c r="AM166" s="11">
        <v>1132061.8500000001</v>
      </c>
      <c r="AN166" s="11">
        <v>1132061.8500000001</v>
      </c>
      <c r="AO166" s="11">
        <v>0</v>
      </c>
      <c r="AP166" s="11">
        <v>1132061.8500000001</v>
      </c>
      <c r="AQ166" s="11">
        <v>0</v>
      </c>
      <c r="AR166" s="11">
        <v>0</v>
      </c>
      <c r="AS166" t="s">
        <v>139</v>
      </c>
      <c r="AT166" s="4" t="str">
        <f t="shared" si="35"/>
        <v>Depósitos Estampilla Procultura Bibliotecas 10%</v>
      </c>
      <c r="AU166" t="str">
        <f t="shared" si="36"/>
        <v>34Depósitos Estampilla Procultura Bibliotecas 10%1000000</v>
      </c>
      <c r="AV166" t="str">
        <f>+_xlfn.XLOOKUP(AU166,CRUCE!L:L,CRUCE!M:M)</f>
        <v>READY</v>
      </c>
      <c r="AW166" t="s">
        <v>1907</v>
      </c>
    </row>
    <row r="167" spans="1:49" hidden="1" x14ac:dyDescent="0.3">
      <c r="A167">
        <v>2024</v>
      </c>
      <c r="B167">
        <v>307</v>
      </c>
      <c r="C167">
        <v>120502007</v>
      </c>
      <c r="D167" s="5">
        <v>39</v>
      </c>
      <c r="E167" s="8" t="s">
        <v>1692</v>
      </c>
      <c r="F167">
        <v>120502007</v>
      </c>
      <c r="G167" t="s">
        <v>1909</v>
      </c>
      <c r="H167" s="8" t="s">
        <v>1131</v>
      </c>
      <c r="I167" t="s">
        <v>47</v>
      </c>
      <c r="J167" s="17">
        <v>5000000</v>
      </c>
      <c r="K167" s="11">
        <v>5000000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5000000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5660309.2599999998</v>
      </c>
      <c r="Y167" s="11">
        <v>0</v>
      </c>
      <c r="Z167" s="12">
        <v>5660309.2599999998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5660309.2599999998</v>
      </c>
      <c r="AH167" s="11">
        <v>0</v>
      </c>
      <c r="AI167" s="12">
        <v>5660309.2599999998</v>
      </c>
      <c r="AJ167" s="11">
        <v>5660309.2599999998</v>
      </c>
      <c r="AK167" s="11">
        <v>0</v>
      </c>
      <c r="AL167" s="11">
        <v>0</v>
      </c>
      <c r="AM167" s="11">
        <v>5660309.2599999998</v>
      </c>
      <c r="AN167" s="11">
        <v>5660309.2599999998</v>
      </c>
      <c r="AO167" s="11">
        <v>0</v>
      </c>
      <c r="AP167" s="11">
        <v>5660309.2599999998</v>
      </c>
      <c r="AQ167" s="11">
        <v>0</v>
      </c>
      <c r="AR167" s="11">
        <v>0</v>
      </c>
      <c r="AS167" t="s">
        <v>141</v>
      </c>
      <c r="AT167" s="4" t="str">
        <f t="shared" si="35"/>
        <v>Depósitos Estampilla Procultura Concertacion 50%</v>
      </c>
      <c r="AU167" t="str">
        <f t="shared" si="36"/>
        <v>39Depósitos Estampilla Procultura Concertacion 50%5000000</v>
      </c>
      <c r="AV167" t="str">
        <f>+_xlfn.XLOOKUP(AU167,CRUCE!L:L,CRUCE!M:M)</f>
        <v>READY</v>
      </c>
      <c r="AW167" t="s">
        <v>1907</v>
      </c>
    </row>
    <row r="168" spans="1:49" hidden="1" x14ac:dyDescent="0.3">
      <c r="A168">
        <v>2024</v>
      </c>
      <c r="B168">
        <v>307</v>
      </c>
      <c r="C168">
        <v>120502008</v>
      </c>
      <c r="D168" s="5">
        <v>41</v>
      </c>
      <c r="E168" s="8" t="s">
        <v>1693</v>
      </c>
      <c r="F168">
        <v>120502008</v>
      </c>
      <c r="G168" t="s">
        <v>1909</v>
      </c>
      <c r="H168" s="8" t="s">
        <v>1133</v>
      </c>
      <c r="I168" t="s">
        <v>47</v>
      </c>
      <c r="J168" s="17">
        <v>1000000</v>
      </c>
      <c r="K168" s="11">
        <v>1000000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1000000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1132061.8500000001</v>
      </c>
      <c r="Y168" s="11">
        <v>0</v>
      </c>
      <c r="Z168" s="12">
        <v>1132061.8500000001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1132061.8500000001</v>
      </c>
      <c r="AH168" s="11">
        <v>0</v>
      </c>
      <c r="AI168" s="12">
        <v>1132061.8500000001</v>
      </c>
      <c r="AJ168" s="11">
        <v>1132061.8500000001</v>
      </c>
      <c r="AK168" s="11">
        <v>0</v>
      </c>
      <c r="AL168" s="11">
        <v>0</v>
      </c>
      <c r="AM168" s="11">
        <v>1132061.8500000001</v>
      </c>
      <c r="AN168" s="11">
        <v>1132061.8500000001</v>
      </c>
      <c r="AO168" s="11">
        <v>0</v>
      </c>
      <c r="AP168" s="11">
        <v>1132061.8500000001</v>
      </c>
      <c r="AQ168" s="11">
        <v>0</v>
      </c>
      <c r="AR168" s="11">
        <v>0</v>
      </c>
      <c r="AS168" t="s">
        <v>143</v>
      </c>
      <c r="AT168" s="4" t="str">
        <f t="shared" si="35"/>
        <v>Depósitos Estampilla Procultura Estimulos 10%</v>
      </c>
      <c r="AU168" t="str">
        <f t="shared" si="36"/>
        <v>41Depósitos Estampilla Procultura Estimulos 10%1000000</v>
      </c>
      <c r="AV168" t="str">
        <f>+_xlfn.XLOOKUP(AU168,CRUCE!L:L,CRUCE!M:M)</f>
        <v>READY</v>
      </c>
      <c r="AW168" t="s">
        <v>1907</v>
      </c>
    </row>
    <row r="169" spans="1:49" hidden="1" x14ac:dyDescent="0.3">
      <c r="A169">
        <v>2024</v>
      </c>
      <c r="B169">
        <v>307</v>
      </c>
      <c r="C169">
        <v>120502009</v>
      </c>
      <c r="D169" s="5">
        <v>6</v>
      </c>
      <c r="E169" s="8" t="s">
        <v>1694</v>
      </c>
      <c r="F169">
        <v>120502009</v>
      </c>
      <c r="G169" t="s">
        <v>1909</v>
      </c>
      <c r="H169" s="8" t="s">
        <v>1135</v>
      </c>
      <c r="I169" t="s">
        <v>47</v>
      </c>
      <c r="J169" s="17">
        <v>20000000</v>
      </c>
      <c r="K169" s="11">
        <v>20000000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20000000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31022189.059999999</v>
      </c>
      <c r="Y169" s="11">
        <v>0</v>
      </c>
      <c r="Z169" s="12">
        <v>31022189.059999999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31022189.059999999</v>
      </c>
      <c r="AH169" s="11">
        <v>0</v>
      </c>
      <c r="AI169" s="12">
        <v>31022189.059999999</v>
      </c>
      <c r="AJ169" s="11">
        <v>31022189.059999999</v>
      </c>
      <c r="AK169" s="11">
        <v>0</v>
      </c>
      <c r="AL169" s="11">
        <v>0</v>
      </c>
      <c r="AM169" s="11">
        <v>31022189.059999999</v>
      </c>
      <c r="AN169" s="11">
        <v>31022189.059999999</v>
      </c>
      <c r="AO169" s="11">
        <v>0</v>
      </c>
      <c r="AP169" s="11">
        <v>31022189.059999999</v>
      </c>
      <c r="AQ169" s="11">
        <v>0</v>
      </c>
      <c r="AR169" s="11">
        <v>0</v>
      </c>
      <c r="AS169" t="s">
        <v>120</v>
      </c>
      <c r="AT169" s="4" t="str">
        <f t="shared" si="35"/>
        <v>Depósitos Estampilla Proadulto Mayor Inversion 80%</v>
      </c>
      <c r="AU169" t="str">
        <f t="shared" si="36"/>
        <v>6Depósitos Estampilla Proadulto Mayor Inversion 80%20000000</v>
      </c>
      <c r="AV169" t="str">
        <f>+_xlfn.XLOOKUP(AU169,CRUCE!L:L,CRUCE!M:M)</f>
        <v>READY</v>
      </c>
      <c r="AW169" t="s">
        <v>1907</v>
      </c>
    </row>
    <row r="170" spans="1:49" hidden="1" x14ac:dyDescent="0.3">
      <c r="A170">
        <v>2024</v>
      </c>
      <c r="B170">
        <v>307</v>
      </c>
      <c r="C170">
        <v>120502010</v>
      </c>
      <c r="D170" s="5">
        <v>178</v>
      </c>
      <c r="E170" s="8" t="s">
        <v>1695</v>
      </c>
      <c r="F170">
        <v>120502010</v>
      </c>
      <c r="G170" t="s">
        <v>1909</v>
      </c>
      <c r="H170" s="8" t="s">
        <v>1137</v>
      </c>
      <c r="I170" t="s">
        <v>47</v>
      </c>
      <c r="J170" s="17">
        <v>4004400</v>
      </c>
      <c r="K170" s="11">
        <v>4004400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4004400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7768047.2699999996</v>
      </c>
      <c r="Y170" s="11">
        <v>0</v>
      </c>
      <c r="Z170" s="12">
        <v>7768047.2699999996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7768047.2699999996</v>
      </c>
      <c r="AH170" s="11">
        <v>0</v>
      </c>
      <c r="AI170" s="12">
        <v>7768047.2699999996</v>
      </c>
      <c r="AJ170" s="11">
        <v>7768047.2699999996</v>
      </c>
      <c r="AK170" s="11">
        <v>0</v>
      </c>
      <c r="AL170" s="11">
        <v>0</v>
      </c>
      <c r="AM170" s="11">
        <v>7768047.2699999996</v>
      </c>
      <c r="AN170" s="11">
        <v>7768047.2699999996</v>
      </c>
      <c r="AO170" s="11">
        <v>0</v>
      </c>
      <c r="AP170" s="11">
        <v>7768047.2699999996</v>
      </c>
      <c r="AQ170" s="11">
        <v>0</v>
      </c>
      <c r="AR170" s="11">
        <v>0</v>
      </c>
      <c r="AS170" t="s">
        <v>122</v>
      </c>
      <c r="AT170" s="4" t="str">
        <f t="shared" si="35"/>
        <v>Depósitos Estampilla Proadulto Pensiones 20%</v>
      </c>
      <c r="AU170" t="str">
        <f t="shared" si="36"/>
        <v>178Depósitos Estampilla Proadulto Pensiones 20%4004400</v>
      </c>
      <c r="AV170" t="str">
        <f>+_xlfn.XLOOKUP(AU170,CRUCE!L:L,CRUCE!M:M)</f>
        <v>READY</v>
      </c>
      <c r="AW170" t="s">
        <v>1907</v>
      </c>
    </row>
    <row r="171" spans="1:49" hidden="1" x14ac:dyDescent="0.3">
      <c r="A171">
        <v>2024</v>
      </c>
      <c r="B171">
        <v>307</v>
      </c>
      <c r="C171">
        <v>120502011</v>
      </c>
      <c r="D171" s="5">
        <v>136</v>
      </c>
      <c r="E171" s="8" t="s">
        <v>1696</v>
      </c>
      <c r="F171">
        <v>120502011</v>
      </c>
      <c r="G171" t="s">
        <v>1909</v>
      </c>
      <c r="H171" s="8" t="s">
        <v>1139</v>
      </c>
      <c r="I171" t="s">
        <v>47</v>
      </c>
      <c r="J171" s="17">
        <v>10000000</v>
      </c>
      <c r="K171" s="11">
        <v>10000000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10000000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71892074.989999995</v>
      </c>
      <c r="Y171" s="11">
        <v>0</v>
      </c>
      <c r="Z171" s="12">
        <v>71892074.989999995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71892074.989999995</v>
      </c>
      <c r="AH171" s="11">
        <v>0</v>
      </c>
      <c r="AI171" s="12">
        <v>71892074.989999995</v>
      </c>
      <c r="AJ171" s="11">
        <v>71892074.989999995</v>
      </c>
      <c r="AK171" s="11">
        <v>0</v>
      </c>
      <c r="AL171" s="11">
        <v>0</v>
      </c>
      <c r="AM171" s="11">
        <v>71892074.989999995</v>
      </c>
      <c r="AN171" s="11">
        <v>71892074.989999995</v>
      </c>
      <c r="AO171" s="11">
        <v>0</v>
      </c>
      <c r="AP171" s="11">
        <v>71892074.989999995</v>
      </c>
      <c r="AQ171" s="11">
        <v>0</v>
      </c>
      <c r="AR171" s="11">
        <v>0</v>
      </c>
      <c r="AS171" t="s">
        <v>1697</v>
      </c>
      <c r="AT171" s="4" t="str">
        <f t="shared" si="35"/>
        <v>Depósitos Desahorro FONPET Pensionales</v>
      </c>
      <c r="AU171" t="str">
        <f t="shared" si="36"/>
        <v>136Depósitos Desahorro FONPET Pensionales10000000</v>
      </c>
      <c r="AV171" t="str">
        <f>+_xlfn.XLOOKUP(AU171,CRUCE!L:L,CRUCE!M:M)</f>
        <v>READY</v>
      </c>
      <c r="AW171" t="s">
        <v>1907</v>
      </c>
    </row>
    <row r="172" spans="1:49" hidden="1" x14ac:dyDescent="0.3">
      <c r="A172">
        <v>2024</v>
      </c>
      <c r="B172">
        <v>307</v>
      </c>
      <c r="C172">
        <v>120502012</v>
      </c>
      <c r="D172" s="5">
        <v>42</v>
      </c>
      <c r="E172" s="8" t="s">
        <v>1698</v>
      </c>
      <c r="F172">
        <v>120502012</v>
      </c>
      <c r="G172" t="s">
        <v>1909</v>
      </c>
      <c r="H172" s="8" t="s">
        <v>1142</v>
      </c>
      <c r="I172" t="s">
        <v>47</v>
      </c>
      <c r="J172" s="17">
        <v>30000000</v>
      </c>
      <c r="K172" s="11">
        <v>30000000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30000000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123143002.05</v>
      </c>
      <c r="Y172" s="11">
        <v>0</v>
      </c>
      <c r="Z172" s="12">
        <v>123143002.05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123143002.05</v>
      </c>
      <c r="AH172" s="11">
        <v>0</v>
      </c>
      <c r="AI172" s="12">
        <v>123143002.05</v>
      </c>
      <c r="AJ172" s="11">
        <v>123143002.05</v>
      </c>
      <c r="AK172" s="11">
        <v>0</v>
      </c>
      <c r="AL172" s="11">
        <v>0</v>
      </c>
      <c r="AM172" s="11">
        <v>123143002.05</v>
      </c>
      <c r="AN172" s="11">
        <v>123143002.05</v>
      </c>
      <c r="AO172" s="11">
        <v>0</v>
      </c>
      <c r="AP172" s="11">
        <v>123143002.05</v>
      </c>
      <c r="AQ172" s="11">
        <v>0</v>
      </c>
      <c r="AR172" s="11">
        <v>0</v>
      </c>
      <c r="AS172" t="s">
        <v>115</v>
      </c>
      <c r="AT172" s="4" t="str">
        <f t="shared" si="35"/>
        <v>Depósitos Fondo de Seguridad Ciudadana</v>
      </c>
      <c r="AU172" t="str">
        <f t="shared" si="36"/>
        <v>42Depósitos Fondo de Seguridad Ciudadana30000000</v>
      </c>
      <c r="AV172" t="str">
        <f>+_xlfn.XLOOKUP(AU172,CRUCE!L:L,CRUCE!M:M)</f>
        <v>READY</v>
      </c>
      <c r="AW172" t="s">
        <v>1907</v>
      </c>
    </row>
    <row r="173" spans="1:49" hidden="1" x14ac:dyDescent="0.3">
      <c r="A173">
        <v>2024</v>
      </c>
      <c r="B173">
        <v>307</v>
      </c>
      <c r="C173">
        <v>120502013</v>
      </c>
      <c r="D173" s="5">
        <v>27</v>
      </c>
      <c r="E173" s="8" t="s">
        <v>1699</v>
      </c>
      <c r="F173">
        <v>120502013</v>
      </c>
      <c r="G173" t="s">
        <v>1909</v>
      </c>
      <c r="H173" s="8" t="s">
        <v>1144</v>
      </c>
      <c r="I173" t="s">
        <v>47</v>
      </c>
      <c r="J173" s="17">
        <v>7000000</v>
      </c>
      <c r="K173" s="11">
        <v>7000000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7000000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2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2">
        <v>0</v>
      </c>
      <c r="AJ173" s="11">
        <v>0</v>
      </c>
      <c r="AK173" s="11">
        <v>0</v>
      </c>
      <c r="AL173" s="11">
        <v>0</v>
      </c>
      <c r="AM173" s="11">
        <v>0</v>
      </c>
      <c r="AN173" s="11">
        <v>0</v>
      </c>
      <c r="AO173" s="11">
        <v>0</v>
      </c>
      <c r="AP173" s="11">
        <v>0</v>
      </c>
      <c r="AQ173" s="11">
        <v>0</v>
      </c>
      <c r="AR173" s="11">
        <v>0</v>
      </c>
      <c r="AS173" t="s">
        <v>247</v>
      </c>
      <c r="AT173" s="4" t="str">
        <f t="shared" si="35"/>
        <v>Depósitos SGP Agua Potable</v>
      </c>
      <c r="AU173" t="str">
        <f t="shared" si="36"/>
        <v>27Depósitos SGP Agua Potable7000000</v>
      </c>
      <c r="AV173" t="str">
        <f>+_xlfn.XLOOKUP(AU173,CRUCE!L:L,CRUCE!M:M)</f>
        <v>READY</v>
      </c>
      <c r="AW173" t="s">
        <v>1907</v>
      </c>
    </row>
    <row r="174" spans="1:49" x14ac:dyDescent="0.3">
      <c r="A174">
        <v>2024</v>
      </c>
      <c r="B174">
        <v>307</v>
      </c>
      <c r="C174">
        <v>120502014</v>
      </c>
      <c r="D174" s="5">
        <v>20</v>
      </c>
      <c r="E174" s="8" t="s">
        <v>1700</v>
      </c>
      <c r="F174">
        <v>120502014</v>
      </c>
      <c r="G174" t="s">
        <v>1909</v>
      </c>
      <c r="H174" s="8" t="s">
        <v>1146</v>
      </c>
      <c r="I174" t="s">
        <v>47</v>
      </c>
      <c r="J174" s="17">
        <v>300000000</v>
      </c>
      <c r="K174" s="11">
        <v>300000000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300000000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121994212.43000001</v>
      </c>
      <c r="Y174" s="11">
        <v>0</v>
      </c>
      <c r="Z174" s="12">
        <v>121994212.43000001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121994212.43000001</v>
      </c>
      <c r="AH174" s="11">
        <v>0</v>
      </c>
      <c r="AI174" s="12">
        <v>121994212.43000001</v>
      </c>
      <c r="AJ174" s="11">
        <v>121994212.43000001</v>
      </c>
      <c r="AK174" s="11">
        <v>0</v>
      </c>
      <c r="AL174" s="11">
        <v>0</v>
      </c>
      <c r="AM174" s="11">
        <v>121994212.43000001</v>
      </c>
      <c r="AN174" s="11">
        <v>121994212.43000001</v>
      </c>
      <c r="AO174" s="11">
        <v>0</v>
      </c>
      <c r="AP174" s="11">
        <v>121994212.43000001</v>
      </c>
      <c r="AQ174" s="11">
        <v>0</v>
      </c>
      <c r="AR174" s="11">
        <v>0</v>
      </c>
      <c r="AS174" t="s">
        <v>57</v>
      </c>
      <c r="AT174" s="4" t="str">
        <f t="shared" si="35"/>
        <v>Depósitos Recursos Ordinario</v>
      </c>
      <c r="AU174" t="str">
        <f t="shared" si="36"/>
        <v>20Depósitos Recursos Ordinario300000000</v>
      </c>
      <c r="AV174" t="str">
        <f>+_xlfn.XLOOKUP(AU174,CRUCE!L:L,CRUCE!M:M)</f>
        <v>READY</v>
      </c>
      <c r="AW174" t="s">
        <v>1907</v>
      </c>
    </row>
    <row r="175" spans="1:49" hidden="1" x14ac:dyDescent="0.3">
      <c r="A175">
        <v>2024</v>
      </c>
      <c r="B175">
        <v>307</v>
      </c>
      <c r="C175">
        <v>120502019</v>
      </c>
      <c r="D175" s="5">
        <v>177</v>
      </c>
      <c r="E175" s="8" t="s">
        <v>1147</v>
      </c>
      <c r="F175">
        <v>120502019</v>
      </c>
      <c r="G175" t="s">
        <v>1909</v>
      </c>
      <c r="H175" s="8" t="s">
        <v>1148</v>
      </c>
      <c r="I175" t="s">
        <v>47</v>
      </c>
      <c r="J175" s="17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2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2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t="s">
        <v>1559</v>
      </c>
      <c r="AT175" s="4" t="str">
        <f t="shared" si="35"/>
        <v>Depósitos Estampillas Pro-Desarrollo 30%</v>
      </c>
      <c r="AU175" t="str">
        <f t="shared" si="36"/>
        <v>177Depósitos Estampillas Pro-Desarrollo 30%0</v>
      </c>
      <c r="AV175" t="str">
        <f>+_xlfn.XLOOKUP(AU175,CRUCE!L:L,CRUCE!M:M)</f>
        <v>READY</v>
      </c>
      <c r="AW175" t="s">
        <v>1907</v>
      </c>
    </row>
    <row r="176" spans="1:49" hidden="1" x14ac:dyDescent="0.3">
      <c r="A176">
        <v>2024</v>
      </c>
      <c r="B176">
        <v>307</v>
      </c>
      <c r="C176">
        <v>1209</v>
      </c>
      <c r="D176" s="5" t="s">
        <v>44</v>
      </c>
      <c r="E176" s="8" t="s">
        <v>1701</v>
      </c>
      <c r="F176">
        <v>1209</v>
      </c>
      <c r="H176" s="8" t="s">
        <v>1331</v>
      </c>
      <c r="I176" t="s">
        <v>47</v>
      </c>
      <c r="J176" s="17">
        <v>200000000</v>
      </c>
      <c r="K176" s="11">
        <v>200000000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200000000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2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2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t="s">
        <v>48</v>
      </c>
      <c r="AT176"/>
    </row>
    <row r="177" spans="1:49" hidden="1" x14ac:dyDescent="0.3">
      <c r="A177">
        <v>2024</v>
      </c>
      <c r="B177">
        <v>307</v>
      </c>
      <c r="C177">
        <v>120905</v>
      </c>
      <c r="D177" s="5">
        <v>50</v>
      </c>
      <c r="E177" s="8" t="s">
        <v>1702</v>
      </c>
      <c r="F177">
        <v>120905</v>
      </c>
      <c r="G177" t="s">
        <v>1908</v>
      </c>
      <c r="H177" s="8" t="s">
        <v>1333</v>
      </c>
      <c r="I177" t="s">
        <v>47</v>
      </c>
      <c r="J177" s="17">
        <v>200000000</v>
      </c>
      <c r="K177" s="11">
        <v>200000000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200000000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2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2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0</v>
      </c>
      <c r="AP177" s="11">
        <v>0</v>
      </c>
      <c r="AQ177" s="11">
        <v>0</v>
      </c>
      <c r="AR177" s="11">
        <v>0</v>
      </c>
      <c r="AS177" t="s">
        <v>1334</v>
      </c>
      <c r="AT177" s="4" t="str">
        <f>+H177</f>
        <v>Recuperación cuotas partes pensionales</v>
      </c>
      <c r="AU177" t="str">
        <f>+D177&amp;AT177&amp;J177</f>
        <v>50Recuperación cuotas partes pensionales200000000</v>
      </c>
      <c r="AV177" t="str">
        <f>+_xlfn.XLOOKUP(AU177,CRUCE!L:L,CRUCE!M:M)</f>
        <v>READY</v>
      </c>
      <c r="AW177" t="s">
        <v>1907</v>
      </c>
    </row>
    <row r="178" spans="1:49" hidden="1" x14ac:dyDescent="0.3">
      <c r="A178">
        <v>2024</v>
      </c>
      <c r="B178">
        <v>307</v>
      </c>
      <c r="C178">
        <v>1210</v>
      </c>
      <c r="D178" s="5" t="s">
        <v>44</v>
      </c>
      <c r="E178" s="8" t="s">
        <v>473</v>
      </c>
      <c r="F178">
        <v>1210</v>
      </c>
      <c r="H178" s="8" t="s">
        <v>474</v>
      </c>
      <c r="I178" t="s">
        <v>47</v>
      </c>
      <c r="J178" s="17">
        <v>0</v>
      </c>
      <c r="K178" s="11">
        <v>0</v>
      </c>
      <c r="L178" s="11">
        <v>3070996620.3899999</v>
      </c>
      <c r="M178" s="11">
        <v>0</v>
      </c>
      <c r="N178" s="11">
        <v>3070996620.3899999</v>
      </c>
      <c r="O178" s="11">
        <v>3070996620.3899999</v>
      </c>
      <c r="P178" s="11">
        <v>0</v>
      </c>
      <c r="Q178" s="11">
        <v>3070996620.3899999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2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2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1">
        <v>0</v>
      </c>
      <c r="AP178" s="11">
        <v>0</v>
      </c>
      <c r="AQ178" s="11">
        <v>0</v>
      </c>
      <c r="AR178" s="11">
        <v>0</v>
      </c>
      <c r="AS178" t="s">
        <v>48</v>
      </c>
      <c r="AT178"/>
    </row>
    <row r="179" spans="1:49" hidden="1" x14ac:dyDescent="0.3">
      <c r="A179">
        <v>2024</v>
      </c>
      <c r="B179">
        <v>307</v>
      </c>
      <c r="C179">
        <v>121002</v>
      </c>
      <c r="D179" s="5" t="s">
        <v>44</v>
      </c>
      <c r="E179" s="8" t="s">
        <v>475</v>
      </c>
      <c r="F179">
        <v>121002</v>
      </c>
      <c r="H179" s="8" t="s">
        <v>476</v>
      </c>
      <c r="I179" t="s">
        <v>47</v>
      </c>
      <c r="J179" s="17">
        <v>0</v>
      </c>
      <c r="K179" s="11">
        <v>0</v>
      </c>
      <c r="L179" s="11">
        <v>3070996620.3899999</v>
      </c>
      <c r="M179" s="11">
        <v>0</v>
      </c>
      <c r="N179" s="11">
        <v>3070996620.3899999</v>
      </c>
      <c r="O179" s="11">
        <v>3070996620.3899999</v>
      </c>
      <c r="P179" s="11">
        <v>0</v>
      </c>
      <c r="Q179" s="11">
        <v>3070996620.3899999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2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2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t="s">
        <v>48</v>
      </c>
      <c r="AT179"/>
    </row>
    <row r="180" spans="1:49" hidden="1" x14ac:dyDescent="0.3">
      <c r="A180">
        <v>2024</v>
      </c>
      <c r="B180">
        <v>307</v>
      </c>
      <c r="C180">
        <v>121002001</v>
      </c>
      <c r="D180" s="5" t="s">
        <v>44</v>
      </c>
      <c r="E180" s="8" t="s">
        <v>477</v>
      </c>
      <c r="F180">
        <v>121002001</v>
      </c>
      <c r="H180" s="8" t="s">
        <v>478</v>
      </c>
      <c r="I180" t="s">
        <v>47</v>
      </c>
      <c r="J180" s="17">
        <v>0</v>
      </c>
      <c r="K180" s="11">
        <v>0</v>
      </c>
      <c r="L180" s="11">
        <v>2943616443.3899999</v>
      </c>
      <c r="M180" s="11">
        <v>0</v>
      </c>
      <c r="N180" s="11">
        <v>2943616443.3899999</v>
      </c>
      <c r="O180" s="11">
        <v>2943616443.3899999</v>
      </c>
      <c r="P180" s="11">
        <v>0</v>
      </c>
      <c r="Q180" s="11">
        <v>2943616443.3899999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2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2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t="s">
        <v>48</v>
      </c>
      <c r="AT180"/>
    </row>
    <row r="181" spans="1:49" hidden="1" x14ac:dyDescent="0.3">
      <c r="A181">
        <v>2024</v>
      </c>
      <c r="B181">
        <v>307</v>
      </c>
      <c r="C181">
        <v>12100200101</v>
      </c>
      <c r="D181" s="5">
        <v>88</v>
      </c>
      <c r="E181" s="8" t="s">
        <v>479</v>
      </c>
      <c r="F181">
        <v>12100200101</v>
      </c>
      <c r="G181" t="s">
        <v>1910</v>
      </c>
      <c r="H181" s="8" t="s">
        <v>480</v>
      </c>
      <c r="I181" t="s">
        <v>47</v>
      </c>
      <c r="J181" s="17">
        <v>0</v>
      </c>
      <c r="K181" s="11">
        <v>0</v>
      </c>
      <c r="L181" s="11">
        <v>2943616443.3899999</v>
      </c>
      <c r="M181" s="11">
        <v>0</v>
      </c>
      <c r="N181" s="11">
        <v>2943616443.3899999</v>
      </c>
      <c r="O181" s="11">
        <v>2943616443.3899999</v>
      </c>
      <c r="P181" s="11">
        <v>0</v>
      </c>
      <c r="Q181" s="11">
        <v>2943616443.3899999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2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2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t="s">
        <v>471</v>
      </c>
      <c r="AT181" s="4" t="str">
        <f>+H181</f>
        <v xml:space="preserve">Superávit Recurso Ordinario </v>
      </c>
      <c r="AU181" t="str">
        <f>+D181&amp;AT181&amp;J181</f>
        <v>88Superávit Recurso Ordinario 0</v>
      </c>
      <c r="AV181" t="str">
        <f>+_xlfn.XLOOKUP(AU181,CRUCE!L:L,CRUCE!M:M)</f>
        <v>READY</v>
      </c>
      <c r="AW181" t="s">
        <v>1907</v>
      </c>
    </row>
    <row r="182" spans="1:49" hidden="1" x14ac:dyDescent="0.3">
      <c r="A182">
        <v>2024</v>
      </c>
      <c r="B182">
        <v>307</v>
      </c>
      <c r="C182">
        <v>121002002</v>
      </c>
      <c r="D182" s="5" t="s">
        <v>44</v>
      </c>
      <c r="E182" s="8" t="s">
        <v>481</v>
      </c>
      <c r="F182">
        <v>121002002</v>
      </c>
      <c r="H182" s="8" t="s">
        <v>482</v>
      </c>
      <c r="I182" t="s">
        <v>47</v>
      </c>
      <c r="J182" s="17">
        <v>0</v>
      </c>
      <c r="K182" s="11">
        <v>0</v>
      </c>
      <c r="L182" s="11">
        <v>127380177</v>
      </c>
      <c r="M182" s="11">
        <v>0</v>
      </c>
      <c r="N182" s="11">
        <v>127380177</v>
      </c>
      <c r="O182" s="11">
        <v>127380177</v>
      </c>
      <c r="P182" s="11">
        <v>0</v>
      </c>
      <c r="Q182" s="11">
        <v>127380177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2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2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t="s">
        <v>48</v>
      </c>
      <c r="AT182"/>
    </row>
    <row r="183" spans="1:49" hidden="1" x14ac:dyDescent="0.3">
      <c r="A183">
        <v>2024</v>
      </c>
      <c r="B183">
        <v>307</v>
      </c>
      <c r="C183">
        <v>12100200201</v>
      </c>
      <c r="D183" s="5">
        <v>82</v>
      </c>
      <c r="E183" s="8" t="s">
        <v>483</v>
      </c>
      <c r="F183">
        <v>12100200201</v>
      </c>
      <c r="G183" t="s">
        <v>1910</v>
      </c>
      <c r="H183" s="8" t="s">
        <v>484</v>
      </c>
      <c r="I183" t="s">
        <v>47</v>
      </c>
      <c r="J183" s="17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2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2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t="s">
        <v>485</v>
      </c>
      <c r="AT183" s="4" t="str">
        <f t="shared" ref="AT183:AT186" si="37">+H183</f>
        <v>Superávit Estampilla Pro-Desarrollo</v>
      </c>
      <c r="AU183" t="str">
        <f t="shared" ref="AU183:AU190" si="38">+D183&amp;AT183&amp;J183</f>
        <v>82Superávit Estampilla Pro-Desarrollo0</v>
      </c>
      <c r="AV183" t="str">
        <f>+_xlfn.XLOOKUP(AU183,CRUCE!L:L,CRUCE!M:M)</f>
        <v>READY</v>
      </c>
      <c r="AW183" t="s">
        <v>1907</v>
      </c>
    </row>
    <row r="184" spans="1:49" hidden="1" x14ac:dyDescent="0.3">
      <c r="A184">
        <v>2024</v>
      </c>
      <c r="B184">
        <v>307</v>
      </c>
      <c r="C184">
        <v>12100200206</v>
      </c>
      <c r="D184" s="5">
        <v>89</v>
      </c>
      <c r="E184" s="8" t="s">
        <v>486</v>
      </c>
      <c r="F184">
        <v>12100200206</v>
      </c>
      <c r="G184" t="s">
        <v>1910</v>
      </c>
      <c r="H184" s="8" t="s">
        <v>487</v>
      </c>
      <c r="I184" t="s">
        <v>47</v>
      </c>
      <c r="J184" s="17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2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2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t="s">
        <v>488</v>
      </c>
      <c r="AT184" s="4" t="str">
        <f t="shared" si="37"/>
        <v xml:space="preserve">Superávit Sobretasa ACPM  </v>
      </c>
      <c r="AU184" t="str">
        <f t="shared" si="38"/>
        <v>89Superávit Sobretasa ACPM  0</v>
      </c>
      <c r="AV184" t="str">
        <f>+_xlfn.XLOOKUP(AU184,CRUCE!L:L,CRUCE!M:M)</f>
        <v>READY</v>
      </c>
      <c r="AW184" t="s">
        <v>1907</v>
      </c>
    </row>
    <row r="185" spans="1:49" hidden="1" x14ac:dyDescent="0.3">
      <c r="A185">
        <v>2024</v>
      </c>
      <c r="B185">
        <v>307</v>
      </c>
      <c r="C185">
        <v>12100200207</v>
      </c>
      <c r="D185" s="5">
        <v>91</v>
      </c>
      <c r="E185" s="8" t="s">
        <v>489</v>
      </c>
      <c r="F185">
        <v>12100200207</v>
      </c>
      <c r="G185" t="s">
        <v>1910</v>
      </c>
      <c r="H185" s="8" t="s">
        <v>490</v>
      </c>
      <c r="I185" t="s">
        <v>47</v>
      </c>
      <c r="J185" s="17">
        <v>0</v>
      </c>
      <c r="K185" s="11">
        <v>0</v>
      </c>
      <c r="L185" s="11">
        <v>127380177</v>
      </c>
      <c r="M185" s="11">
        <v>0</v>
      </c>
      <c r="N185" s="11">
        <v>127380177</v>
      </c>
      <c r="O185" s="11">
        <v>127380177</v>
      </c>
      <c r="P185" s="11">
        <v>0</v>
      </c>
      <c r="Q185" s="11">
        <v>127380177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2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2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t="s">
        <v>491</v>
      </c>
      <c r="AT185" s="4" t="str">
        <f t="shared" si="37"/>
        <v xml:space="preserve">Superávit Recurso Destinado del Monopolio </v>
      </c>
      <c r="AU185" t="str">
        <f t="shared" si="38"/>
        <v>91Superávit Recurso Destinado del Monopolio 0</v>
      </c>
      <c r="AV185" t="str">
        <f>+_xlfn.XLOOKUP(AU185,CRUCE!L:L,CRUCE!M:M)</f>
        <v>READY</v>
      </c>
      <c r="AW185" t="s">
        <v>1907</v>
      </c>
    </row>
    <row r="186" spans="1:49" hidden="1" x14ac:dyDescent="0.3">
      <c r="A186">
        <v>2024</v>
      </c>
      <c r="B186">
        <v>307</v>
      </c>
      <c r="C186">
        <v>12100200219</v>
      </c>
      <c r="D186" s="5">
        <v>90</v>
      </c>
      <c r="E186" s="8" t="s">
        <v>501</v>
      </c>
      <c r="F186">
        <v>12100200219</v>
      </c>
      <c r="G186" t="s">
        <v>1910</v>
      </c>
      <c r="H186" s="8" t="s">
        <v>502</v>
      </c>
      <c r="I186" t="s">
        <v>47</v>
      </c>
      <c r="J186" s="17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2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2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t="s">
        <v>503</v>
      </c>
      <c r="AT186" s="4" t="str">
        <f t="shared" si="37"/>
        <v>Superavít SGP Agua Potable</v>
      </c>
      <c r="AU186" t="str">
        <f t="shared" si="38"/>
        <v>90Superavít SGP Agua Potable0</v>
      </c>
      <c r="AV186" t="str">
        <f>+_xlfn.XLOOKUP(AU186,CRUCE!L:L,CRUCE!M:M)</f>
        <v>READY</v>
      </c>
      <c r="AW186" t="s">
        <v>1907</v>
      </c>
    </row>
    <row r="187" spans="1:49" hidden="1" x14ac:dyDescent="0.3">
      <c r="A187">
        <v>2024</v>
      </c>
      <c r="B187">
        <v>307</v>
      </c>
      <c r="C187">
        <v>12100200240</v>
      </c>
      <c r="D187" s="5">
        <v>186</v>
      </c>
      <c r="E187" s="8" t="s">
        <v>536</v>
      </c>
      <c r="F187">
        <v>12100200240</v>
      </c>
      <c r="G187" t="s">
        <v>1910</v>
      </c>
      <c r="H187" s="8" t="s">
        <v>537</v>
      </c>
      <c r="I187" t="s">
        <v>47</v>
      </c>
      <c r="J187" s="17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2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2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t="s">
        <v>538</v>
      </c>
      <c r="AT187" s="4" t="s">
        <v>1023</v>
      </c>
      <c r="AU187" t="str">
        <f t="shared" si="38"/>
        <v>186Superávit Extracción Material De Rio Minas Y Otros0</v>
      </c>
      <c r="AV187" t="str">
        <f>+_xlfn.XLOOKUP(AU187,CRUCE!L:L,CRUCE!M:M)</f>
        <v>READY</v>
      </c>
      <c r="AW187" t="s">
        <v>1907</v>
      </c>
    </row>
    <row r="188" spans="1:49" hidden="1" x14ac:dyDescent="0.3">
      <c r="A188">
        <v>2024</v>
      </c>
      <c r="B188">
        <v>307</v>
      </c>
      <c r="C188">
        <v>12100200243</v>
      </c>
      <c r="D188" s="5">
        <v>227</v>
      </c>
      <c r="E188" s="8" t="s">
        <v>1703</v>
      </c>
      <c r="F188">
        <v>12100200243</v>
      </c>
      <c r="G188" t="s">
        <v>1910</v>
      </c>
      <c r="H188" s="8" t="s">
        <v>1173</v>
      </c>
      <c r="I188" t="s">
        <v>47</v>
      </c>
      <c r="J188" s="17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2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2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t="s">
        <v>1390</v>
      </c>
      <c r="AT188" s="4" t="s">
        <v>1389</v>
      </c>
      <c r="AU188" t="str">
        <f t="shared" si="38"/>
        <v>227Superávit Convenio Invias 1274/22 Puntos Críticos0</v>
      </c>
      <c r="AV188" t="str">
        <f>+_xlfn.XLOOKUP(AU188,CRUCE!L:L,CRUCE!M:M)</f>
        <v>READY</v>
      </c>
      <c r="AW188" t="s">
        <v>1907</v>
      </c>
    </row>
    <row r="189" spans="1:49" hidden="1" x14ac:dyDescent="0.3">
      <c r="A189">
        <v>2024</v>
      </c>
      <c r="B189">
        <v>307</v>
      </c>
      <c r="C189">
        <v>12100200259</v>
      </c>
      <c r="D189" s="5">
        <v>228</v>
      </c>
      <c r="E189" s="8" t="s">
        <v>1391</v>
      </c>
      <c r="F189">
        <v>12100200259</v>
      </c>
      <c r="G189" t="s">
        <v>1910</v>
      </c>
      <c r="H189" s="8" t="s">
        <v>1392</v>
      </c>
      <c r="I189" t="s">
        <v>47</v>
      </c>
      <c r="J189" s="17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2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2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t="s">
        <v>1393</v>
      </c>
      <c r="AT189" s="4" t="str">
        <f>+H189</f>
        <v>Superávit convenio invias 1609 de 2020 vías terciarias</v>
      </c>
      <c r="AU189" t="str">
        <f t="shared" si="38"/>
        <v>228Superávit convenio invias 1609 de 2020 vías terciarias0</v>
      </c>
      <c r="AV189" t="str">
        <f>+_xlfn.XLOOKUP(AU189,CRUCE!L:L,CRUCE!M:M)</f>
        <v>READY</v>
      </c>
      <c r="AW189" t="s">
        <v>1907</v>
      </c>
    </row>
    <row r="190" spans="1:49" hidden="1" x14ac:dyDescent="0.3">
      <c r="A190">
        <v>2024</v>
      </c>
      <c r="B190">
        <v>307</v>
      </c>
      <c r="C190">
        <v>12100200268</v>
      </c>
      <c r="D190" s="5">
        <v>264</v>
      </c>
      <c r="E190" s="8" t="s">
        <v>1704</v>
      </c>
      <c r="F190">
        <v>12100200268</v>
      </c>
      <c r="G190" t="s">
        <v>1910</v>
      </c>
      <c r="H190" s="8" t="s">
        <v>1705</v>
      </c>
      <c r="I190" t="s">
        <v>47</v>
      </c>
      <c r="J190" s="17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2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2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t="s">
        <v>1706</v>
      </c>
      <c r="AT190" s="4" t="str">
        <f>+H190</f>
        <v xml:space="preserve">SUPERAVIT CONVENIO 047/22 RESGUARDO INDIGENA KARABIJUA </v>
      </c>
      <c r="AU190" t="str">
        <f t="shared" si="38"/>
        <v>264SUPERAVIT CONVENIO 047/22 RESGUARDO INDIGENA KARABIJUA 0</v>
      </c>
      <c r="AV190" t="str">
        <f>+_xlfn.XLOOKUP(AU190,CRUCE!L:L,CRUCE!M:M)</f>
        <v>READY</v>
      </c>
      <c r="AW190" t="s">
        <v>1907</v>
      </c>
    </row>
    <row r="191" spans="1:49" hidden="1" x14ac:dyDescent="0.3">
      <c r="A191">
        <v>2024</v>
      </c>
      <c r="B191">
        <v>307</v>
      </c>
      <c r="C191">
        <v>1212</v>
      </c>
      <c r="D191" s="5" t="s">
        <v>44</v>
      </c>
      <c r="E191" s="8" t="s">
        <v>1707</v>
      </c>
      <c r="F191">
        <v>1212</v>
      </c>
      <c r="H191" s="8" t="s">
        <v>540</v>
      </c>
      <c r="I191" t="s">
        <v>47</v>
      </c>
      <c r="J191" s="17">
        <v>9000000000</v>
      </c>
      <c r="K191" s="11">
        <v>9000000000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9000000000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2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2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t="s">
        <v>48</v>
      </c>
      <c r="AT191"/>
    </row>
    <row r="192" spans="1:49" hidden="1" x14ac:dyDescent="0.3">
      <c r="A192">
        <v>2024</v>
      </c>
      <c r="B192">
        <v>307</v>
      </c>
      <c r="C192">
        <v>121203</v>
      </c>
      <c r="D192" s="5" t="s">
        <v>44</v>
      </c>
      <c r="E192" s="8" t="s">
        <v>1708</v>
      </c>
      <c r="F192">
        <v>121203</v>
      </c>
      <c r="H192" s="8" t="s">
        <v>1404</v>
      </c>
      <c r="I192" t="s">
        <v>47</v>
      </c>
      <c r="J192" s="17">
        <v>9000000000</v>
      </c>
      <c r="K192" s="11">
        <v>9000000000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9000000000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2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2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1">
        <v>0</v>
      </c>
      <c r="AP192" s="11">
        <v>0</v>
      </c>
      <c r="AQ192" s="11">
        <v>0</v>
      </c>
      <c r="AR192" s="11">
        <v>0</v>
      </c>
      <c r="AS192" t="s">
        <v>48</v>
      </c>
      <c r="AT192"/>
    </row>
    <row r="193" spans="1:49" hidden="1" x14ac:dyDescent="0.3">
      <c r="A193">
        <v>2024</v>
      </c>
      <c r="B193">
        <v>307</v>
      </c>
      <c r="C193">
        <v>121203001</v>
      </c>
      <c r="D193" s="5">
        <v>135</v>
      </c>
      <c r="E193" s="8" t="s">
        <v>1709</v>
      </c>
      <c r="F193">
        <v>121203001</v>
      </c>
      <c r="G193" t="s">
        <v>1910</v>
      </c>
      <c r="H193" s="8" t="s">
        <v>544</v>
      </c>
      <c r="I193" t="s">
        <v>47</v>
      </c>
      <c r="J193" s="17">
        <v>9000000000</v>
      </c>
      <c r="K193" s="11">
        <v>9000000000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9000000000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2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2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t="s">
        <v>1140</v>
      </c>
      <c r="AT193" s="4" t="str">
        <f>+H193</f>
        <v>Para el pago del pasivo pensional corriente</v>
      </c>
      <c r="AU193" t="str">
        <f>+D193&amp;AT193&amp;J193</f>
        <v>135Para el pago del pasivo pensional corriente9000000000</v>
      </c>
      <c r="AV193" t="str">
        <f>+_xlfn.XLOOKUP(AU193,CRUCE!L:L,CRUCE!M:M)</f>
        <v>READY</v>
      </c>
      <c r="AW193" t="s">
        <v>1907</v>
      </c>
    </row>
    <row r="194" spans="1:49" hidden="1" x14ac:dyDescent="0.3">
      <c r="A194">
        <v>2024</v>
      </c>
      <c r="B194">
        <v>307</v>
      </c>
      <c r="C194">
        <v>1213</v>
      </c>
      <c r="D194" s="5" t="s">
        <v>44</v>
      </c>
      <c r="E194" s="8" t="s">
        <v>1710</v>
      </c>
      <c r="F194">
        <v>1213</v>
      </c>
      <c r="H194" s="8" t="s">
        <v>546</v>
      </c>
      <c r="I194" t="s">
        <v>47</v>
      </c>
      <c r="J194" s="17">
        <v>10000000</v>
      </c>
      <c r="K194" s="11">
        <v>10000000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10000000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173</v>
      </c>
      <c r="Y194" s="11">
        <v>171.27</v>
      </c>
      <c r="Z194" s="12">
        <v>1.73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173</v>
      </c>
      <c r="AH194" s="11">
        <v>171.27</v>
      </c>
      <c r="AI194" s="12">
        <v>1.73</v>
      </c>
      <c r="AJ194" s="11">
        <v>1.73</v>
      </c>
      <c r="AK194" s="11">
        <v>0</v>
      </c>
      <c r="AL194" s="11">
        <v>0</v>
      </c>
      <c r="AM194" s="11">
        <v>1.73</v>
      </c>
      <c r="AN194" s="11">
        <v>173</v>
      </c>
      <c r="AO194" s="11">
        <v>171.27</v>
      </c>
      <c r="AP194" s="11">
        <v>173</v>
      </c>
      <c r="AQ194" s="11">
        <v>0</v>
      </c>
      <c r="AR194" s="11">
        <v>171.27</v>
      </c>
      <c r="AS194" t="s">
        <v>48</v>
      </c>
      <c r="AT194"/>
    </row>
    <row r="195" spans="1:49" x14ac:dyDescent="0.3">
      <c r="A195">
        <v>2024</v>
      </c>
      <c r="B195">
        <v>307</v>
      </c>
      <c r="C195">
        <v>121301</v>
      </c>
      <c r="D195" s="5">
        <v>20</v>
      </c>
      <c r="E195" s="8" t="s">
        <v>1711</v>
      </c>
      <c r="F195">
        <v>121301</v>
      </c>
      <c r="G195" t="s">
        <v>1910</v>
      </c>
      <c r="H195" s="8" t="s">
        <v>459</v>
      </c>
      <c r="I195" t="s">
        <v>47</v>
      </c>
      <c r="J195" s="17">
        <v>10000000</v>
      </c>
      <c r="K195" s="11">
        <v>10000000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10000000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173</v>
      </c>
      <c r="Y195" s="11">
        <v>171.27</v>
      </c>
      <c r="Z195" s="12">
        <v>1.73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173</v>
      </c>
      <c r="AH195" s="11">
        <v>171.27</v>
      </c>
      <c r="AI195" s="12">
        <v>1.73</v>
      </c>
      <c r="AJ195" s="11">
        <v>1.73</v>
      </c>
      <c r="AK195" s="11">
        <v>0</v>
      </c>
      <c r="AL195" s="11">
        <v>0</v>
      </c>
      <c r="AM195" s="11">
        <v>1.73</v>
      </c>
      <c r="AN195" s="11">
        <v>173</v>
      </c>
      <c r="AO195" s="11">
        <v>171.27</v>
      </c>
      <c r="AP195" s="11">
        <v>173</v>
      </c>
      <c r="AQ195" s="11">
        <v>0</v>
      </c>
      <c r="AR195" s="11">
        <v>171.27</v>
      </c>
      <c r="AS195" t="s">
        <v>57</v>
      </c>
      <c r="AT195" s="4" t="str">
        <f>+H195</f>
        <v>Reintegros</v>
      </c>
      <c r="AU195" t="str">
        <f>+D195&amp;AT195&amp;J195</f>
        <v>20Reintegros10000000</v>
      </c>
      <c r="AV195" t="str">
        <f>+_xlfn.XLOOKUP(AU195,CRUCE!L:L,CRUCE!M:M)</f>
        <v>READY</v>
      </c>
      <c r="AW195" t="s">
        <v>1907</v>
      </c>
    </row>
    <row r="196" spans="1:49" hidden="1" x14ac:dyDescent="0.3">
      <c r="A196">
        <v>2024</v>
      </c>
      <c r="B196">
        <v>314</v>
      </c>
      <c r="C196">
        <v>1</v>
      </c>
      <c r="D196" s="5" t="s">
        <v>44</v>
      </c>
      <c r="E196" s="8" t="s">
        <v>557</v>
      </c>
      <c r="F196">
        <v>1</v>
      </c>
      <c r="H196" s="8" t="s">
        <v>46</v>
      </c>
      <c r="I196" t="s">
        <v>558</v>
      </c>
      <c r="J196" s="17">
        <v>219289310999.98999</v>
      </c>
      <c r="K196" s="11">
        <v>219289310999.98999</v>
      </c>
      <c r="L196" s="11">
        <v>4573282670.5600004</v>
      </c>
      <c r="M196" s="11">
        <v>0</v>
      </c>
      <c r="N196" s="11">
        <v>4573282670.5600004</v>
      </c>
      <c r="O196" s="11">
        <v>4573282670.5600004</v>
      </c>
      <c r="P196" s="11">
        <v>0</v>
      </c>
      <c r="Q196" s="11">
        <v>223862593670.54999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31081042392.959999</v>
      </c>
      <c r="Y196" s="11">
        <v>3360920.48</v>
      </c>
      <c r="Z196" s="12">
        <v>31077681472.48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31081042392.959999</v>
      </c>
      <c r="AH196" s="11">
        <v>3360920.48</v>
      </c>
      <c r="AI196" s="12">
        <v>31077681472.48</v>
      </c>
      <c r="AJ196" s="11">
        <v>31077681472.48</v>
      </c>
      <c r="AK196" s="11">
        <v>10918064670.41</v>
      </c>
      <c r="AL196" s="11">
        <v>10918064670.41</v>
      </c>
      <c r="AM196" s="11">
        <v>20159616802.07</v>
      </c>
      <c r="AN196" s="11">
        <v>20162977722.549999</v>
      </c>
      <c r="AO196" s="11">
        <v>3360920.48</v>
      </c>
      <c r="AP196" s="11">
        <v>20162977722.549999</v>
      </c>
      <c r="AQ196" s="11">
        <v>0</v>
      </c>
      <c r="AR196" s="11">
        <v>3360920.48</v>
      </c>
      <c r="AS196" t="s">
        <v>48</v>
      </c>
      <c r="AT196"/>
    </row>
    <row r="197" spans="1:49" hidden="1" x14ac:dyDescent="0.3">
      <c r="A197">
        <v>2024</v>
      </c>
      <c r="B197">
        <v>314</v>
      </c>
      <c r="C197">
        <v>11</v>
      </c>
      <c r="D197" s="5" t="s">
        <v>44</v>
      </c>
      <c r="E197" s="8" t="s">
        <v>1712</v>
      </c>
      <c r="F197">
        <v>11</v>
      </c>
      <c r="H197" s="8" t="s">
        <v>50</v>
      </c>
      <c r="I197" t="s">
        <v>558</v>
      </c>
      <c r="J197" s="17">
        <v>219031310999.98999</v>
      </c>
      <c r="K197" s="11">
        <v>219031310999.98999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219031310999.98999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27002276736</v>
      </c>
      <c r="Y197" s="11">
        <v>0</v>
      </c>
      <c r="Z197" s="12">
        <v>27002276736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27002276736</v>
      </c>
      <c r="AH197" s="11">
        <v>0</v>
      </c>
      <c r="AI197" s="12">
        <v>27002276736</v>
      </c>
      <c r="AJ197" s="11">
        <v>27002276736</v>
      </c>
      <c r="AK197" s="11">
        <v>6916234029</v>
      </c>
      <c r="AL197" s="11">
        <v>6916234029</v>
      </c>
      <c r="AM197" s="11">
        <v>20086042707</v>
      </c>
      <c r="AN197" s="11">
        <v>20086042707</v>
      </c>
      <c r="AO197" s="11">
        <v>0</v>
      </c>
      <c r="AP197" s="11">
        <v>20086042707</v>
      </c>
      <c r="AQ197" s="11">
        <v>0</v>
      </c>
      <c r="AR197" s="11">
        <v>0</v>
      </c>
      <c r="AS197" t="s">
        <v>48</v>
      </c>
      <c r="AT197"/>
    </row>
    <row r="198" spans="1:49" hidden="1" x14ac:dyDescent="0.3">
      <c r="A198">
        <v>2024</v>
      </c>
      <c r="B198">
        <v>314</v>
      </c>
      <c r="C198">
        <v>1102</v>
      </c>
      <c r="D198" s="5" t="s">
        <v>44</v>
      </c>
      <c r="E198" s="8" t="s">
        <v>1713</v>
      </c>
      <c r="F198">
        <v>1102</v>
      </c>
      <c r="H198" s="8" t="s">
        <v>145</v>
      </c>
      <c r="I198" t="s">
        <v>558</v>
      </c>
      <c r="J198" s="17">
        <v>219031310999.98999</v>
      </c>
      <c r="K198" s="11">
        <v>219031310999.98999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219031310999.98999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27002276736</v>
      </c>
      <c r="Y198" s="11">
        <v>0</v>
      </c>
      <c r="Z198" s="12">
        <v>27002276736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27002276736</v>
      </c>
      <c r="AH198" s="11">
        <v>0</v>
      </c>
      <c r="AI198" s="12">
        <v>27002276736</v>
      </c>
      <c r="AJ198" s="11">
        <v>27002276736</v>
      </c>
      <c r="AK198" s="11">
        <v>6916234029</v>
      </c>
      <c r="AL198" s="11">
        <v>6916234029</v>
      </c>
      <c r="AM198" s="11">
        <v>20086042707</v>
      </c>
      <c r="AN198" s="11">
        <v>20086042707</v>
      </c>
      <c r="AO198" s="11">
        <v>0</v>
      </c>
      <c r="AP198" s="11">
        <v>20086042707</v>
      </c>
      <c r="AQ198" s="11">
        <v>0</v>
      </c>
      <c r="AR198" s="11">
        <v>0</v>
      </c>
      <c r="AS198" t="s">
        <v>48</v>
      </c>
      <c r="AT198"/>
    </row>
    <row r="199" spans="1:49" hidden="1" x14ac:dyDescent="0.3">
      <c r="A199">
        <v>2024</v>
      </c>
      <c r="B199">
        <v>314</v>
      </c>
      <c r="C199">
        <v>110206</v>
      </c>
      <c r="D199" s="5" t="s">
        <v>44</v>
      </c>
      <c r="E199" s="8" t="s">
        <v>1714</v>
      </c>
      <c r="F199">
        <v>110206</v>
      </c>
      <c r="H199" s="8" t="s">
        <v>242</v>
      </c>
      <c r="I199" t="s">
        <v>558</v>
      </c>
      <c r="J199" s="17">
        <v>219031310999.98999</v>
      </c>
      <c r="K199" s="11">
        <v>219031310999.98999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219031310999.98999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27002276736</v>
      </c>
      <c r="Y199" s="11">
        <v>0</v>
      </c>
      <c r="Z199" s="12">
        <v>27002276736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27002276736</v>
      </c>
      <c r="AH199" s="11">
        <v>0</v>
      </c>
      <c r="AI199" s="12">
        <v>27002276736</v>
      </c>
      <c r="AJ199" s="11">
        <v>27002276736</v>
      </c>
      <c r="AK199" s="11">
        <v>6916234029</v>
      </c>
      <c r="AL199" s="11">
        <v>6916234029</v>
      </c>
      <c r="AM199" s="11">
        <v>20086042707</v>
      </c>
      <c r="AN199" s="11">
        <v>20086042707</v>
      </c>
      <c r="AO199" s="11">
        <v>0</v>
      </c>
      <c r="AP199" s="11">
        <v>20086042707</v>
      </c>
      <c r="AQ199" s="11">
        <v>0</v>
      </c>
      <c r="AR199" s="11">
        <v>0</v>
      </c>
      <c r="AS199" t="s">
        <v>48</v>
      </c>
      <c r="AT199"/>
    </row>
    <row r="200" spans="1:49" hidden="1" x14ac:dyDescent="0.3">
      <c r="A200">
        <v>2024</v>
      </c>
      <c r="B200">
        <v>314</v>
      </c>
      <c r="C200">
        <v>110206001</v>
      </c>
      <c r="D200" s="5" t="s">
        <v>44</v>
      </c>
      <c r="E200" s="8" t="s">
        <v>1715</v>
      </c>
      <c r="F200">
        <v>110206001</v>
      </c>
      <c r="H200" s="8" t="s">
        <v>244</v>
      </c>
      <c r="I200" t="s">
        <v>558</v>
      </c>
      <c r="J200" s="17">
        <v>209129759999.98999</v>
      </c>
      <c r="K200" s="11">
        <v>209129759999.98999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209129759999.98999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24487298536</v>
      </c>
      <c r="Y200" s="11">
        <v>0</v>
      </c>
      <c r="Z200" s="12">
        <v>24487298536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24487298536</v>
      </c>
      <c r="AH200" s="11">
        <v>0</v>
      </c>
      <c r="AI200" s="12">
        <v>24487298536</v>
      </c>
      <c r="AJ200" s="11">
        <v>24487298536</v>
      </c>
      <c r="AK200" s="11">
        <v>6916234029</v>
      </c>
      <c r="AL200" s="11">
        <v>6916234029</v>
      </c>
      <c r="AM200" s="11">
        <v>17571064507</v>
      </c>
      <c r="AN200" s="11">
        <v>17571064507</v>
      </c>
      <c r="AO200" s="11">
        <v>0</v>
      </c>
      <c r="AP200" s="11">
        <v>17571064507</v>
      </c>
      <c r="AQ200" s="11">
        <v>0</v>
      </c>
      <c r="AR200" s="11">
        <v>0</v>
      </c>
      <c r="AS200" t="s">
        <v>48</v>
      </c>
      <c r="AT200"/>
    </row>
    <row r="201" spans="1:49" hidden="1" x14ac:dyDescent="0.3">
      <c r="A201">
        <v>2024</v>
      </c>
      <c r="B201">
        <v>314</v>
      </c>
      <c r="C201">
        <v>11020600101</v>
      </c>
      <c r="D201" s="5" t="s">
        <v>44</v>
      </c>
      <c r="E201" s="8" t="s">
        <v>1716</v>
      </c>
      <c r="F201">
        <v>11020600101</v>
      </c>
      <c r="H201" s="8" t="s">
        <v>564</v>
      </c>
      <c r="I201" t="s">
        <v>558</v>
      </c>
      <c r="J201" s="17">
        <v>209129759999.98999</v>
      </c>
      <c r="K201" s="11">
        <v>209129759999.98999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209129759999.98999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24487298536</v>
      </c>
      <c r="Y201" s="11">
        <v>0</v>
      </c>
      <c r="Z201" s="12">
        <v>24487298536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24487298536</v>
      </c>
      <c r="AH201" s="11">
        <v>0</v>
      </c>
      <c r="AI201" s="12">
        <v>24487298536</v>
      </c>
      <c r="AJ201" s="11">
        <v>24487298536</v>
      </c>
      <c r="AK201" s="11">
        <v>6916234029</v>
      </c>
      <c r="AL201" s="11">
        <v>6916234029</v>
      </c>
      <c r="AM201" s="11">
        <v>17571064507</v>
      </c>
      <c r="AN201" s="11">
        <v>17571064507</v>
      </c>
      <c r="AO201" s="11">
        <v>0</v>
      </c>
      <c r="AP201" s="11">
        <v>17571064507</v>
      </c>
      <c r="AQ201" s="11">
        <v>0</v>
      </c>
      <c r="AR201" s="11">
        <v>0</v>
      </c>
      <c r="AS201" t="s">
        <v>48</v>
      </c>
      <c r="AT201"/>
    </row>
    <row r="202" spans="1:49" hidden="1" x14ac:dyDescent="0.3">
      <c r="A202">
        <v>2024</v>
      </c>
      <c r="B202">
        <v>314</v>
      </c>
      <c r="C202">
        <v>1102060010101</v>
      </c>
      <c r="D202" s="5">
        <v>25</v>
      </c>
      <c r="E202" s="8" t="s">
        <v>565</v>
      </c>
      <c r="F202">
        <v>1102060010101</v>
      </c>
      <c r="G202" t="s">
        <v>1908</v>
      </c>
      <c r="H202" s="8" t="s">
        <v>566</v>
      </c>
      <c r="I202" t="s">
        <v>558</v>
      </c>
      <c r="J202" s="17">
        <v>175675359999.98999</v>
      </c>
      <c r="K202" s="11">
        <v>175675359999.98999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175675359999.98999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17571064507</v>
      </c>
      <c r="Y202" s="11">
        <v>0</v>
      </c>
      <c r="Z202" s="12">
        <v>17571064507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17571064507</v>
      </c>
      <c r="AH202" s="11">
        <v>0</v>
      </c>
      <c r="AI202" s="12">
        <v>17571064507</v>
      </c>
      <c r="AJ202" s="11">
        <v>17571064507</v>
      </c>
      <c r="AK202" s="11">
        <v>0</v>
      </c>
      <c r="AL202" s="11">
        <v>0</v>
      </c>
      <c r="AM202" s="11">
        <v>17571064507</v>
      </c>
      <c r="AN202" s="11">
        <v>17571064507</v>
      </c>
      <c r="AO202" s="11">
        <v>0</v>
      </c>
      <c r="AP202" s="11">
        <v>17571064507</v>
      </c>
      <c r="AQ202" s="11">
        <v>0</v>
      </c>
      <c r="AR202" s="11">
        <v>0</v>
      </c>
      <c r="AS202" t="s">
        <v>567</v>
      </c>
      <c r="AT202" s="4" t="str">
        <f t="shared" ref="AT202:AT203" si="39">+H202</f>
        <v>Prestación de servicio educativo</v>
      </c>
      <c r="AU202" t="str">
        <f t="shared" ref="AU202:AU203" si="40">+D202&amp;AT202&amp;J202</f>
        <v>25Prestación de servicio educativo175675359999,99</v>
      </c>
      <c r="AV202" t="str">
        <f>+_xlfn.XLOOKUP(AU202,CRUCE!L:L,CRUCE!M:M)</f>
        <v>READY</v>
      </c>
      <c r="AW202" t="s">
        <v>1907</v>
      </c>
    </row>
    <row r="203" spans="1:49" hidden="1" x14ac:dyDescent="0.3">
      <c r="A203">
        <v>2024</v>
      </c>
      <c r="B203">
        <v>314</v>
      </c>
      <c r="C203">
        <v>1102060010101</v>
      </c>
      <c r="D203" s="5">
        <v>26</v>
      </c>
      <c r="E203" s="8" t="s">
        <v>568</v>
      </c>
      <c r="F203">
        <v>1102060010101</v>
      </c>
      <c r="G203" t="s">
        <v>1908</v>
      </c>
      <c r="H203" s="8" t="s">
        <v>566</v>
      </c>
      <c r="I203" t="s">
        <v>558</v>
      </c>
      <c r="J203" s="17">
        <v>33454400000</v>
      </c>
      <c r="K203" s="11">
        <v>33454400000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33454400000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6916234029</v>
      </c>
      <c r="Y203" s="11">
        <v>0</v>
      </c>
      <c r="Z203" s="12">
        <v>6916234029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6916234029</v>
      </c>
      <c r="AH203" s="11">
        <v>0</v>
      </c>
      <c r="AI203" s="12">
        <v>6916234029</v>
      </c>
      <c r="AJ203" s="11">
        <v>6916234029</v>
      </c>
      <c r="AK203" s="11">
        <v>6916234029</v>
      </c>
      <c r="AL203" s="11">
        <v>6916234029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t="s">
        <v>569</v>
      </c>
      <c r="AT203" s="4" t="str">
        <f t="shared" si="39"/>
        <v>Prestación de servicio educativo</v>
      </c>
      <c r="AU203" t="str">
        <f t="shared" si="40"/>
        <v>26Prestación de servicio educativo33454400000</v>
      </c>
      <c r="AV203" t="str">
        <f>+_xlfn.XLOOKUP(AU203,CRUCE!L:L,CRUCE!M:M)</f>
        <v>READY</v>
      </c>
      <c r="AW203" t="s">
        <v>1907</v>
      </c>
    </row>
    <row r="204" spans="1:49" hidden="1" x14ac:dyDescent="0.3">
      <c r="A204">
        <v>2024</v>
      </c>
      <c r="B204">
        <v>314</v>
      </c>
      <c r="C204">
        <v>110206006</v>
      </c>
      <c r="D204" s="5" t="s">
        <v>44</v>
      </c>
      <c r="E204" s="8" t="s">
        <v>1717</v>
      </c>
      <c r="F204">
        <v>110206006</v>
      </c>
      <c r="H204" s="8" t="s">
        <v>267</v>
      </c>
      <c r="I204" t="s">
        <v>558</v>
      </c>
      <c r="J204" s="17">
        <v>9901551000</v>
      </c>
      <c r="K204" s="11">
        <v>9901551000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9901551000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2514978200</v>
      </c>
      <c r="Y204" s="11">
        <v>0</v>
      </c>
      <c r="Z204" s="12">
        <v>2514978200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2514978200</v>
      </c>
      <c r="AH204" s="11">
        <v>0</v>
      </c>
      <c r="AI204" s="12">
        <v>2514978200</v>
      </c>
      <c r="AJ204" s="11">
        <v>2514978200</v>
      </c>
      <c r="AK204" s="11">
        <v>0</v>
      </c>
      <c r="AL204" s="11">
        <v>0</v>
      </c>
      <c r="AM204" s="11">
        <v>2514978200</v>
      </c>
      <c r="AN204" s="11">
        <v>2514978200</v>
      </c>
      <c r="AO204" s="11">
        <v>0</v>
      </c>
      <c r="AP204" s="11">
        <v>2514978200</v>
      </c>
      <c r="AQ204" s="11">
        <v>0</v>
      </c>
      <c r="AR204" s="11">
        <v>0</v>
      </c>
      <c r="AS204" t="s">
        <v>48</v>
      </c>
      <c r="AT204"/>
    </row>
    <row r="205" spans="1:49" hidden="1" x14ac:dyDescent="0.3">
      <c r="A205">
        <v>2024</v>
      </c>
      <c r="B205">
        <v>314</v>
      </c>
      <c r="C205">
        <v>11020600606</v>
      </c>
      <c r="D205" s="5" t="s">
        <v>44</v>
      </c>
      <c r="E205" s="8" t="s">
        <v>1718</v>
      </c>
      <c r="F205">
        <v>11020600606</v>
      </c>
      <c r="H205" s="8" t="s">
        <v>267</v>
      </c>
      <c r="I205" t="s">
        <v>558</v>
      </c>
      <c r="J205" s="17">
        <v>9901551000</v>
      </c>
      <c r="K205" s="11">
        <v>9901551000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9901551000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2514978200</v>
      </c>
      <c r="Y205" s="11">
        <v>0</v>
      </c>
      <c r="Z205" s="12">
        <v>2514978200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2514978200</v>
      </c>
      <c r="AH205" s="11">
        <v>0</v>
      </c>
      <c r="AI205" s="12">
        <v>2514978200</v>
      </c>
      <c r="AJ205" s="11">
        <v>2514978200</v>
      </c>
      <c r="AK205" s="11">
        <v>0</v>
      </c>
      <c r="AL205" s="11">
        <v>0</v>
      </c>
      <c r="AM205" s="11">
        <v>2514978200</v>
      </c>
      <c r="AN205" s="11">
        <v>2514978200</v>
      </c>
      <c r="AO205" s="11">
        <v>0</v>
      </c>
      <c r="AP205" s="11">
        <v>2514978200</v>
      </c>
      <c r="AQ205" s="11">
        <v>0</v>
      </c>
      <c r="AR205" s="11">
        <v>0</v>
      </c>
      <c r="AS205" t="s">
        <v>48</v>
      </c>
      <c r="AT205"/>
    </row>
    <row r="206" spans="1:49" hidden="1" x14ac:dyDescent="0.3">
      <c r="A206">
        <v>2024</v>
      </c>
      <c r="B206">
        <v>314</v>
      </c>
      <c r="C206">
        <v>1102060060600</v>
      </c>
      <c r="D206" s="5" t="s">
        <v>44</v>
      </c>
      <c r="E206" s="8" t="s">
        <v>1719</v>
      </c>
      <c r="F206">
        <v>1102060060600</v>
      </c>
      <c r="H206" s="8" t="s">
        <v>267</v>
      </c>
      <c r="I206" t="s">
        <v>558</v>
      </c>
      <c r="J206" s="17">
        <v>9901551000</v>
      </c>
      <c r="K206" s="11">
        <v>9901551000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9901551000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2514978200</v>
      </c>
      <c r="Y206" s="11">
        <v>0</v>
      </c>
      <c r="Z206" s="12">
        <v>2514978200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2514978200</v>
      </c>
      <c r="AH206" s="11">
        <v>0</v>
      </c>
      <c r="AI206" s="12">
        <v>2514978200</v>
      </c>
      <c r="AJ206" s="11">
        <v>2514978200</v>
      </c>
      <c r="AK206" s="11">
        <v>0</v>
      </c>
      <c r="AL206" s="11">
        <v>0</v>
      </c>
      <c r="AM206" s="11">
        <v>2514978200</v>
      </c>
      <c r="AN206" s="11">
        <v>2514978200</v>
      </c>
      <c r="AO206" s="11">
        <v>0</v>
      </c>
      <c r="AP206" s="11">
        <v>2514978200</v>
      </c>
      <c r="AQ206" s="11">
        <v>0</v>
      </c>
      <c r="AR206" s="11">
        <v>0</v>
      </c>
      <c r="AS206" t="s">
        <v>48</v>
      </c>
      <c r="AT206"/>
    </row>
    <row r="207" spans="1:49" hidden="1" x14ac:dyDescent="0.3">
      <c r="A207">
        <v>2024</v>
      </c>
      <c r="B207">
        <v>314</v>
      </c>
      <c r="C207">
        <v>110206006060000</v>
      </c>
      <c r="D207" s="5" t="s">
        <v>44</v>
      </c>
      <c r="E207" s="8" t="s">
        <v>1720</v>
      </c>
      <c r="F207">
        <v>110206006060000</v>
      </c>
      <c r="H207" s="8" t="s">
        <v>267</v>
      </c>
      <c r="I207" t="s">
        <v>558</v>
      </c>
      <c r="J207" s="17">
        <v>9901551000</v>
      </c>
      <c r="K207" s="11">
        <v>9901551000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9901551000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2514978200</v>
      </c>
      <c r="Y207" s="11">
        <v>0</v>
      </c>
      <c r="Z207" s="12">
        <v>2514978200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2514978200</v>
      </c>
      <c r="AH207" s="11">
        <v>0</v>
      </c>
      <c r="AI207" s="12">
        <v>2514978200</v>
      </c>
      <c r="AJ207" s="11">
        <v>2514978200</v>
      </c>
      <c r="AK207" s="11">
        <v>0</v>
      </c>
      <c r="AL207" s="11">
        <v>0</v>
      </c>
      <c r="AM207" s="11">
        <v>2514978200</v>
      </c>
      <c r="AN207" s="11">
        <v>2514978200</v>
      </c>
      <c r="AO207" s="11">
        <v>0</v>
      </c>
      <c r="AP207" s="11">
        <v>2514978200</v>
      </c>
      <c r="AQ207" s="11">
        <v>0</v>
      </c>
      <c r="AR207" s="11">
        <v>0</v>
      </c>
      <c r="AS207" t="s">
        <v>48</v>
      </c>
      <c r="AT207"/>
    </row>
    <row r="208" spans="1:49" hidden="1" x14ac:dyDescent="0.3">
      <c r="A208">
        <v>2024</v>
      </c>
      <c r="B208">
        <v>314</v>
      </c>
      <c r="C208">
        <v>1.1020600606E+17</v>
      </c>
      <c r="D208" s="5" t="s">
        <v>44</v>
      </c>
      <c r="E208" s="8" t="s">
        <v>1721</v>
      </c>
      <c r="F208">
        <v>1.1020600606E+17</v>
      </c>
      <c r="H208" s="8" t="s">
        <v>267</v>
      </c>
      <c r="I208" t="s">
        <v>558</v>
      </c>
      <c r="J208" s="17">
        <v>9901551000</v>
      </c>
      <c r="K208" s="11">
        <v>9901551000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9901551000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2514978200</v>
      </c>
      <c r="Y208" s="11">
        <v>0</v>
      </c>
      <c r="Z208" s="12">
        <v>2514978200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2514978200</v>
      </c>
      <c r="AH208" s="11">
        <v>0</v>
      </c>
      <c r="AI208" s="12">
        <v>2514978200</v>
      </c>
      <c r="AJ208" s="11">
        <v>2514978200</v>
      </c>
      <c r="AK208" s="11">
        <v>0</v>
      </c>
      <c r="AL208" s="11">
        <v>0</v>
      </c>
      <c r="AM208" s="11">
        <v>2514978200</v>
      </c>
      <c r="AN208" s="11">
        <v>2514978200</v>
      </c>
      <c r="AO208" s="11">
        <v>0</v>
      </c>
      <c r="AP208" s="11">
        <v>2514978200</v>
      </c>
      <c r="AQ208" s="11">
        <v>0</v>
      </c>
      <c r="AR208" s="11">
        <v>0</v>
      </c>
      <c r="AS208" t="s">
        <v>48</v>
      </c>
      <c r="AT208"/>
    </row>
    <row r="209" spans="1:49" hidden="1" x14ac:dyDescent="0.3">
      <c r="A209">
        <v>2024</v>
      </c>
      <c r="B209">
        <v>314</v>
      </c>
      <c r="C209">
        <v>1.1020600606E+20</v>
      </c>
      <c r="D209" s="5" t="s">
        <v>44</v>
      </c>
      <c r="E209" s="8" t="s">
        <v>1722</v>
      </c>
      <c r="F209">
        <v>1.1020600606E+20</v>
      </c>
      <c r="H209" s="8" t="s">
        <v>267</v>
      </c>
      <c r="I209" t="s">
        <v>558</v>
      </c>
      <c r="J209" s="17">
        <v>9901551000</v>
      </c>
      <c r="K209" s="11">
        <v>9901551000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9901551000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2514978200</v>
      </c>
      <c r="Y209" s="11">
        <v>0</v>
      </c>
      <c r="Z209" s="12">
        <v>2514978200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2514978200</v>
      </c>
      <c r="AH209" s="11">
        <v>0</v>
      </c>
      <c r="AI209" s="12">
        <v>2514978200</v>
      </c>
      <c r="AJ209" s="11">
        <v>2514978200</v>
      </c>
      <c r="AK209" s="11">
        <v>0</v>
      </c>
      <c r="AL209" s="11">
        <v>0</v>
      </c>
      <c r="AM209" s="11">
        <v>2514978200</v>
      </c>
      <c r="AN209" s="11">
        <v>2514978200</v>
      </c>
      <c r="AO209" s="11">
        <v>0</v>
      </c>
      <c r="AP209" s="11">
        <v>2514978200</v>
      </c>
      <c r="AQ209" s="11">
        <v>0</v>
      </c>
      <c r="AR209" s="11">
        <v>0</v>
      </c>
      <c r="AS209" t="s">
        <v>48</v>
      </c>
      <c r="AT209"/>
    </row>
    <row r="210" spans="1:49" hidden="1" x14ac:dyDescent="0.3">
      <c r="A210">
        <v>2024</v>
      </c>
      <c r="B210">
        <v>314</v>
      </c>
      <c r="C210">
        <v>1.1020600605999999E+35</v>
      </c>
      <c r="D210" s="5">
        <v>81</v>
      </c>
      <c r="E210" s="8" t="s">
        <v>1723</v>
      </c>
      <c r="F210">
        <v>1.1020600605999999E+35</v>
      </c>
      <c r="G210" t="s">
        <v>1908</v>
      </c>
      <c r="H210" s="8" t="s">
        <v>1724</v>
      </c>
      <c r="I210" t="s">
        <v>558</v>
      </c>
      <c r="J210" s="17">
        <v>9901551000</v>
      </c>
      <c r="K210" s="11">
        <v>9901551000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9901551000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2514978200</v>
      </c>
      <c r="Y210" s="11">
        <v>0</v>
      </c>
      <c r="Z210" s="12">
        <v>2514978200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2514978200</v>
      </c>
      <c r="AH210" s="11">
        <v>0</v>
      </c>
      <c r="AI210" s="12">
        <v>2514978200</v>
      </c>
      <c r="AJ210" s="11">
        <v>2514978200</v>
      </c>
      <c r="AK210" s="11">
        <v>0</v>
      </c>
      <c r="AL210" s="11">
        <v>0</v>
      </c>
      <c r="AM210" s="11">
        <v>2514978200</v>
      </c>
      <c r="AN210" s="11">
        <v>2514978200</v>
      </c>
      <c r="AO210" s="11">
        <v>0</v>
      </c>
      <c r="AP210" s="11">
        <v>2514978200</v>
      </c>
      <c r="AQ210" s="11">
        <v>0</v>
      </c>
      <c r="AR210" s="11">
        <v>0</v>
      </c>
      <c r="AS210" t="s">
        <v>581</v>
      </c>
      <c r="AT210" s="4" t="s">
        <v>580</v>
      </c>
      <c r="AU210" t="str">
        <f>+D210&amp;AT210&amp;J210</f>
        <v>81U.A.E. de Alimentación Escolar - Alimentos para Aprender (UAPA)9901551000</v>
      </c>
      <c r="AV210" t="str">
        <f>+_xlfn.XLOOKUP(AU210,CRUCE!L:L,CRUCE!M:M)</f>
        <v>READY</v>
      </c>
      <c r="AW210" t="s">
        <v>1907</v>
      </c>
    </row>
    <row r="211" spans="1:49" hidden="1" x14ac:dyDescent="0.3">
      <c r="A211">
        <v>2024</v>
      </c>
      <c r="B211">
        <v>314</v>
      </c>
      <c r="C211">
        <v>12</v>
      </c>
      <c r="D211" s="5" t="s">
        <v>44</v>
      </c>
      <c r="E211" s="8" t="s">
        <v>1407</v>
      </c>
      <c r="F211">
        <v>12</v>
      </c>
      <c r="H211" s="8" t="s">
        <v>367</v>
      </c>
      <c r="I211" t="s">
        <v>558</v>
      </c>
      <c r="J211" s="17">
        <v>258000000</v>
      </c>
      <c r="K211" s="11">
        <v>258000000</v>
      </c>
      <c r="L211" s="11">
        <v>4573282670.5600004</v>
      </c>
      <c r="M211" s="11">
        <v>0</v>
      </c>
      <c r="N211" s="11">
        <v>4573282670.5600004</v>
      </c>
      <c r="O211" s="11">
        <v>4573282670.5600004</v>
      </c>
      <c r="P211" s="11">
        <v>0</v>
      </c>
      <c r="Q211" s="11">
        <v>4831282670.5600004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4078765656.96</v>
      </c>
      <c r="Y211" s="11">
        <v>3360920.48</v>
      </c>
      <c r="Z211" s="12">
        <v>4075404736.48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4078765656.96</v>
      </c>
      <c r="AH211" s="11">
        <v>3360920.48</v>
      </c>
      <c r="AI211" s="12">
        <v>4075404736.48</v>
      </c>
      <c r="AJ211" s="11">
        <v>4075404736.48</v>
      </c>
      <c r="AK211" s="11">
        <v>4001830641.4099998</v>
      </c>
      <c r="AL211" s="11">
        <v>4001830641.4099998</v>
      </c>
      <c r="AM211" s="11">
        <v>73574095.069999993</v>
      </c>
      <c r="AN211" s="11">
        <v>76935015.549999997</v>
      </c>
      <c r="AO211" s="11">
        <v>3360920.48</v>
      </c>
      <c r="AP211" s="11">
        <v>76935015.549999997</v>
      </c>
      <c r="AQ211" s="11">
        <v>0</v>
      </c>
      <c r="AR211" s="11">
        <v>3360920.48</v>
      </c>
      <c r="AS211" t="s">
        <v>48</v>
      </c>
      <c r="AT211"/>
    </row>
    <row r="212" spans="1:49" hidden="1" x14ac:dyDescent="0.3">
      <c r="A212">
        <v>2024</v>
      </c>
      <c r="B212">
        <v>314</v>
      </c>
      <c r="C212">
        <v>1205</v>
      </c>
      <c r="D212" s="5" t="s">
        <v>44</v>
      </c>
      <c r="E212" s="8" t="s">
        <v>1725</v>
      </c>
      <c r="F212">
        <v>1205</v>
      </c>
      <c r="H212" s="8" t="s">
        <v>379</v>
      </c>
      <c r="I212" t="s">
        <v>558</v>
      </c>
      <c r="J212" s="17">
        <v>258000000</v>
      </c>
      <c r="K212" s="11">
        <v>258000000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258000000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53911457.549999997</v>
      </c>
      <c r="Y212" s="11">
        <v>3360920.48</v>
      </c>
      <c r="Z212" s="12">
        <v>50550537.07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53911457.549999997</v>
      </c>
      <c r="AH212" s="11">
        <v>3360920.48</v>
      </c>
      <c r="AI212" s="12">
        <v>50550537.07</v>
      </c>
      <c r="AJ212" s="11">
        <v>50550537.07</v>
      </c>
      <c r="AK212" s="11">
        <v>0</v>
      </c>
      <c r="AL212" s="11">
        <v>0</v>
      </c>
      <c r="AM212" s="11">
        <v>50550537.07</v>
      </c>
      <c r="AN212" s="11">
        <v>53911457.549999997</v>
      </c>
      <c r="AO212" s="11">
        <v>3360920.48</v>
      </c>
      <c r="AP212" s="11">
        <v>53911457.549999997</v>
      </c>
      <c r="AQ212" s="11">
        <v>0</v>
      </c>
      <c r="AR212" s="11">
        <v>3360920.48</v>
      </c>
      <c r="AS212" t="s">
        <v>48</v>
      </c>
      <c r="AT212"/>
    </row>
    <row r="213" spans="1:49" hidden="1" x14ac:dyDescent="0.3">
      <c r="A213">
        <v>2024</v>
      </c>
      <c r="B213">
        <v>314</v>
      </c>
      <c r="C213">
        <v>120502</v>
      </c>
      <c r="D213" s="5" t="s">
        <v>44</v>
      </c>
      <c r="E213" s="8" t="s">
        <v>1726</v>
      </c>
      <c r="F213">
        <v>120502</v>
      </c>
      <c r="H213" s="8" t="s">
        <v>381</v>
      </c>
      <c r="I213" t="s">
        <v>558</v>
      </c>
      <c r="J213" s="17">
        <v>258000000</v>
      </c>
      <c r="K213" s="11">
        <v>258000000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258000000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53911457.549999997</v>
      </c>
      <c r="Y213" s="11">
        <v>3360920.48</v>
      </c>
      <c r="Z213" s="12">
        <v>50550537.07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53911457.549999997</v>
      </c>
      <c r="AH213" s="11">
        <v>3360920.48</v>
      </c>
      <c r="AI213" s="12">
        <v>50550537.07</v>
      </c>
      <c r="AJ213" s="11">
        <v>50550537.07</v>
      </c>
      <c r="AK213" s="11">
        <v>0</v>
      </c>
      <c r="AL213" s="11">
        <v>0</v>
      </c>
      <c r="AM213" s="11">
        <v>50550537.07</v>
      </c>
      <c r="AN213" s="11">
        <v>53911457.549999997</v>
      </c>
      <c r="AO213" s="11">
        <v>3360920.48</v>
      </c>
      <c r="AP213" s="11">
        <v>53911457.549999997</v>
      </c>
      <c r="AQ213" s="11">
        <v>0</v>
      </c>
      <c r="AR213" s="11">
        <v>3360920.48</v>
      </c>
      <c r="AS213" t="s">
        <v>48</v>
      </c>
      <c r="AT213"/>
    </row>
    <row r="214" spans="1:49" hidden="1" x14ac:dyDescent="0.3">
      <c r="A214">
        <v>2024</v>
      </c>
      <c r="B214">
        <v>314</v>
      </c>
      <c r="C214">
        <v>120502028</v>
      </c>
      <c r="D214" s="5">
        <v>21</v>
      </c>
      <c r="E214" s="8" t="s">
        <v>1727</v>
      </c>
      <c r="F214">
        <v>120502028</v>
      </c>
      <c r="G214" t="s">
        <v>1909</v>
      </c>
      <c r="H214" s="8" t="s">
        <v>1298</v>
      </c>
      <c r="I214" t="s">
        <v>558</v>
      </c>
      <c r="J214" s="17">
        <v>248000000</v>
      </c>
      <c r="K214" s="11">
        <v>248000000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248000000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19580345.260000002</v>
      </c>
      <c r="Y214" s="11">
        <v>3360920.48</v>
      </c>
      <c r="Z214" s="12">
        <v>16219424.779999999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19580345.260000002</v>
      </c>
      <c r="AH214" s="11">
        <v>3360920.48</v>
      </c>
      <c r="AI214" s="12">
        <v>16219424.779999999</v>
      </c>
      <c r="AJ214" s="11">
        <v>16219424.779999999</v>
      </c>
      <c r="AK214" s="11">
        <v>0</v>
      </c>
      <c r="AL214" s="11">
        <v>0</v>
      </c>
      <c r="AM214" s="11">
        <v>16219424.779999999</v>
      </c>
      <c r="AN214" s="11">
        <v>19580345.260000002</v>
      </c>
      <c r="AO214" s="11">
        <v>3360920.48</v>
      </c>
      <c r="AP214" s="11">
        <v>19580345.260000002</v>
      </c>
      <c r="AQ214" s="11">
        <v>0</v>
      </c>
      <c r="AR214" s="11">
        <v>3360920.48</v>
      </c>
      <c r="AS214" t="s">
        <v>609</v>
      </c>
      <c r="AT214" s="4" t="s">
        <v>608</v>
      </c>
      <c r="AU214" t="str">
        <f t="shared" ref="AU214:AU215" si="41">+D214&amp;AT214&amp;J214</f>
        <v>21Rendimientos Prestacion de Servicio educativo248000000</v>
      </c>
      <c r="AV214" t="str">
        <f>+_xlfn.XLOOKUP(AU214,CRUCE!L:L,CRUCE!M:M)</f>
        <v>READY</v>
      </c>
      <c r="AW214" t="s">
        <v>1907</v>
      </c>
    </row>
    <row r="215" spans="1:49" hidden="1" x14ac:dyDescent="0.3">
      <c r="A215">
        <v>2024</v>
      </c>
      <c r="B215">
        <v>314</v>
      </c>
      <c r="C215">
        <v>120502028</v>
      </c>
      <c r="D215" s="5">
        <v>81</v>
      </c>
      <c r="E215" s="8" t="s">
        <v>1728</v>
      </c>
      <c r="F215">
        <v>120502028</v>
      </c>
      <c r="G215" t="s">
        <v>1909</v>
      </c>
      <c r="H215" s="8" t="s">
        <v>1298</v>
      </c>
      <c r="I215" t="s">
        <v>558</v>
      </c>
      <c r="J215" s="17">
        <v>10000000</v>
      </c>
      <c r="K215" s="11">
        <v>10000000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10000000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34331112.289999999</v>
      </c>
      <c r="Y215" s="11">
        <v>0</v>
      </c>
      <c r="Z215" s="12">
        <v>34331112.289999999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34331112.289999999</v>
      </c>
      <c r="AH215" s="11">
        <v>0</v>
      </c>
      <c r="AI215" s="12">
        <v>34331112.289999999</v>
      </c>
      <c r="AJ215" s="11">
        <v>34331112.289999999</v>
      </c>
      <c r="AK215" s="11">
        <v>0</v>
      </c>
      <c r="AL215" s="11">
        <v>0</v>
      </c>
      <c r="AM215" s="11">
        <v>34331112.289999999</v>
      </c>
      <c r="AN215" s="11">
        <v>34331112.289999999</v>
      </c>
      <c r="AO215" s="11">
        <v>0</v>
      </c>
      <c r="AP215" s="11">
        <v>34331112.289999999</v>
      </c>
      <c r="AQ215" s="11">
        <v>0</v>
      </c>
      <c r="AR215" s="11">
        <v>0</v>
      </c>
      <c r="AS215" t="s">
        <v>581</v>
      </c>
      <c r="AT215" s="4" t="s">
        <v>619</v>
      </c>
      <c r="AU215" t="str">
        <f t="shared" si="41"/>
        <v>81Rendimientos Financieros PAE10000000</v>
      </c>
      <c r="AV215" t="str">
        <f>+_xlfn.XLOOKUP(AU215,CRUCE!L:L,CRUCE!M:M)</f>
        <v>READY</v>
      </c>
      <c r="AW215" t="s">
        <v>1907</v>
      </c>
    </row>
    <row r="216" spans="1:49" hidden="1" x14ac:dyDescent="0.3">
      <c r="A216">
        <v>2024</v>
      </c>
      <c r="B216">
        <v>314</v>
      </c>
      <c r="C216">
        <v>1210</v>
      </c>
      <c r="D216" s="5" t="s">
        <v>44</v>
      </c>
      <c r="E216" s="8" t="s">
        <v>620</v>
      </c>
      <c r="F216">
        <v>1210</v>
      </c>
      <c r="H216" s="8" t="s">
        <v>474</v>
      </c>
      <c r="I216" t="s">
        <v>558</v>
      </c>
      <c r="J216" s="17">
        <v>0</v>
      </c>
      <c r="K216" s="11">
        <v>0</v>
      </c>
      <c r="L216" s="11">
        <v>4573282670.5600004</v>
      </c>
      <c r="M216" s="11">
        <v>0</v>
      </c>
      <c r="N216" s="11">
        <v>4573282670.5600004</v>
      </c>
      <c r="O216" s="11">
        <v>4573282670.5600004</v>
      </c>
      <c r="P216" s="11">
        <v>0</v>
      </c>
      <c r="Q216" s="11">
        <v>4573282670.5600004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4001830641.4099998</v>
      </c>
      <c r="Y216" s="11">
        <v>0</v>
      </c>
      <c r="Z216" s="12">
        <v>4001830641.4099998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4001830641.4099998</v>
      </c>
      <c r="AH216" s="11">
        <v>0</v>
      </c>
      <c r="AI216" s="12">
        <v>4001830641.4099998</v>
      </c>
      <c r="AJ216" s="11">
        <v>4001830641.4099998</v>
      </c>
      <c r="AK216" s="11">
        <v>4001830641.4099998</v>
      </c>
      <c r="AL216" s="11">
        <v>4001830641.4099998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t="s">
        <v>48</v>
      </c>
      <c r="AT216"/>
    </row>
    <row r="217" spans="1:49" hidden="1" x14ac:dyDescent="0.3">
      <c r="A217">
        <v>2024</v>
      </c>
      <c r="B217">
        <v>314</v>
      </c>
      <c r="C217">
        <v>121002</v>
      </c>
      <c r="D217" s="5" t="s">
        <v>44</v>
      </c>
      <c r="E217" s="8" t="s">
        <v>621</v>
      </c>
      <c r="F217">
        <v>121002</v>
      </c>
      <c r="H217" s="8" t="s">
        <v>476</v>
      </c>
      <c r="I217" t="s">
        <v>558</v>
      </c>
      <c r="J217" s="17">
        <v>0</v>
      </c>
      <c r="K217" s="11">
        <v>0</v>
      </c>
      <c r="L217" s="11">
        <v>4573282670.5600004</v>
      </c>
      <c r="M217" s="11">
        <v>0</v>
      </c>
      <c r="N217" s="11">
        <v>4573282670.5600004</v>
      </c>
      <c r="O217" s="11">
        <v>4573282670.5600004</v>
      </c>
      <c r="P217" s="11">
        <v>0</v>
      </c>
      <c r="Q217" s="11">
        <v>4573282670.5600004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4001830641.4099998</v>
      </c>
      <c r="Y217" s="11">
        <v>0</v>
      </c>
      <c r="Z217" s="12">
        <v>4001830641.4099998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4001830641.4099998</v>
      </c>
      <c r="AH217" s="11">
        <v>0</v>
      </c>
      <c r="AI217" s="12">
        <v>4001830641.4099998</v>
      </c>
      <c r="AJ217" s="11">
        <v>4001830641.4099998</v>
      </c>
      <c r="AK217" s="11">
        <v>4001830641.4099998</v>
      </c>
      <c r="AL217" s="11">
        <v>4001830641.4099998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t="s">
        <v>48</v>
      </c>
      <c r="AT217"/>
    </row>
    <row r="218" spans="1:49" hidden="1" x14ac:dyDescent="0.3">
      <c r="A218">
        <v>2024</v>
      </c>
      <c r="B218">
        <v>314</v>
      </c>
      <c r="C218">
        <v>121002002</v>
      </c>
      <c r="D218" s="5" t="s">
        <v>44</v>
      </c>
      <c r="E218" s="8" t="s">
        <v>622</v>
      </c>
      <c r="F218">
        <v>121002002</v>
      </c>
      <c r="H218" s="8" t="s">
        <v>482</v>
      </c>
      <c r="I218" t="s">
        <v>558</v>
      </c>
      <c r="J218" s="17">
        <v>0</v>
      </c>
      <c r="K218" s="11">
        <v>0</v>
      </c>
      <c r="L218" s="11">
        <v>4573282670.5600004</v>
      </c>
      <c r="M218" s="11">
        <v>0</v>
      </c>
      <c r="N218" s="11">
        <v>4573282670.5600004</v>
      </c>
      <c r="O218" s="11">
        <v>4573282670.5600004</v>
      </c>
      <c r="P218" s="11">
        <v>0</v>
      </c>
      <c r="Q218" s="11">
        <v>4573282670.5600004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4001830641.4099998</v>
      </c>
      <c r="Y218" s="11">
        <v>0</v>
      </c>
      <c r="Z218" s="12">
        <v>4001830641.4099998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4001830641.4099998</v>
      </c>
      <c r="AH218" s="11">
        <v>0</v>
      </c>
      <c r="AI218" s="12">
        <v>4001830641.4099998</v>
      </c>
      <c r="AJ218" s="11">
        <v>4001830641.4099998</v>
      </c>
      <c r="AK218" s="11">
        <v>4001830641.4099998</v>
      </c>
      <c r="AL218" s="11">
        <v>4001830641.4099998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t="s">
        <v>48</v>
      </c>
      <c r="AT218"/>
    </row>
    <row r="219" spans="1:49" hidden="1" x14ac:dyDescent="0.3">
      <c r="A219">
        <v>2024</v>
      </c>
      <c r="B219">
        <v>314</v>
      </c>
      <c r="C219">
        <v>12100200205</v>
      </c>
      <c r="D219" s="5">
        <v>9</v>
      </c>
      <c r="E219" s="8" t="s">
        <v>623</v>
      </c>
      <c r="F219">
        <v>12100200205</v>
      </c>
      <c r="G219" t="s">
        <v>1910</v>
      </c>
      <c r="H219" s="8" t="s">
        <v>624</v>
      </c>
      <c r="I219" t="s">
        <v>558</v>
      </c>
      <c r="J219" s="17">
        <v>0</v>
      </c>
      <c r="K219" s="11">
        <v>0</v>
      </c>
      <c r="L219" s="11">
        <v>139116291.99000001</v>
      </c>
      <c r="M219" s="11">
        <v>0</v>
      </c>
      <c r="N219" s="11">
        <v>139116291.99000001</v>
      </c>
      <c r="O219" s="11">
        <v>139116291.99000001</v>
      </c>
      <c r="P219" s="11">
        <v>0</v>
      </c>
      <c r="Q219" s="11">
        <v>139116291.99000001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139116291.99000001</v>
      </c>
      <c r="Y219" s="11">
        <v>0</v>
      </c>
      <c r="Z219" s="12">
        <v>139116291.99000001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139116291.99000001</v>
      </c>
      <c r="AH219" s="11">
        <v>0</v>
      </c>
      <c r="AI219" s="12">
        <v>139116291.99000001</v>
      </c>
      <c r="AJ219" s="11">
        <v>139116291.99000001</v>
      </c>
      <c r="AK219" s="11">
        <v>139116291.99000001</v>
      </c>
      <c r="AL219" s="11">
        <v>139116291.99000001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t="s">
        <v>625</v>
      </c>
      <c r="AT219" s="4" t="str">
        <f t="shared" ref="AT219:AT222" si="42">+H219</f>
        <v>Superávit S.G.P. Educación</v>
      </c>
      <c r="AU219" t="str">
        <f t="shared" ref="AU219:AU222" si="43">+D219&amp;AT219&amp;J219</f>
        <v>9Superávit S.G.P. Educación0</v>
      </c>
      <c r="AV219" t="str">
        <f>+_xlfn.XLOOKUP(AU219,CRUCE!L:L,CRUCE!M:M)</f>
        <v>READY</v>
      </c>
      <c r="AW219" t="s">
        <v>1907</v>
      </c>
    </row>
    <row r="220" spans="1:49" hidden="1" x14ac:dyDescent="0.3">
      <c r="A220">
        <v>2024</v>
      </c>
      <c r="B220">
        <v>314</v>
      </c>
      <c r="C220">
        <v>12100200207</v>
      </c>
      <c r="D220" s="5">
        <v>91</v>
      </c>
      <c r="E220" s="8" t="s">
        <v>1729</v>
      </c>
      <c r="F220">
        <v>12100200207</v>
      </c>
      <c r="G220" t="s">
        <v>1910</v>
      </c>
      <c r="H220" s="8" t="s">
        <v>490</v>
      </c>
      <c r="I220" t="s">
        <v>558</v>
      </c>
      <c r="J220" s="17">
        <v>0</v>
      </c>
      <c r="K220" s="11">
        <v>0</v>
      </c>
      <c r="L220" s="11">
        <v>571452029.11000001</v>
      </c>
      <c r="M220" s="11">
        <v>0</v>
      </c>
      <c r="N220" s="11">
        <v>571452029.11000001</v>
      </c>
      <c r="O220" s="11">
        <v>571452029.11000001</v>
      </c>
      <c r="P220" s="11">
        <v>0</v>
      </c>
      <c r="Q220" s="11">
        <v>571452029.11000001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2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2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t="s">
        <v>491</v>
      </c>
      <c r="AT220" s="4" t="str">
        <f t="shared" si="42"/>
        <v xml:space="preserve">Superávit Recurso Destinado del Monopolio </v>
      </c>
      <c r="AU220" t="str">
        <f t="shared" si="43"/>
        <v>91Superávit Recurso Destinado del Monopolio 0</v>
      </c>
      <c r="AV220" t="str">
        <f>+_xlfn.XLOOKUP(AU220,CRUCE!L:L,CRUCE!M:M)</f>
        <v>READY</v>
      </c>
      <c r="AW220" t="s">
        <v>1907</v>
      </c>
    </row>
    <row r="221" spans="1:49" hidden="1" x14ac:dyDescent="0.3">
      <c r="A221">
        <v>2024</v>
      </c>
      <c r="B221">
        <v>314</v>
      </c>
      <c r="C221">
        <v>12100200210</v>
      </c>
      <c r="D221" s="5">
        <v>137</v>
      </c>
      <c r="E221" s="8" t="s">
        <v>626</v>
      </c>
      <c r="F221">
        <v>12100200210</v>
      </c>
      <c r="G221" t="s">
        <v>1910</v>
      </c>
      <c r="H221" s="8" t="s">
        <v>627</v>
      </c>
      <c r="I221" t="s">
        <v>558</v>
      </c>
      <c r="J221" s="17">
        <v>0</v>
      </c>
      <c r="K221" s="11">
        <v>0</v>
      </c>
      <c r="L221" s="11">
        <v>3373562039.04</v>
      </c>
      <c r="M221" s="11">
        <v>0</v>
      </c>
      <c r="N221" s="11">
        <v>3373562039.04</v>
      </c>
      <c r="O221" s="11">
        <v>3373562039.04</v>
      </c>
      <c r="P221" s="11">
        <v>0</v>
      </c>
      <c r="Q221" s="11">
        <v>3373562039.04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3373562039</v>
      </c>
      <c r="Y221" s="11">
        <v>0</v>
      </c>
      <c r="Z221" s="12">
        <v>3373562039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3373562039</v>
      </c>
      <c r="AH221" s="11">
        <v>0</v>
      </c>
      <c r="AI221" s="12">
        <v>3373562039</v>
      </c>
      <c r="AJ221" s="11">
        <v>3373562039</v>
      </c>
      <c r="AK221" s="11">
        <v>3373562039</v>
      </c>
      <c r="AL221" s="11">
        <v>3373562039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t="s">
        <v>628</v>
      </c>
      <c r="AT221" s="4" t="str">
        <f t="shared" si="42"/>
        <v>Superávit PAE Educación</v>
      </c>
      <c r="AU221" t="str">
        <f t="shared" si="43"/>
        <v>137Superávit PAE Educación0</v>
      </c>
      <c r="AV221" t="str">
        <f>+_xlfn.XLOOKUP(AU221,CRUCE!L:L,CRUCE!M:M)</f>
        <v>READY</v>
      </c>
      <c r="AW221" t="s">
        <v>1907</v>
      </c>
    </row>
    <row r="222" spans="1:49" hidden="1" x14ac:dyDescent="0.3">
      <c r="A222">
        <v>2024</v>
      </c>
      <c r="B222">
        <v>314</v>
      </c>
      <c r="C222">
        <v>12100200216</v>
      </c>
      <c r="D222" s="5">
        <v>189</v>
      </c>
      <c r="E222" s="8" t="s">
        <v>635</v>
      </c>
      <c r="F222">
        <v>12100200216</v>
      </c>
      <c r="G222" t="s">
        <v>1910</v>
      </c>
      <c r="H222" s="8" t="s">
        <v>636</v>
      </c>
      <c r="I222" t="s">
        <v>558</v>
      </c>
      <c r="J222" s="17">
        <v>0</v>
      </c>
      <c r="K222" s="11">
        <v>0</v>
      </c>
      <c r="L222" s="11">
        <v>489152310.42000002</v>
      </c>
      <c r="M222" s="11">
        <v>0</v>
      </c>
      <c r="N222" s="11">
        <v>489152310.42000002</v>
      </c>
      <c r="O222" s="11">
        <v>489152310.42000002</v>
      </c>
      <c r="P222" s="11">
        <v>0</v>
      </c>
      <c r="Q222" s="11">
        <v>489152310.42000002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489152310.42000002</v>
      </c>
      <c r="Y222" s="11">
        <v>0</v>
      </c>
      <c r="Z222" s="12">
        <v>489152310.42000002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489152310.42000002</v>
      </c>
      <c r="AH222" s="11">
        <v>0</v>
      </c>
      <c r="AI222" s="12">
        <v>489152310.42000002</v>
      </c>
      <c r="AJ222" s="11">
        <v>489152310.42000002</v>
      </c>
      <c r="AK222" s="11">
        <v>489152310.42000002</v>
      </c>
      <c r="AL222" s="11">
        <v>489152310.42000002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t="s">
        <v>637</v>
      </c>
      <c r="AT222" s="4" t="str">
        <f t="shared" si="42"/>
        <v>Superávit Rendimientos Financieros S.G.P. Educación</v>
      </c>
      <c r="AU222" t="str">
        <f t="shared" si="43"/>
        <v>189Superávit Rendimientos Financieros S.G.P. Educación0</v>
      </c>
      <c r="AV222" t="str">
        <f>+_xlfn.XLOOKUP(AU222,CRUCE!L:L,CRUCE!M:M)</f>
        <v>READY</v>
      </c>
      <c r="AW222" t="s">
        <v>1907</v>
      </c>
    </row>
    <row r="223" spans="1:49" hidden="1" x14ac:dyDescent="0.3">
      <c r="A223">
        <v>2024</v>
      </c>
      <c r="B223">
        <v>314</v>
      </c>
      <c r="C223">
        <v>1213</v>
      </c>
      <c r="D223" s="5" t="s">
        <v>44</v>
      </c>
      <c r="E223" s="8" t="s">
        <v>1730</v>
      </c>
      <c r="F223">
        <v>1213</v>
      </c>
      <c r="H223" s="8" t="s">
        <v>546</v>
      </c>
      <c r="I223" t="s">
        <v>558</v>
      </c>
      <c r="J223" s="17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23023558</v>
      </c>
      <c r="Y223" s="11">
        <v>0</v>
      </c>
      <c r="Z223" s="12">
        <v>23023558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23023558</v>
      </c>
      <c r="AH223" s="11">
        <v>0</v>
      </c>
      <c r="AI223" s="12">
        <v>23023558</v>
      </c>
      <c r="AJ223" s="11">
        <v>23023558</v>
      </c>
      <c r="AK223" s="11">
        <v>0</v>
      </c>
      <c r="AL223" s="11">
        <v>0</v>
      </c>
      <c r="AM223" s="11">
        <v>23023558</v>
      </c>
      <c r="AN223" s="11">
        <v>23023558</v>
      </c>
      <c r="AO223" s="11">
        <v>0</v>
      </c>
      <c r="AP223" s="11">
        <v>23023558</v>
      </c>
      <c r="AQ223" s="11">
        <v>0</v>
      </c>
      <c r="AR223" s="11">
        <v>0</v>
      </c>
      <c r="AS223" t="s">
        <v>48</v>
      </c>
      <c r="AT223"/>
    </row>
    <row r="224" spans="1:49" hidden="1" x14ac:dyDescent="0.3">
      <c r="A224">
        <v>2024</v>
      </c>
      <c r="B224">
        <v>314</v>
      </c>
      <c r="C224">
        <v>121301</v>
      </c>
      <c r="D224" s="5">
        <v>204</v>
      </c>
      <c r="E224" s="8" t="s">
        <v>1731</v>
      </c>
      <c r="F224">
        <v>121301</v>
      </c>
      <c r="G224" t="s">
        <v>1908</v>
      </c>
      <c r="H224" s="8" t="s">
        <v>459</v>
      </c>
      <c r="I224" t="s">
        <v>558</v>
      </c>
      <c r="J224" s="17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23023558</v>
      </c>
      <c r="Y224" s="11">
        <v>0</v>
      </c>
      <c r="Z224" s="12">
        <v>23023558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23023558</v>
      </c>
      <c r="AH224" s="11">
        <v>0</v>
      </c>
      <c r="AI224" s="12">
        <v>23023558</v>
      </c>
      <c r="AJ224" s="11">
        <v>23023558</v>
      </c>
      <c r="AK224" s="11">
        <v>0</v>
      </c>
      <c r="AL224" s="11">
        <v>0</v>
      </c>
      <c r="AM224" s="11">
        <v>23023558</v>
      </c>
      <c r="AN224" s="11">
        <v>23023558</v>
      </c>
      <c r="AO224" s="11">
        <v>0</v>
      </c>
      <c r="AP224" s="11">
        <v>23023558</v>
      </c>
      <c r="AQ224" s="11">
        <v>0</v>
      </c>
      <c r="AR224" s="11">
        <v>0</v>
      </c>
      <c r="AS224" t="s">
        <v>641</v>
      </c>
      <c r="AT224" s="4" t="str">
        <f>+H224</f>
        <v>Reintegros</v>
      </c>
      <c r="AU224" t="str">
        <f>+D224&amp;AT224&amp;J224</f>
        <v>204Reintegros0</v>
      </c>
      <c r="AV224" t="str">
        <f>+_xlfn.XLOOKUP(AU224,CRUCE!L:L,CRUCE!M:M)</f>
        <v>READY</v>
      </c>
      <c r="AW224" t="s">
        <v>1907</v>
      </c>
    </row>
    <row r="225" spans="1:49" hidden="1" x14ac:dyDescent="0.3">
      <c r="A225">
        <v>2024</v>
      </c>
      <c r="B225">
        <v>318</v>
      </c>
      <c r="C225">
        <v>1</v>
      </c>
      <c r="D225" s="5" t="s">
        <v>44</v>
      </c>
      <c r="E225" s="8" t="s">
        <v>642</v>
      </c>
      <c r="F225">
        <v>1</v>
      </c>
      <c r="H225" s="8" t="s">
        <v>46</v>
      </c>
      <c r="I225" t="s">
        <v>643</v>
      </c>
      <c r="J225" s="17">
        <v>71043833000</v>
      </c>
      <c r="K225" s="11">
        <v>71043833000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71043833000</v>
      </c>
      <c r="R225" s="11">
        <v>10428183.6</v>
      </c>
      <c r="S225" s="11">
        <v>0</v>
      </c>
      <c r="T225" s="11">
        <v>10428183.6</v>
      </c>
      <c r="U225" s="11">
        <v>0</v>
      </c>
      <c r="V225" s="11">
        <v>0</v>
      </c>
      <c r="W225" s="11">
        <v>0</v>
      </c>
      <c r="X225" s="11">
        <v>7612652255.1800003</v>
      </c>
      <c r="Y225" s="11">
        <v>40447498</v>
      </c>
      <c r="Z225" s="12">
        <v>7572204757.1800003</v>
      </c>
      <c r="AA225" s="11">
        <v>10428183.6</v>
      </c>
      <c r="AB225" s="11">
        <v>0</v>
      </c>
      <c r="AC225" s="11">
        <v>10428183.6</v>
      </c>
      <c r="AD225" s="11">
        <v>0</v>
      </c>
      <c r="AE225" s="11">
        <v>0</v>
      </c>
      <c r="AF225" s="11">
        <v>0</v>
      </c>
      <c r="AG225" s="11">
        <v>7612652255.1800003</v>
      </c>
      <c r="AH225" s="11">
        <v>40447498</v>
      </c>
      <c r="AI225" s="12">
        <v>7572204757.1800003</v>
      </c>
      <c r="AJ225" s="11">
        <v>7572204757.1800003</v>
      </c>
      <c r="AK225" s="11">
        <v>2213869898.5</v>
      </c>
      <c r="AL225" s="11">
        <v>2213869898.5</v>
      </c>
      <c r="AM225" s="11">
        <v>5358334858.6800003</v>
      </c>
      <c r="AN225" s="11">
        <v>5360872617.6800003</v>
      </c>
      <c r="AO225" s="11">
        <v>2537759</v>
      </c>
      <c r="AP225" s="11">
        <v>5360872617.6800003</v>
      </c>
      <c r="AQ225" s="11">
        <v>0</v>
      </c>
      <c r="AR225" s="11">
        <v>2537759</v>
      </c>
      <c r="AS225" t="s">
        <v>48</v>
      </c>
      <c r="AT225"/>
    </row>
    <row r="226" spans="1:49" hidden="1" x14ac:dyDescent="0.3">
      <c r="A226">
        <v>2024</v>
      </c>
      <c r="B226">
        <v>318</v>
      </c>
      <c r="C226">
        <v>11</v>
      </c>
      <c r="D226" s="5" t="s">
        <v>44</v>
      </c>
      <c r="E226" s="8" t="s">
        <v>1732</v>
      </c>
      <c r="F226">
        <v>11</v>
      </c>
      <c r="H226" s="8" t="s">
        <v>50</v>
      </c>
      <c r="I226" t="s">
        <v>643</v>
      </c>
      <c r="J226" s="17">
        <v>68870650000</v>
      </c>
      <c r="K226" s="11">
        <v>68870650000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68870650000</v>
      </c>
      <c r="R226" s="11">
        <v>10428183.6</v>
      </c>
      <c r="S226" s="11">
        <v>0</v>
      </c>
      <c r="T226" s="11">
        <v>10428183.6</v>
      </c>
      <c r="U226" s="11">
        <v>0</v>
      </c>
      <c r="V226" s="11">
        <v>0</v>
      </c>
      <c r="W226" s="11">
        <v>0</v>
      </c>
      <c r="X226" s="11">
        <v>7070656168.2299995</v>
      </c>
      <c r="Y226" s="11">
        <v>40447498</v>
      </c>
      <c r="Z226" s="12">
        <v>7030208670.2299995</v>
      </c>
      <c r="AA226" s="11">
        <v>10428183.6</v>
      </c>
      <c r="AB226" s="11">
        <v>0</v>
      </c>
      <c r="AC226" s="11">
        <v>10428183.6</v>
      </c>
      <c r="AD226" s="11">
        <v>0</v>
      </c>
      <c r="AE226" s="11">
        <v>0</v>
      </c>
      <c r="AF226" s="11">
        <v>0</v>
      </c>
      <c r="AG226" s="11">
        <v>7070656168.2299995</v>
      </c>
      <c r="AH226" s="11">
        <v>40447498</v>
      </c>
      <c r="AI226" s="12">
        <v>7030208670.2299995</v>
      </c>
      <c r="AJ226" s="11">
        <v>7030208670.2299995</v>
      </c>
      <c r="AK226" s="11">
        <v>1672051253.5</v>
      </c>
      <c r="AL226" s="11">
        <v>1672051253.5</v>
      </c>
      <c r="AM226" s="11">
        <v>5358157416.7299995</v>
      </c>
      <c r="AN226" s="11">
        <v>5360695175.7299995</v>
      </c>
      <c r="AO226" s="11">
        <v>2537759</v>
      </c>
      <c r="AP226" s="11">
        <v>5360695175.7299995</v>
      </c>
      <c r="AQ226" s="11">
        <v>0</v>
      </c>
      <c r="AR226" s="11">
        <v>2537759</v>
      </c>
      <c r="AS226" t="s">
        <v>48</v>
      </c>
      <c r="AT226"/>
    </row>
    <row r="227" spans="1:49" hidden="1" x14ac:dyDescent="0.3">
      <c r="A227">
        <v>2024</v>
      </c>
      <c r="B227">
        <v>318</v>
      </c>
      <c r="C227">
        <v>1101</v>
      </c>
      <c r="D227" s="5" t="s">
        <v>44</v>
      </c>
      <c r="E227" s="8" t="s">
        <v>1733</v>
      </c>
      <c r="F227">
        <v>1101</v>
      </c>
      <c r="H227" s="8" t="s">
        <v>52</v>
      </c>
      <c r="I227" t="s">
        <v>643</v>
      </c>
      <c r="J227" s="17">
        <v>33037466000</v>
      </c>
      <c r="K227" s="11">
        <v>33037466000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33037466000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2805231957.6300001</v>
      </c>
      <c r="Y227" s="11">
        <v>38383739</v>
      </c>
      <c r="Z227" s="12">
        <v>2766848218.6300001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2805231957.6300001</v>
      </c>
      <c r="AH227" s="11">
        <v>38383739</v>
      </c>
      <c r="AI227" s="12">
        <v>2766848218.6300001</v>
      </c>
      <c r="AJ227" s="11">
        <v>2766848218.6300001</v>
      </c>
      <c r="AK227" s="11">
        <v>756758264.5</v>
      </c>
      <c r="AL227" s="11">
        <v>756758264.5</v>
      </c>
      <c r="AM227" s="11">
        <v>2010089954.1300001</v>
      </c>
      <c r="AN227" s="11">
        <v>2010563954.1300001</v>
      </c>
      <c r="AO227" s="11">
        <v>474000</v>
      </c>
      <c r="AP227" s="11">
        <v>2010563954.1300001</v>
      </c>
      <c r="AQ227" s="11">
        <v>0</v>
      </c>
      <c r="AR227" s="11">
        <v>474000</v>
      </c>
      <c r="AS227" t="s">
        <v>48</v>
      </c>
      <c r="AT227"/>
    </row>
    <row r="228" spans="1:49" hidden="1" x14ac:dyDescent="0.3">
      <c r="A228">
        <v>2024</v>
      </c>
      <c r="B228">
        <v>318</v>
      </c>
      <c r="C228">
        <v>110101</v>
      </c>
      <c r="D228" s="5" t="s">
        <v>44</v>
      </c>
      <c r="E228" s="8" t="s">
        <v>1734</v>
      </c>
      <c r="F228">
        <v>110101</v>
      </c>
      <c r="H228" s="8" t="s">
        <v>54</v>
      </c>
      <c r="I228" t="s">
        <v>643</v>
      </c>
      <c r="J228" s="17">
        <v>1496247000</v>
      </c>
      <c r="K228" s="11">
        <v>1496247000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1496247000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176785811</v>
      </c>
      <c r="Y228" s="11">
        <v>0</v>
      </c>
      <c r="Z228" s="12">
        <v>176785811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176785811</v>
      </c>
      <c r="AH228" s="11">
        <v>0</v>
      </c>
      <c r="AI228" s="12">
        <v>176785811</v>
      </c>
      <c r="AJ228" s="11">
        <v>176785811</v>
      </c>
      <c r="AK228" s="11">
        <v>132589358</v>
      </c>
      <c r="AL228" s="11">
        <v>132589358</v>
      </c>
      <c r="AM228" s="11">
        <v>44196453</v>
      </c>
      <c r="AN228" s="11">
        <v>44196453</v>
      </c>
      <c r="AO228" s="11">
        <v>0</v>
      </c>
      <c r="AP228" s="11">
        <v>44196453</v>
      </c>
      <c r="AQ228" s="11">
        <v>0</v>
      </c>
      <c r="AR228" s="11">
        <v>0</v>
      </c>
      <c r="AS228" t="s">
        <v>48</v>
      </c>
      <c r="AT228"/>
    </row>
    <row r="229" spans="1:49" hidden="1" x14ac:dyDescent="0.3">
      <c r="A229">
        <v>2024</v>
      </c>
      <c r="B229">
        <v>318</v>
      </c>
      <c r="C229">
        <v>110101101</v>
      </c>
      <c r="D229" s="5" t="s">
        <v>44</v>
      </c>
      <c r="E229" s="8" t="s">
        <v>1735</v>
      </c>
      <c r="F229">
        <v>110101101</v>
      </c>
      <c r="H229" s="8" t="s">
        <v>648</v>
      </c>
      <c r="I229" t="s">
        <v>643</v>
      </c>
      <c r="J229" s="17">
        <v>1496247000</v>
      </c>
      <c r="K229" s="11">
        <v>1496247000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1496247000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176785811</v>
      </c>
      <c r="Y229" s="11">
        <v>0</v>
      </c>
      <c r="Z229" s="12">
        <v>176785811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176785811</v>
      </c>
      <c r="AH229" s="11">
        <v>0</v>
      </c>
      <c r="AI229" s="12">
        <v>176785811</v>
      </c>
      <c r="AJ229" s="11">
        <v>176785811</v>
      </c>
      <c r="AK229" s="11">
        <v>132589358</v>
      </c>
      <c r="AL229" s="11">
        <v>132589358</v>
      </c>
      <c r="AM229" s="11">
        <v>44196453</v>
      </c>
      <c r="AN229" s="11">
        <v>44196453</v>
      </c>
      <c r="AO229" s="11">
        <v>0</v>
      </c>
      <c r="AP229" s="11">
        <v>44196453</v>
      </c>
      <c r="AQ229" s="11">
        <v>0</v>
      </c>
      <c r="AR229" s="11">
        <v>0</v>
      </c>
      <c r="AS229" t="s">
        <v>48</v>
      </c>
      <c r="AT229"/>
    </row>
    <row r="230" spans="1:49" hidden="1" x14ac:dyDescent="0.3">
      <c r="A230">
        <v>2024</v>
      </c>
      <c r="B230">
        <v>318</v>
      </c>
      <c r="C230">
        <v>11010110101</v>
      </c>
      <c r="D230" s="5">
        <v>246</v>
      </c>
      <c r="E230" s="8" t="s">
        <v>1736</v>
      </c>
      <c r="F230">
        <v>11010110101</v>
      </c>
      <c r="G230" t="s">
        <v>1908</v>
      </c>
      <c r="H230" s="8" t="s">
        <v>650</v>
      </c>
      <c r="I230" t="s">
        <v>643</v>
      </c>
      <c r="J230" s="17">
        <v>142442714.27000001</v>
      </c>
      <c r="K230" s="11">
        <v>142442714.27000001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142442714.27000001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5613424</v>
      </c>
      <c r="Y230" s="11">
        <v>0</v>
      </c>
      <c r="Z230" s="12">
        <v>5613424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5613424</v>
      </c>
      <c r="AH230" s="11">
        <v>0</v>
      </c>
      <c r="AI230" s="12">
        <v>5613424</v>
      </c>
      <c r="AJ230" s="11">
        <v>5613424</v>
      </c>
      <c r="AK230" s="11">
        <v>5613424</v>
      </c>
      <c r="AL230" s="11">
        <v>5613424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t="s">
        <v>1737</v>
      </c>
      <c r="AT230" s="4" t="str">
        <f>+H230</f>
        <v>Impuesto a Ganadores Sorteo Extraordinario  68%</v>
      </c>
      <c r="AU230" t="str">
        <f t="shared" ref="AU230:AU237" si="44">+D230&amp;AT230&amp;J230</f>
        <v>246Impuesto a Ganadores Sorteo Extraordinario  68%142442714,27</v>
      </c>
      <c r="AV230" t="str">
        <f>+_xlfn.XLOOKUP(AU230,CRUCE!L:L,CRUCE!M:M)</f>
        <v>READY</v>
      </c>
      <c r="AW230" t="s">
        <v>1907</v>
      </c>
    </row>
    <row r="231" spans="1:49" hidden="1" x14ac:dyDescent="0.3">
      <c r="A231">
        <v>2024</v>
      </c>
      <c r="B231">
        <v>318</v>
      </c>
      <c r="C231">
        <v>11010110102</v>
      </c>
      <c r="D231" s="5">
        <v>246</v>
      </c>
      <c r="E231" s="8" t="s">
        <v>1738</v>
      </c>
      <c r="F231">
        <v>11010110102</v>
      </c>
      <c r="G231" t="s">
        <v>1908</v>
      </c>
      <c r="H231" s="8" t="s">
        <v>653</v>
      </c>
      <c r="I231" t="s">
        <v>643</v>
      </c>
      <c r="J231" s="17">
        <v>875005245.73000002</v>
      </c>
      <c r="K231" s="11">
        <v>875005245.73000002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875005245.73000002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114600927</v>
      </c>
      <c r="Y231" s="11">
        <v>0</v>
      </c>
      <c r="Z231" s="12">
        <v>114600927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114600927</v>
      </c>
      <c r="AH231" s="11">
        <v>0</v>
      </c>
      <c r="AI231" s="12">
        <v>114600927</v>
      </c>
      <c r="AJ231" s="11">
        <v>114600927</v>
      </c>
      <c r="AK231" s="11">
        <v>114600927</v>
      </c>
      <c r="AL231" s="11">
        <v>114600927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t="s">
        <v>1737</v>
      </c>
      <c r="AT231" s="4" t="str">
        <f t="shared" ref="AT231:AT233" si="45">+H231</f>
        <v>Impuestos a Ganadores Sorteo Ordinario 68%</v>
      </c>
      <c r="AU231" t="str">
        <f t="shared" si="44"/>
        <v>246Impuestos a Ganadores Sorteo Ordinario 68%875005245,73</v>
      </c>
      <c r="AV231" t="str">
        <f>+_xlfn.XLOOKUP(AU231,CRUCE!L:L,CRUCE!M:M)</f>
        <v>READY</v>
      </c>
      <c r="AW231" t="s">
        <v>1907</v>
      </c>
    </row>
    <row r="232" spans="1:49" hidden="1" x14ac:dyDescent="0.3">
      <c r="A232">
        <v>2024</v>
      </c>
      <c r="B232">
        <v>318</v>
      </c>
      <c r="C232">
        <v>11010110103</v>
      </c>
      <c r="D232" s="5">
        <v>247</v>
      </c>
      <c r="E232" s="8" t="s">
        <v>1739</v>
      </c>
      <c r="F232">
        <v>11010110103</v>
      </c>
      <c r="G232" t="s">
        <v>1908</v>
      </c>
      <c r="H232" s="8" t="s">
        <v>655</v>
      </c>
      <c r="I232" t="s">
        <v>643</v>
      </c>
      <c r="J232" s="17">
        <v>52368644.969999999</v>
      </c>
      <c r="K232" s="11">
        <v>52368644.969999999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52368644.969999999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2063759</v>
      </c>
      <c r="Y232" s="11">
        <v>0</v>
      </c>
      <c r="Z232" s="12">
        <v>2063759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2063759</v>
      </c>
      <c r="AH232" s="11">
        <v>0</v>
      </c>
      <c r="AI232" s="12">
        <v>2063759</v>
      </c>
      <c r="AJ232" s="11">
        <v>2063759</v>
      </c>
      <c r="AK232" s="11">
        <v>0</v>
      </c>
      <c r="AL232" s="11">
        <v>0</v>
      </c>
      <c r="AM232" s="11">
        <v>2063759</v>
      </c>
      <c r="AN232" s="11">
        <v>2063759</v>
      </c>
      <c r="AO232" s="11">
        <v>0</v>
      </c>
      <c r="AP232" s="11">
        <v>2063759</v>
      </c>
      <c r="AQ232" s="11">
        <v>0</v>
      </c>
      <c r="AR232" s="11">
        <v>0</v>
      </c>
      <c r="AS232" t="s">
        <v>1740</v>
      </c>
      <c r="AT232" s="4" t="str">
        <f t="shared" si="45"/>
        <v>Impuesto a Ganadores Sorteo Extraordinario 25%</v>
      </c>
      <c r="AU232" t="str">
        <f t="shared" si="44"/>
        <v>247Impuesto a Ganadores Sorteo Extraordinario 25%52368644,97</v>
      </c>
      <c r="AV232" t="str">
        <f>+_xlfn.XLOOKUP(AU232,CRUCE!L:L,CRUCE!M:M)</f>
        <v>READY</v>
      </c>
      <c r="AW232" t="s">
        <v>1907</v>
      </c>
    </row>
    <row r="233" spans="1:49" hidden="1" x14ac:dyDescent="0.3">
      <c r="A233">
        <v>2024</v>
      </c>
      <c r="B233">
        <v>318</v>
      </c>
      <c r="C233">
        <v>11010110104</v>
      </c>
      <c r="D233" s="5">
        <v>247</v>
      </c>
      <c r="E233" s="8" t="s">
        <v>1741</v>
      </c>
      <c r="F233">
        <v>11010110104</v>
      </c>
      <c r="G233" t="s">
        <v>1908</v>
      </c>
      <c r="H233" s="8" t="s">
        <v>658</v>
      </c>
      <c r="I233" t="s">
        <v>643</v>
      </c>
      <c r="J233" s="17">
        <v>321693105.02999997</v>
      </c>
      <c r="K233" s="11">
        <v>321693105.02999997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321693105.02999997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42132694</v>
      </c>
      <c r="Y233" s="11">
        <v>0</v>
      </c>
      <c r="Z233" s="12">
        <v>42132694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42132694</v>
      </c>
      <c r="AH233" s="11">
        <v>0</v>
      </c>
      <c r="AI233" s="12">
        <v>42132694</v>
      </c>
      <c r="AJ233" s="11">
        <v>42132694</v>
      </c>
      <c r="AK233" s="11">
        <v>0</v>
      </c>
      <c r="AL233" s="11">
        <v>0</v>
      </c>
      <c r="AM233" s="11">
        <v>42132694</v>
      </c>
      <c r="AN233" s="11">
        <v>42132694</v>
      </c>
      <c r="AO233" s="11">
        <v>0</v>
      </c>
      <c r="AP233" s="11">
        <v>42132694</v>
      </c>
      <c r="AQ233" s="11">
        <v>0</v>
      </c>
      <c r="AR233" s="11">
        <v>0</v>
      </c>
      <c r="AS233" t="s">
        <v>1740</v>
      </c>
      <c r="AT233" s="4" t="str">
        <f t="shared" si="45"/>
        <v>Impuesto a Ganadores Sorteo Ordinario 25%</v>
      </c>
      <c r="AU233" t="str">
        <f t="shared" si="44"/>
        <v>247Impuesto a Ganadores Sorteo Ordinario 25%321693105,03</v>
      </c>
      <c r="AV233" t="str">
        <f>+_xlfn.XLOOKUP(AU233,CRUCE!L:L,CRUCE!M:M)</f>
        <v>READY</v>
      </c>
      <c r="AW233" t="s">
        <v>1907</v>
      </c>
    </row>
    <row r="234" spans="1:49" hidden="1" x14ac:dyDescent="0.3">
      <c r="A234">
        <v>2024</v>
      </c>
      <c r="B234">
        <v>318</v>
      </c>
      <c r="C234">
        <v>11010110105</v>
      </c>
      <c r="D234" s="5">
        <v>182</v>
      </c>
      <c r="E234" s="8" t="s">
        <v>1742</v>
      </c>
      <c r="F234">
        <v>11010110105</v>
      </c>
      <c r="G234" t="s">
        <v>1908</v>
      </c>
      <c r="H234" s="8" t="s">
        <v>660</v>
      </c>
      <c r="I234" t="s">
        <v>643</v>
      </c>
      <c r="J234" s="17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2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2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t="s">
        <v>674</v>
      </c>
      <c r="AT234" s="4" t="str">
        <f>+H234</f>
        <v>Colciencias 7% Impuesto a Ganadores Sorteo Extraordinario</v>
      </c>
      <c r="AU234" t="str">
        <f t="shared" si="44"/>
        <v>182Colciencias 7% Impuesto a Ganadores Sorteo Extraordinario0</v>
      </c>
      <c r="AV234" t="str">
        <f>+_xlfn.XLOOKUP(AU234,CRUCE!L:L,CRUCE!M:M)</f>
        <v>READY</v>
      </c>
      <c r="AW234" t="s">
        <v>1907</v>
      </c>
    </row>
    <row r="235" spans="1:49" hidden="1" x14ac:dyDescent="0.3">
      <c r="A235">
        <v>2024</v>
      </c>
      <c r="B235">
        <v>318</v>
      </c>
      <c r="C235">
        <v>11010110105</v>
      </c>
      <c r="D235" s="5">
        <v>248</v>
      </c>
      <c r="E235" s="8" t="s">
        <v>1743</v>
      </c>
      <c r="F235">
        <v>11010110105</v>
      </c>
      <c r="G235" t="s">
        <v>1908</v>
      </c>
      <c r="H235" s="8" t="s">
        <v>660</v>
      </c>
      <c r="I235" t="s">
        <v>643</v>
      </c>
      <c r="J235" s="17">
        <v>14663221.18</v>
      </c>
      <c r="K235" s="11">
        <v>14663221.18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14663221.18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577853</v>
      </c>
      <c r="Y235" s="11">
        <v>0</v>
      </c>
      <c r="Z235" s="12">
        <v>577853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577853</v>
      </c>
      <c r="AH235" s="11">
        <v>0</v>
      </c>
      <c r="AI235" s="12">
        <v>577853</v>
      </c>
      <c r="AJ235" s="11">
        <v>577853</v>
      </c>
      <c r="AK235" s="11">
        <v>577853</v>
      </c>
      <c r="AL235" s="11">
        <v>577853</v>
      </c>
      <c r="AM235" s="11">
        <v>0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t="s">
        <v>1744</v>
      </c>
      <c r="AT235" s="4" t="str">
        <f>+H235</f>
        <v>Colciencias 7% Impuesto a Ganadores Sorteo Extraordinario</v>
      </c>
      <c r="AU235" t="str">
        <f t="shared" si="44"/>
        <v>248Colciencias 7% Impuesto a Ganadores Sorteo Extraordinario14663221,18</v>
      </c>
      <c r="AV235" t="str">
        <f>+_xlfn.XLOOKUP(AU235,CRUCE!L:L,CRUCE!M:M)</f>
        <v>READY</v>
      </c>
      <c r="AW235" t="s">
        <v>1907</v>
      </c>
    </row>
    <row r="236" spans="1:49" hidden="1" x14ac:dyDescent="0.3">
      <c r="A236">
        <v>2024</v>
      </c>
      <c r="B236">
        <v>318</v>
      </c>
      <c r="C236">
        <v>11010110106</v>
      </c>
      <c r="D236" s="5">
        <v>182</v>
      </c>
      <c r="E236" s="8" t="s">
        <v>1745</v>
      </c>
      <c r="F236">
        <v>11010110106</v>
      </c>
      <c r="G236" t="s">
        <v>1908</v>
      </c>
      <c r="H236" s="8" t="s">
        <v>663</v>
      </c>
      <c r="I236" t="s">
        <v>643</v>
      </c>
      <c r="J236" s="17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2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2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t="s">
        <v>674</v>
      </c>
      <c r="AT236" s="4" t="str">
        <f>+H236</f>
        <v>Colciencias 7% Impuesto a Ganadores Sorteo ordinario</v>
      </c>
      <c r="AU236" t="str">
        <f t="shared" si="44"/>
        <v>182Colciencias 7% Impuesto a Ganadores Sorteo ordinario0</v>
      </c>
      <c r="AV236" t="str">
        <f>+_xlfn.XLOOKUP(AU236,CRUCE!L:L,CRUCE!M:M)</f>
        <v>READY</v>
      </c>
      <c r="AW236" t="s">
        <v>1907</v>
      </c>
    </row>
    <row r="237" spans="1:49" hidden="1" x14ac:dyDescent="0.3">
      <c r="A237">
        <v>2024</v>
      </c>
      <c r="B237">
        <v>318</v>
      </c>
      <c r="C237">
        <v>11010110106</v>
      </c>
      <c r="D237" s="5">
        <v>248</v>
      </c>
      <c r="E237" s="8" t="s">
        <v>1746</v>
      </c>
      <c r="F237">
        <v>11010110106</v>
      </c>
      <c r="G237" t="s">
        <v>1908</v>
      </c>
      <c r="H237" s="8" t="s">
        <v>663</v>
      </c>
      <c r="I237" t="s">
        <v>643</v>
      </c>
      <c r="J237" s="17">
        <v>90074068.819999993</v>
      </c>
      <c r="K237" s="11">
        <v>90074068.819999993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90074068.819999993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11797154</v>
      </c>
      <c r="Y237" s="11">
        <v>0</v>
      </c>
      <c r="Z237" s="12">
        <v>11797154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11797154</v>
      </c>
      <c r="AH237" s="11">
        <v>0</v>
      </c>
      <c r="AI237" s="12">
        <v>11797154</v>
      </c>
      <c r="AJ237" s="11">
        <v>11797154</v>
      </c>
      <c r="AK237" s="11">
        <v>11797154</v>
      </c>
      <c r="AL237" s="11">
        <v>11797154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t="s">
        <v>1744</v>
      </c>
      <c r="AT237" s="4" t="str">
        <f>+H237</f>
        <v>Colciencias 7% Impuesto a Ganadores Sorteo ordinario</v>
      </c>
      <c r="AU237" t="str">
        <f t="shared" si="44"/>
        <v>248Colciencias 7% Impuesto a Ganadores Sorteo ordinario90074068,82</v>
      </c>
      <c r="AV237" t="str">
        <f>+_xlfn.XLOOKUP(AU237,CRUCE!L:L,CRUCE!M:M)</f>
        <v>READY</v>
      </c>
      <c r="AW237" t="s">
        <v>1907</v>
      </c>
    </row>
    <row r="238" spans="1:49" hidden="1" x14ac:dyDescent="0.3">
      <c r="A238">
        <v>2024</v>
      </c>
      <c r="B238">
        <v>318</v>
      </c>
      <c r="C238">
        <v>110102</v>
      </c>
      <c r="D238" s="5" t="s">
        <v>44</v>
      </c>
      <c r="E238" s="8" t="s">
        <v>1747</v>
      </c>
      <c r="F238">
        <v>110102</v>
      </c>
      <c r="H238" s="8" t="s">
        <v>59</v>
      </c>
      <c r="I238" t="s">
        <v>643</v>
      </c>
      <c r="J238" s="17">
        <v>31541219000</v>
      </c>
      <c r="K238" s="11">
        <v>31541219000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31541219000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2628446146.6300001</v>
      </c>
      <c r="Y238" s="11">
        <v>38383739</v>
      </c>
      <c r="Z238" s="12">
        <v>2590062407.6300001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2628446146.6300001</v>
      </c>
      <c r="AH238" s="11">
        <v>38383739</v>
      </c>
      <c r="AI238" s="12">
        <v>2590062407.6300001</v>
      </c>
      <c r="AJ238" s="11">
        <v>2590062407.6300001</v>
      </c>
      <c r="AK238" s="11">
        <v>624168906.5</v>
      </c>
      <c r="AL238" s="11">
        <v>624168906.5</v>
      </c>
      <c r="AM238" s="11">
        <v>1965893501.1300001</v>
      </c>
      <c r="AN238" s="11">
        <v>1966367501.1300001</v>
      </c>
      <c r="AO238" s="11">
        <v>474000</v>
      </c>
      <c r="AP238" s="11">
        <v>1966367501.1300001</v>
      </c>
      <c r="AQ238" s="11">
        <v>0</v>
      </c>
      <c r="AR238" s="11">
        <v>474000</v>
      </c>
      <c r="AS238" t="s">
        <v>48</v>
      </c>
      <c r="AT238"/>
    </row>
    <row r="239" spans="1:49" hidden="1" x14ac:dyDescent="0.3">
      <c r="A239">
        <v>2024</v>
      </c>
      <c r="B239">
        <v>318</v>
      </c>
      <c r="C239">
        <v>110102101</v>
      </c>
      <c r="D239" s="5" t="s">
        <v>44</v>
      </c>
      <c r="E239" s="8" t="s">
        <v>1748</v>
      </c>
      <c r="F239">
        <v>110102101</v>
      </c>
      <c r="H239" s="8" t="s">
        <v>666</v>
      </c>
      <c r="I239" t="s">
        <v>643</v>
      </c>
      <c r="J239" s="17">
        <v>935708000</v>
      </c>
      <c r="K239" s="11">
        <v>935708000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935708000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147075459.63</v>
      </c>
      <c r="Y239" s="11">
        <v>0</v>
      </c>
      <c r="Z239" s="12">
        <v>147075459.63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147075459.63</v>
      </c>
      <c r="AH239" s="11">
        <v>0</v>
      </c>
      <c r="AI239" s="12">
        <v>147075459.63</v>
      </c>
      <c r="AJ239" s="11">
        <v>147075459.63</v>
      </c>
      <c r="AK239" s="11">
        <v>98543681.5</v>
      </c>
      <c r="AL239" s="11">
        <v>98543681.5</v>
      </c>
      <c r="AM239" s="11">
        <v>48531778.130000003</v>
      </c>
      <c r="AN239" s="11">
        <v>48531778.130000003</v>
      </c>
      <c r="AO239" s="11">
        <v>0</v>
      </c>
      <c r="AP239" s="11">
        <v>48531778.130000003</v>
      </c>
      <c r="AQ239" s="11">
        <v>0</v>
      </c>
      <c r="AR239" s="11">
        <v>0</v>
      </c>
      <c r="AS239" t="s">
        <v>48</v>
      </c>
      <c r="AT239"/>
    </row>
    <row r="240" spans="1:49" hidden="1" x14ac:dyDescent="0.3">
      <c r="A240">
        <v>2024</v>
      </c>
      <c r="B240">
        <v>318</v>
      </c>
      <c r="C240">
        <v>11010210101</v>
      </c>
      <c r="D240" s="5">
        <v>249</v>
      </c>
      <c r="E240" s="8" t="s">
        <v>1749</v>
      </c>
      <c r="F240">
        <v>11010210101</v>
      </c>
      <c r="G240" t="s">
        <v>1908</v>
      </c>
      <c r="H240" s="8" t="s">
        <v>668</v>
      </c>
      <c r="I240" t="s">
        <v>643</v>
      </c>
      <c r="J240" s="17">
        <v>636281440</v>
      </c>
      <c r="K240" s="11">
        <v>636281440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636281440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90303813</v>
      </c>
      <c r="Y240" s="11">
        <v>0</v>
      </c>
      <c r="Z240" s="12">
        <v>90303813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90303813</v>
      </c>
      <c r="AH240" s="11">
        <v>0</v>
      </c>
      <c r="AI240" s="12">
        <v>90303813</v>
      </c>
      <c r="AJ240" s="11">
        <v>90303813</v>
      </c>
      <c r="AK240" s="11">
        <v>90303813</v>
      </c>
      <c r="AL240" s="11">
        <v>90303813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t="s">
        <v>1750</v>
      </c>
      <c r="AT240" s="4" t="str">
        <f t="shared" ref="AT240:AT241" si="46">+H240</f>
        <v>Loterias foraneas 68%</v>
      </c>
      <c r="AU240" t="str">
        <f t="shared" ref="AU240:AU243" si="47">+D240&amp;AT240&amp;J240</f>
        <v>249Loterias foraneas 68%636281440</v>
      </c>
      <c r="AV240" t="str">
        <f>+_xlfn.XLOOKUP(AU240,CRUCE!L:L,CRUCE!M:M)</f>
        <v>READY</v>
      </c>
      <c r="AW240" t="s">
        <v>1907</v>
      </c>
    </row>
    <row r="241" spans="1:49" hidden="1" x14ac:dyDescent="0.3">
      <c r="A241">
        <v>2024</v>
      </c>
      <c r="B241">
        <v>318</v>
      </c>
      <c r="C241">
        <v>11010210102</v>
      </c>
      <c r="D241" s="5">
        <v>250</v>
      </c>
      <c r="E241" s="8" t="s">
        <v>1751</v>
      </c>
      <c r="F241">
        <v>11010210102</v>
      </c>
      <c r="G241" t="s">
        <v>1908</v>
      </c>
      <c r="H241" s="8" t="s">
        <v>670</v>
      </c>
      <c r="I241" t="s">
        <v>643</v>
      </c>
      <c r="J241" s="17">
        <v>233927000</v>
      </c>
      <c r="K241" s="11">
        <v>233927000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233927000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47475667.130000003</v>
      </c>
      <c r="Y241" s="11">
        <v>0</v>
      </c>
      <c r="Z241" s="12">
        <v>47475667.130000003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47475667.130000003</v>
      </c>
      <c r="AH241" s="11">
        <v>0</v>
      </c>
      <c r="AI241" s="12">
        <v>47475667.130000003</v>
      </c>
      <c r="AJ241" s="11">
        <v>47475667.130000003</v>
      </c>
      <c r="AK241" s="11">
        <v>0</v>
      </c>
      <c r="AL241" s="11">
        <v>0</v>
      </c>
      <c r="AM241" s="11">
        <v>47475667.130000003</v>
      </c>
      <c r="AN241" s="11">
        <v>47475667.130000003</v>
      </c>
      <c r="AO241" s="11">
        <v>0</v>
      </c>
      <c r="AP241" s="11">
        <v>47475667.130000003</v>
      </c>
      <c r="AQ241" s="11">
        <v>0</v>
      </c>
      <c r="AR241" s="11">
        <v>0</v>
      </c>
      <c r="AS241" t="s">
        <v>1752</v>
      </c>
      <c r="AT241" s="4" t="str">
        <f t="shared" si="46"/>
        <v>Loterias Foráneas 25%</v>
      </c>
      <c r="AU241" t="str">
        <f t="shared" si="47"/>
        <v>250Loterias Foráneas 25%233927000</v>
      </c>
      <c r="AV241" t="str">
        <f>+_xlfn.XLOOKUP(AU241,CRUCE!L:L,CRUCE!M:M)</f>
        <v>READY</v>
      </c>
      <c r="AW241" t="s">
        <v>1907</v>
      </c>
    </row>
    <row r="242" spans="1:49" hidden="1" x14ac:dyDescent="0.3">
      <c r="A242">
        <v>2024</v>
      </c>
      <c r="B242">
        <v>318</v>
      </c>
      <c r="C242">
        <v>11010210103</v>
      </c>
      <c r="D242" s="5">
        <v>182</v>
      </c>
      <c r="E242" s="8" t="s">
        <v>1753</v>
      </c>
      <c r="F242">
        <v>11010210103</v>
      </c>
      <c r="G242" t="s">
        <v>1908</v>
      </c>
      <c r="H242" s="8" t="s">
        <v>672</v>
      </c>
      <c r="I242" t="s">
        <v>643</v>
      </c>
      <c r="J242" s="17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2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2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t="s">
        <v>674</v>
      </c>
      <c r="AT242" s="4" t="str">
        <f>+H242</f>
        <v>Colciencias 7% Loterias Foraneas</v>
      </c>
      <c r="AU242" t="str">
        <f t="shared" si="47"/>
        <v>182Colciencias 7% Loterias Foraneas0</v>
      </c>
      <c r="AV242" t="str">
        <f>+_xlfn.XLOOKUP(AU242,CRUCE!L:L,CRUCE!M:M)</f>
        <v>READY</v>
      </c>
      <c r="AW242" t="s">
        <v>1907</v>
      </c>
    </row>
    <row r="243" spans="1:49" hidden="1" x14ac:dyDescent="0.3">
      <c r="A243">
        <v>2024</v>
      </c>
      <c r="B243">
        <v>318</v>
      </c>
      <c r="C243">
        <v>11010210103</v>
      </c>
      <c r="D243" s="5">
        <v>251</v>
      </c>
      <c r="E243" s="8" t="s">
        <v>1754</v>
      </c>
      <c r="F243">
        <v>11010210103</v>
      </c>
      <c r="G243" t="s">
        <v>1908</v>
      </c>
      <c r="H243" s="8" t="s">
        <v>672</v>
      </c>
      <c r="I243" t="s">
        <v>643</v>
      </c>
      <c r="J243" s="17">
        <v>65499560</v>
      </c>
      <c r="K243" s="11">
        <v>65499560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65499560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9295979.5</v>
      </c>
      <c r="Y243" s="11">
        <v>0</v>
      </c>
      <c r="Z243" s="12">
        <v>9295979.5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9295979.5</v>
      </c>
      <c r="AH243" s="11">
        <v>0</v>
      </c>
      <c r="AI243" s="12">
        <v>9295979.5</v>
      </c>
      <c r="AJ243" s="11">
        <v>9295979.5</v>
      </c>
      <c r="AK243" s="11">
        <v>8239868.5</v>
      </c>
      <c r="AL243" s="11">
        <v>8239868.5</v>
      </c>
      <c r="AM243" s="11">
        <v>1056111</v>
      </c>
      <c r="AN243" s="11">
        <v>1056111</v>
      </c>
      <c r="AO243" s="11">
        <v>0</v>
      </c>
      <c r="AP243" s="11">
        <v>1056111</v>
      </c>
      <c r="AQ243" s="11">
        <v>0</v>
      </c>
      <c r="AR243" s="11">
        <v>0</v>
      </c>
      <c r="AS243" t="s">
        <v>1755</v>
      </c>
      <c r="AT243" s="4" t="str">
        <f>+H243</f>
        <v>Colciencias 7% Loterias Foraneas</v>
      </c>
      <c r="AU243" t="str">
        <f t="shared" si="47"/>
        <v>251Colciencias 7% Loterias Foraneas65499560</v>
      </c>
      <c r="AV243" t="str">
        <f>+_xlfn.XLOOKUP(AU243,CRUCE!L:L,CRUCE!M:M)</f>
        <v>READY</v>
      </c>
      <c r="AW243" t="s">
        <v>1907</v>
      </c>
    </row>
    <row r="244" spans="1:49" hidden="1" x14ac:dyDescent="0.3">
      <c r="A244">
        <v>2024</v>
      </c>
      <c r="B244">
        <v>318</v>
      </c>
      <c r="C244">
        <v>110102103</v>
      </c>
      <c r="D244" s="5" t="s">
        <v>44</v>
      </c>
      <c r="E244" s="8" t="s">
        <v>1756</v>
      </c>
      <c r="F244">
        <v>110102103</v>
      </c>
      <c r="H244" s="8" t="s">
        <v>81</v>
      </c>
      <c r="I244" t="s">
        <v>643</v>
      </c>
      <c r="J244" s="17">
        <v>2874685000</v>
      </c>
      <c r="K244" s="11">
        <v>2874685000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2874685000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2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2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t="s">
        <v>48</v>
      </c>
      <c r="AT244"/>
    </row>
    <row r="245" spans="1:49" hidden="1" x14ac:dyDescent="0.3">
      <c r="A245">
        <v>2024</v>
      </c>
      <c r="B245">
        <v>318</v>
      </c>
      <c r="C245">
        <v>11010210301</v>
      </c>
      <c r="D245" s="5">
        <v>154</v>
      </c>
      <c r="E245" s="8" t="s">
        <v>1757</v>
      </c>
      <c r="F245">
        <v>11010210301</v>
      </c>
      <c r="G245" t="s">
        <v>1908</v>
      </c>
      <c r="H245" s="8" t="s">
        <v>1758</v>
      </c>
      <c r="I245" t="s">
        <v>643</v>
      </c>
      <c r="J245" s="17">
        <v>1437343000</v>
      </c>
      <c r="K245" s="11">
        <v>1437343000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1437343000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2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2">
        <v>0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t="s">
        <v>651</v>
      </c>
      <c r="AT245" s="4" t="s">
        <v>81</v>
      </c>
      <c r="AU245" t="str">
        <f t="shared" ref="AU245:AU246" si="48">+D245&amp;AT245&amp;J245</f>
        <v>154IVA sobre licores, vinos, aperitivos y similares (régimen anterior)1437343000</v>
      </c>
      <c r="AV245" t="str">
        <f>+_xlfn.XLOOKUP(AU245,CRUCE!L:L,CRUCE!M:M)</f>
        <v>READY</v>
      </c>
      <c r="AW245" t="s">
        <v>1907</v>
      </c>
    </row>
    <row r="246" spans="1:49" hidden="1" x14ac:dyDescent="0.3">
      <c r="A246">
        <v>2024</v>
      </c>
      <c r="B246">
        <v>318</v>
      </c>
      <c r="C246">
        <v>11010210303</v>
      </c>
      <c r="D246" s="5">
        <v>155</v>
      </c>
      <c r="E246" s="8" t="s">
        <v>1759</v>
      </c>
      <c r="F246">
        <v>11010210303</v>
      </c>
      <c r="G246" t="s">
        <v>1908</v>
      </c>
      <c r="H246" s="8" t="s">
        <v>81</v>
      </c>
      <c r="I246" t="s">
        <v>643</v>
      </c>
      <c r="J246" s="17">
        <v>1437342000</v>
      </c>
      <c r="K246" s="11">
        <v>1437342000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1437342000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2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2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t="s">
        <v>679</v>
      </c>
      <c r="AT246" s="4" t="str">
        <f>+H246</f>
        <v>IVA sobre licores, vinos, aperitivos y similares (régimen anterior)</v>
      </c>
      <c r="AU246" t="str">
        <f t="shared" si="48"/>
        <v>155IVA sobre licores, vinos, aperitivos y similares (régimen anterior)1437342000</v>
      </c>
      <c r="AV246" t="str">
        <f>+_xlfn.XLOOKUP(AU246,CRUCE!L:L,CRUCE!M:M)</f>
        <v>READY</v>
      </c>
      <c r="AW246" t="s">
        <v>1907</v>
      </c>
    </row>
    <row r="247" spans="1:49" hidden="1" x14ac:dyDescent="0.3">
      <c r="A247">
        <v>2024</v>
      </c>
      <c r="B247">
        <v>318</v>
      </c>
      <c r="C247">
        <v>110102104</v>
      </c>
      <c r="D247" s="5" t="s">
        <v>44</v>
      </c>
      <c r="E247" s="8" t="s">
        <v>1760</v>
      </c>
      <c r="F247">
        <v>110102104</v>
      </c>
      <c r="H247" s="8" t="s">
        <v>86</v>
      </c>
      <c r="I247" t="s">
        <v>643</v>
      </c>
      <c r="J247" s="17">
        <v>2874685000</v>
      </c>
      <c r="K247" s="11">
        <v>2874685000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2874685000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285496799</v>
      </c>
      <c r="Y247" s="11">
        <v>37909739</v>
      </c>
      <c r="Z247" s="12">
        <v>247587060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285496799</v>
      </c>
      <c r="AH247" s="11">
        <v>37909739</v>
      </c>
      <c r="AI247" s="12">
        <v>247587060</v>
      </c>
      <c r="AJ247" s="11">
        <v>247587060</v>
      </c>
      <c r="AK247" s="11">
        <v>57526160</v>
      </c>
      <c r="AL247" s="11">
        <v>57526160</v>
      </c>
      <c r="AM247" s="11">
        <v>190060900</v>
      </c>
      <c r="AN247" s="11">
        <v>190060900</v>
      </c>
      <c r="AO247" s="11">
        <v>0</v>
      </c>
      <c r="AP247" s="11">
        <v>190060900</v>
      </c>
      <c r="AQ247" s="11">
        <v>0</v>
      </c>
      <c r="AR247" s="11">
        <v>0</v>
      </c>
      <c r="AS247" t="s">
        <v>48</v>
      </c>
      <c r="AT247"/>
    </row>
    <row r="248" spans="1:49" hidden="1" x14ac:dyDescent="0.3">
      <c r="A248">
        <v>2024</v>
      </c>
      <c r="B248">
        <v>318</v>
      </c>
      <c r="C248">
        <v>11010210402</v>
      </c>
      <c r="D248" s="5" t="s">
        <v>44</v>
      </c>
      <c r="E248" s="8" t="s">
        <v>1761</v>
      </c>
      <c r="F248">
        <v>11010210402</v>
      </c>
      <c r="H248" s="8" t="s">
        <v>94</v>
      </c>
      <c r="I248" t="s">
        <v>643</v>
      </c>
      <c r="J248" s="17">
        <v>2874685000</v>
      </c>
      <c r="K248" s="11">
        <v>2874685000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2874685000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285496799</v>
      </c>
      <c r="Y248" s="11">
        <v>37909739</v>
      </c>
      <c r="Z248" s="12">
        <v>247587060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285496799</v>
      </c>
      <c r="AH248" s="11">
        <v>37909739</v>
      </c>
      <c r="AI248" s="12">
        <v>247587060</v>
      </c>
      <c r="AJ248" s="11">
        <v>247587060</v>
      </c>
      <c r="AK248" s="11">
        <v>57526160</v>
      </c>
      <c r="AL248" s="11">
        <v>57526160</v>
      </c>
      <c r="AM248" s="11">
        <v>190060900</v>
      </c>
      <c r="AN248" s="11">
        <v>190060900</v>
      </c>
      <c r="AO248" s="11">
        <v>0</v>
      </c>
      <c r="AP248" s="11">
        <v>190060900</v>
      </c>
      <c r="AQ248" s="11">
        <v>0</v>
      </c>
      <c r="AR248" s="11">
        <v>0</v>
      </c>
      <c r="AS248" t="s">
        <v>48</v>
      </c>
      <c r="AT248"/>
    </row>
    <row r="249" spans="1:49" hidden="1" x14ac:dyDescent="0.3">
      <c r="A249">
        <v>2024</v>
      </c>
      <c r="B249">
        <v>318</v>
      </c>
      <c r="C249">
        <v>1101021040201</v>
      </c>
      <c r="D249" s="5" t="s">
        <v>44</v>
      </c>
      <c r="E249" s="8" t="s">
        <v>1762</v>
      </c>
      <c r="F249">
        <v>1101021040201</v>
      </c>
      <c r="H249" s="8" t="s">
        <v>1528</v>
      </c>
      <c r="I249" t="s">
        <v>643</v>
      </c>
      <c r="J249" s="17">
        <v>1422969075</v>
      </c>
      <c r="K249" s="11">
        <v>1422969075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1422969075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141399041</v>
      </c>
      <c r="Y249" s="11">
        <v>37909739</v>
      </c>
      <c r="Z249" s="12">
        <v>103489302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141399041</v>
      </c>
      <c r="AH249" s="11">
        <v>37909739</v>
      </c>
      <c r="AI249" s="12">
        <v>103489302</v>
      </c>
      <c r="AJ249" s="11">
        <v>103489302</v>
      </c>
      <c r="AK249" s="11">
        <v>19616421</v>
      </c>
      <c r="AL249" s="11">
        <v>19616421</v>
      </c>
      <c r="AM249" s="11">
        <v>83872881</v>
      </c>
      <c r="AN249" s="11">
        <v>83872881</v>
      </c>
      <c r="AO249" s="11">
        <v>0</v>
      </c>
      <c r="AP249" s="11">
        <v>83872881</v>
      </c>
      <c r="AQ249" s="11">
        <v>0</v>
      </c>
      <c r="AR249" s="11">
        <v>0</v>
      </c>
      <c r="AS249" t="s">
        <v>48</v>
      </c>
      <c r="AT249"/>
    </row>
    <row r="250" spans="1:49" hidden="1" x14ac:dyDescent="0.3">
      <c r="A250">
        <v>2024</v>
      </c>
      <c r="B250">
        <v>318</v>
      </c>
      <c r="C250">
        <v>110102104020101</v>
      </c>
      <c r="D250" s="5">
        <v>240</v>
      </c>
      <c r="E250" s="8" t="s">
        <v>1763</v>
      </c>
      <c r="F250">
        <v>110102104020101</v>
      </c>
      <c r="G250" t="s">
        <v>1908</v>
      </c>
      <c r="H250" s="8" t="s">
        <v>1530</v>
      </c>
      <c r="I250" t="s">
        <v>643</v>
      </c>
      <c r="J250" s="17">
        <v>174924643.09999999</v>
      </c>
      <c r="K250" s="11">
        <v>174924643.09999999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174924643.09999999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32128230</v>
      </c>
      <c r="Y250" s="11">
        <v>0</v>
      </c>
      <c r="Z250" s="12">
        <v>32128230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32128230</v>
      </c>
      <c r="AH250" s="11">
        <v>0</v>
      </c>
      <c r="AI250" s="12">
        <v>32128230</v>
      </c>
      <c r="AJ250" s="11">
        <v>32128230</v>
      </c>
      <c r="AK250" s="11">
        <v>0</v>
      </c>
      <c r="AL250" s="11">
        <v>0</v>
      </c>
      <c r="AM250" s="11">
        <v>32128230</v>
      </c>
      <c r="AN250" s="11">
        <v>32128230</v>
      </c>
      <c r="AO250" s="11">
        <v>0</v>
      </c>
      <c r="AP250" s="11">
        <v>32128230</v>
      </c>
      <c r="AQ250" s="11">
        <v>0</v>
      </c>
      <c r="AR250" s="11">
        <v>0</v>
      </c>
      <c r="AS250" t="s">
        <v>1764</v>
      </c>
      <c r="AT250" s="4" t="str">
        <f t="shared" ref="AT250:AT255" si="49">+H250</f>
        <v>Impuesto al consumo de vinos, aperitivos y similares - Componente Específico de Producción Nacional</v>
      </c>
      <c r="AU250" t="str">
        <f t="shared" ref="AU250:AU255" si="50">+D250&amp;AT250&amp;J250</f>
        <v>240Impuesto al consumo de vinos, aperitivos y similares - Componente Específico de Producción Nacional174924643,1</v>
      </c>
      <c r="AV250" t="str">
        <f>+_xlfn.XLOOKUP(AU250,CRUCE!L:L,CRUCE!M:M)</f>
        <v>READY</v>
      </c>
      <c r="AW250" t="s">
        <v>1907</v>
      </c>
    </row>
    <row r="251" spans="1:49" hidden="1" x14ac:dyDescent="0.3">
      <c r="A251">
        <v>2024</v>
      </c>
      <c r="B251">
        <v>318</v>
      </c>
      <c r="C251">
        <v>110102104020101</v>
      </c>
      <c r="D251" s="5">
        <v>241</v>
      </c>
      <c r="E251" s="8" t="s">
        <v>1765</v>
      </c>
      <c r="F251">
        <v>110102104020101</v>
      </c>
      <c r="G251" t="s">
        <v>1908</v>
      </c>
      <c r="H251" s="8" t="s">
        <v>1530</v>
      </c>
      <c r="I251" t="s">
        <v>643</v>
      </c>
      <c r="J251" s="17">
        <v>87462260.700000003</v>
      </c>
      <c r="K251" s="11">
        <v>87462260.700000003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87462260.700000003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16064115</v>
      </c>
      <c r="Y251" s="11">
        <v>0</v>
      </c>
      <c r="Z251" s="12">
        <v>16064115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16064115</v>
      </c>
      <c r="AH251" s="11">
        <v>0</v>
      </c>
      <c r="AI251" s="12">
        <v>16064115</v>
      </c>
      <c r="AJ251" s="11">
        <v>16064115</v>
      </c>
      <c r="AK251" s="11">
        <v>0</v>
      </c>
      <c r="AL251" s="11">
        <v>0</v>
      </c>
      <c r="AM251" s="11">
        <v>16064115</v>
      </c>
      <c r="AN251" s="11">
        <v>16064115</v>
      </c>
      <c r="AO251" s="11">
        <v>0</v>
      </c>
      <c r="AP251" s="11">
        <v>16064115</v>
      </c>
      <c r="AQ251" s="11">
        <v>0</v>
      </c>
      <c r="AR251" s="11">
        <v>0</v>
      </c>
      <c r="AS251" t="s">
        <v>1766</v>
      </c>
      <c r="AT251" s="4" t="str">
        <f t="shared" si="49"/>
        <v>Impuesto al consumo de vinos, aperitivos y similares - Componente Específico de Producción Nacional</v>
      </c>
      <c r="AU251" t="str">
        <f t="shared" si="50"/>
        <v>241Impuesto al consumo de vinos, aperitivos y similares - Componente Específico de Producción Nacional87462260,7</v>
      </c>
      <c r="AV251" t="str">
        <f>+_xlfn.XLOOKUP(AU251,CRUCE!L:L,CRUCE!M:M)</f>
        <v>READY</v>
      </c>
      <c r="AW251" t="s">
        <v>1907</v>
      </c>
    </row>
    <row r="252" spans="1:49" hidden="1" x14ac:dyDescent="0.3">
      <c r="A252">
        <v>2024</v>
      </c>
      <c r="B252">
        <v>318</v>
      </c>
      <c r="C252">
        <v>110102104020101</v>
      </c>
      <c r="D252" s="5">
        <v>242</v>
      </c>
      <c r="E252" s="8" t="s">
        <v>1767</v>
      </c>
      <c r="F252">
        <v>110102104020101</v>
      </c>
      <c r="G252" t="s">
        <v>1908</v>
      </c>
      <c r="H252" s="8" t="s">
        <v>1530</v>
      </c>
      <c r="I252" t="s">
        <v>643</v>
      </c>
      <c r="J252" s="17">
        <v>87462260.700000003</v>
      </c>
      <c r="K252" s="11">
        <v>87462260.700000003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87462260.700000003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16064115</v>
      </c>
      <c r="Y252" s="11">
        <v>0</v>
      </c>
      <c r="Z252" s="12">
        <v>16064115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16064115</v>
      </c>
      <c r="AH252" s="11">
        <v>0</v>
      </c>
      <c r="AI252" s="12">
        <v>16064115</v>
      </c>
      <c r="AJ252" s="11">
        <v>16064115</v>
      </c>
      <c r="AK252" s="11">
        <v>0</v>
      </c>
      <c r="AL252" s="11">
        <v>0</v>
      </c>
      <c r="AM252" s="11">
        <v>16064115</v>
      </c>
      <c r="AN252" s="11">
        <v>16064115</v>
      </c>
      <c r="AO252" s="11">
        <v>0</v>
      </c>
      <c r="AP252" s="11">
        <v>16064115</v>
      </c>
      <c r="AQ252" s="11">
        <v>0</v>
      </c>
      <c r="AR252" s="11">
        <v>0</v>
      </c>
      <c r="AS252" t="s">
        <v>1768</v>
      </c>
      <c r="AT252" s="4" t="str">
        <f t="shared" si="49"/>
        <v>Impuesto al consumo de vinos, aperitivos y similares - Componente Específico de Producción Nacional</v>
      </c>
      <c r="AU252" t="str">
        <f t="shared" si="50"/>
        <v>242Impuesto al consumo de vinos, aperitivos y similares - Componente Específico de Producción Nacional87462260,7</v>
      </c>
      <c r="AV252" t="str">
        <f>+_xlfn.XLOOKUP(AU252,CRUCE!L:L,CRUCE!M:M)</f>
        <v>READY</v>
      </c>
      <c r="AW252" t="s">
        <v>1907</v>
      </c>
    </row>
    <row r="253" spans="1:49" hidden="1" x14ac:dyDescent="0.3">
      <c r="A253">
        <v>2024</v>
      </c>
      <c r="B253">
        <v>318</v>
      </c>
      <c r="C253">
        <v>110102104020102</v>
      </c>
      <c r="D253" s="5">
        <v>240</v>
      </c>
      <c r="E253" s="8" t="s">
        <v>1769</v>
      </c>
      <c r="F253">
        <v>110102104020102</v>
      </c>
      <c r="G253" t="s">
        <v>1908</v>
      </c>
      <c r="H253" s="8" t="s">
        <v>1533</v>
      </c>
      <c r="I253" t="s">
        <v>643</v>
      </c>
      <c r="J253" s="17">
        <v>536560141.89999998</v>
      </c>
      <c r="K253" s="11">
        <v>536560141.89999998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536560141.89999998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57526160</v>
      </c>
      <c r="Y253" s="11">
        <v>37909739</v>
      </c>
      <c r="Z253" s="12">
        <v>19616421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57526160</v>
      </c>
      <c r="AH253" s="11">
        <v>37909739</v>
      </c>
      <c r="AI253" s="12">
        <v>19616421</v>
      </c>
      <c r="AJ253" s="11">
        <v>19616421</v>
      </c>
      <c r="AK253" s="11">
        <v>19616421</v>
      </c>
      <c r="AL253" s="11">
        <v>19616421</v>
      </c>
      <c r="AM253" s="11">
        <v>0</v>
      </c>
      <c r="AN253" s="11">
        <v>0</v>
      </c>
      <c r="AO253" s="11">
        <v>0</v>
      </c>
      <c r="AP253" s="11">
        <v>0</v>
      </c>
      <c r="AQ253" s="11">
        <v>0</v>
      </c>
      <c r="AR253" s="11">
        <v>0</v>
      </c>
      <c r="AS253" t="s">
        <v>1764</v>
      </c>
      <c r="AT253" s="4" t="str">
        <f t="shared" si="49"/>
        <v>Impuesto al consumo de vinos, aperitivos y similares - Componente Específico de Producción Extranjer</v>
      </c>
      <c r="AU253" t="str">
        <f t="shared" si="50"/>
        <v>240Impuesto al consumo de vinos, aperitivos y similares - Componente Específico de Producción Extranjer536560141,9</v>
      </c>
      <c r="AV253" t="str">
        <f>+_xlfn.XLOOKUP(AU253,CRUCE!L:L,CRUCE!M:M)</f>
        <v>READY</v>
      </c>
      <c r="AW253" t="s">
        <v>1907</v>
      </c>
    </row>
    <row r="254" spans="1:49" hidden="1" x14ac:dyDescent="0.3">
      <c r="A254">
        <v>2024</v>
      </c>
      <c r="B254">
        <v>318</v>
      </c>
      <c r="C254">
        <v>110102104020102</v>
      </c>
      <c r="D254" s="5">
        <v>241</v>
      </c>
      <c r="E254" s="8" t="s">
        <v>1770</v>
      </c>
      <c r="F254">
        <v>110102104020102</v>
      </c>
      <c r="G254" t="s">
        <v>1908</v>
      </c>
      <c r="H254" s="8" t="s">
        <v>1533</v>
      </c>
      <c r="I254" t="s">
        <v>643</v>
      </c>
      <c r="J254" s="17">
        <v>268279884.30000001</v>
      </c>
      <c r="K254" s="11">
        <v>268279884.30000001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268279884.30000001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9808210.5</v>
      </c>
      <c r="Y254" s="11">
        <v>0</v>
      </c>
      <c r="Z254" s="12">
        <v>9808210.5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9808210.5</v>
      </c>
      <c r="AH254" s="11">
        <v>0</v>
      </c>
      <c r="AI254" s="12">
        <v>9808210.5</v>
      </c>
      <c r="AJ254" s="11">
        <v>9808210.5</v>
      </c>
      <c r="AK254" s="11">
        <v>0</v>
      </c>
      <c r="AL254" s="11">
        <v>0</v>
      </c>
      <c r="AM254" s="11">
        <v>9808210.5</v>
      </c>
      <c r="AN254" s="11">
        <v>9808210.5</v>
      </c>
      <c r="AO254" s="11">
        <v>0</v>
      </c>
      <c r="AP254" s="11">
        <v>9808210.5</v>
      </c>
      <c r="AQ254" s="11">
        <v>0</v>
      </c>
      <c r="AR254" s="11">
        <v>0</v>
      </c>
      <c r="AS254" t="s">
        <v>1766</v>
      </c>
      <c r="AT254" s="4" t="str">
        <f t="shared" si="49"/>
        <v>Impuesto al consumo de vinos, aperitivos y similares - Componente Específico de Producción Extranjer</v>
      </c>
      <c r="AU254" t="str">
        <f t="shared" si="50"/>
        <v>241Impuesto al consumo de vinos, aperitivos y similares - Componente Específico de Producción Extranjer268279884,3</v>
      </c>
      <c r="AV254" t="str">
        <f>+_xlfn.XLOOKUP(AU254,CRUCE!L:L,CRUCE!M:M)</f>
        <v>READY</v>
      </c>
      <c r="AW254" t="s">
        <v>1907</v>
      </c>
    </row>
    <row r="255" spans="1:49" hidden="1" x14ac:dyDescent="0.3">
      <c r="A255">
        <v>2024</v>
      </c>
      <c r="B255">
        <v>318</v>
      </c>
      <c r="C255">
        <v>110102104020102</v>
      </c>
      <c r="D255" s="5">
        <v>242</v>
      </c>
      <c r="E255" s="8" t="s">
        <v>1771</v>
      </c>
      <c r="F255">
        <v>110102104020102</v>
      </c>
      <c r="G255" t="s">
        <v>1908</v>
      </c>
      <c r="H255" s="8" t="s">
        <v>1533</v>
      </c>
      <c r="I255" t="s">
        <v>643</v>
      </c>
      <c r="J255" s="17">
        <v>268279884.30000001</v>
      </c>
      <c r="K255" s="11">
        <v>268279884.30000001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268279884.30000001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9808210.5</v>
      </c>
      <c r="Y255" s="11">
        <v>0</v>
      </c>
      <c r="Z255" s="12">
        <v>9808210.5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9808210.5</v>
      </c>
      <c r="AH255" s="11">
        <v>0</v>
      </c>
      <c r="AI255" s="12">
        <v>9808210.5</v>
      </c>
      <c r="AJ255" s="11">
        <v>9808210.5</v>
      </c>
      <c r="AK255" s="11">
        <v>0</v>
      </c>
      <c r="AL255" s="11">
        <v>0</v>
      </c>
      <c r="AM255" s="11">
        <v>9808210.5</v>
      </c>
      <c r="AN255" s="11">
        <v>9808210.5</v>
      </c>
      <c r="AO255" s="11">
        <v>0</v>
      </c>
      <c r="AP255" s="11">
        <v>9808210.5</v>
      </c>
      <c r="AQ255" s="11">
        <v>0</v>
      </c>
      <c r="AR255" s="11">
        <v>0</v>
      </c>
      <c r="AS255" t="s">
        <v>1768</v>
      </c>
      <c r="AT255" s="4" t="str">
        <f t="shared" si="49"/>
        <v>Impuesto al consumo de vinos, aperitivos y similares - Componente Específico de Producción Extranjer</v>
      </c>
      <c r="AU255" t="str">
        <f t="shared" si="50"/>
        <v>242Impuesto al consumo de vinos, aperitivos y similares - Componente Específico de Producción Extranjer268279884,3</v>
      </c>
      <c r="AV255" t="str">
        <f>+_xlfn.XLOOKUP(AU255,CRUCE!L:L,CRUCE!M:M)</f>
        <v>READY</v>
      </c>
      <c r="AW255" t="s">
        <v>1907</v>
      </c>
    </row>
    <row r="256" spans="1:49" hidden="1" x14ac:dyDescent="0.3">
      <c r="A256">
        <v>2024</v>
      </c>
      <c r="B256">
        <v>318</v>
      </c>
      <c r="C256">
        <v>1101021040202</v>
      </c>
      <c r="D256" s="5" t="s">
        <v>44</v>
      </c>
      <c r="E256" s="8" t="s">
        <v>1772</v>
      </c>
      <c r="F256">
        <v>1101021040202</v>
      </c>
      <c r="H256" s="8" t="s">
        <v>1536</v>
      </c>
      <c r="I256" t="s">
        <v>643</v>
      </c>
      <c r="J256" s="17">
        <v>1451715925</v>
      </c>
      <c r="K256" s="11">
        <v>1451715925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1451715925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144097758</v>
      </c>
      <c r="Y256" s="11">
        <v>0</v>
      </c>
      <c r="Z256" s="12">
        <v>144097758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144097758</v>
      </c>
      <c r="AH256" s="11">
        <v>0</v>
      </c>
      <c r="AI256" s="12">
        <v>144097758</v>
      </c>
      <c r="AJ256" s="11">
        <v>144097758</v>
      </c>
      <c r="AK256" s="11">
        <v>37909739</v>
      </c>
      <c r="AL256" s="11">
        <v>37909739</v>
      </c>
      <c r="AM256" s="11">
        <v>106188019</v>
      </c>
      <c r="AN256" s="11">
        <v>106188019</v>
      </c>
      <c r="AO256" s="11">
        <v>0</v>
      </c>
      <c r="AP256" s="11">
        <v>106188019</v>
      </c>
      <c r="AQ256" s="11">
        <v>0</v>
      </c>
      <c r="AR256" s="11">
        <v>0</v>
      </c>
      <c r="AS256" t="s">
        <v>48</v>
      </c>
      <c r="AT256"/>
    </row>
    <row r="257" spans="1:49" hidden="1" x14ac:dyDescent="0.3">
      <c r="A257">
        <v>2024</v>
      </c>
      <c r="B257">
        <v>318</v>
      </c>
      <c r="C257">
        <v>110102104020201</v>
      </c>
      <c r="D257" s="5">
        <v>240</v>
      </c>
      <c r="E257" s="8" t="s">
        <v>1773</v>
      </c>
      <c r="F257">
        <v>110102104020201</v>
      </c>
      <c r="G257" t="s">
        <v>1908</v>
      </c>
      <c r="H257" s="8" t="s">
        <v>1538</v>
      </c>
      <c r="I257" t="s">
        <v>643</v>
      </c>
      <c r="J257" s="17">
        <v>178374266.30000001</v>
      </c>
      <c r="K257" s="11">
        <v>178374266.30000001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178374266.30000001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34139140</v>
      </c>
      <c r="Y257" s="11">
        <v>0</v>
      </c>
      <c r="Z257" s="12">
        <v>34139140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v>0</v>
      </c>
      <c r="AG257" s="11">
        <v>34139140</v>
      </c>
      <c r="AH257" s="11">
        <v>0</v>
      </c>
      <c r="AI257" s="12">
        <v>34139140</v>
      </c>
      <c r="AJ257" s="11">
        <v>34139140</v>
      </c>
      <c r="AK257" s="11">
        <v>0</v>
      </c>
      <c r="AL257" s="11">
        <v>0</v>
      </c>
      <c r="AM257" s="11">
        <v>34139140</v>
      </c>
      <c r="AN257" s="11">
        <v>34139140</v>
      </c>
      <c r="AO257" s="11">
        <v>0</v>
      </c>
      <c r="AP257" s="11">
        <v>34139140</v>
      </c>
      <c r="AQ257" s="11">
        <v>0</v>
      </c>
      <c r="AR257" s="11">
        <v>0</v>
      </c>
      <c r="AS257" t="s">
        <v>1764</v>
      </c>
      <c r="AT257" s="4" t="str">
        <f t="shared" ref="AT257:AT262" si="51">+H257</f>
        <v>Impuesto al consumo de vinos, aperitivos y similares - Componente Ad Valorem de Producción Nacional</v>
      </c>
      <c r="AU257" t="str">
        <f t="shared" ref="AU257:AU262" si="52">+D257&amp;AT257&amp;J257</f>
        <v>240Impuesto al consumo de vinos, aperitivos y similares - Componente Ad Valorem de Producción Nacional178374266,3</v>
      </c>
      <c r="AV257" t="str">
        <f>+_xlfn.XLOOKUP(AU257,CRUCE!L:L,CRUCE!M:M)</f>
        <v>READY</v>
      </c>
      <c r="AW257" t="s">
        <v>1907</v>
      </c>
    </row>
    <row r="258" spans="1:49" hidden="1" x14ac:dyDescent="0.3">
      <c r="A258">
        <v>2024</v>
      </c>
      <c r="B258">
        <v>318</v>
      </c>
      <c r="C258">
        <v>110102104020201</v>
      </c>
      <c r="D258" s="5">
        <v>241</v>
      </c>
      <c r="E258" s="8" t="s">
        <v>1774</v>
      </c>
      <c r="F258">
        <v>110102104020201</v>
      </c>
      <c r="G258" t="s">
        <v>1908</v>
      </c>
      <c r="H258" s="8" t="s">
        <v>1538</v>
      </c>
      <c r="I258" t="s">
        <v>643</v>
      </c>
      <c r="J258" s="17">
        <v>89187071.099999994</v>
      </c>
      <c r="K258" s="11">
        <v>89187071.099999994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89187071.099999994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17069570</v>
      </c>
      <c r="Y258" s="11">
        <v>0</v>
      </c>
      <c r="Z258" s="12">
        <v>17069570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1">
        <v>17069570</v>
      </c>
      <c r="AH258" s="11">
        <v>0</v>
      </c>
      <c r="AI258" s="12">
        <v>17069570</v>
      </c>
      <c r="AJ258" s="11">
        <v>17069570</v>
      </c>
      <c r="AK258" s="11">
        <v>0</v>
      </c>
      <c r="AL258" s="11">
        <v>0</v>
      </c>
      <c r="AM258" s="11">
        <v>17069570</v>
      </c>
      <c r="AN258" s="11">
        <v>17069570</v>
      </c>
      <c r="AO258" s="11">
        <v>0</v>
      </c>
      <c r="AP258" s="11">
        <v>17069570</v>
      </c>
      <c r="AQ258" s="11">
        <v>0</v>
      </c>
      <c r="AR258" s="11">
        <v>0</v>
      </c>
      <c r="AS258" t="s">
        <v>1766</v>
      </c>
      <c r="AT258" s="4" t="str">
        <f t="shared" si="51"/>
        <v>Impuesto al consumo de vinos, aperitivos y similares - Componente Ad Valorem de Producción Nacional</v>
      </c>
      <c r="AU258" t="str">
        <f t="shared" si="52"/>
        <v>241Impuesto al consumo de vinos, aperitivos y similares - Componente Ad Valorem de Producción Nacional89187071,1</v>
      </c>
      <c r="AV258" t="str">
        <f>+_xlfn.XLOOKUP(AU258,CRUCE!L:L,CRUCE!M:M)</f>
        <v>READY</v>
      </c>
      <c r="AW258" t="s">
        <v>1907</v>
      </c>
    </row>
    <row r="259" spans="1:49" hidden="1" x14ac:dyDescent="0.3">
      <c r="A259">
        <v>2024</v>
      </c>
      <c r="B259">
        <v>318</v>
      </c>
      <c r="C259">
        <v>110102104020201</v>
      </c>
      <c r="D259" s="5">
        <v>242</v>
      </c>
      <c r="E259" s="8" t="s">
        <v>1775</v>
      </c>
      <c r="F259">
        <v>110102104020201</v>
      </c>
      <c r="G259" t="s">
        <v>1908</v>
      </c>
      <c r="H259" s="8" t="s">
        <v>1538</v>
      </c>
      <c r="I259" t="s">
        <v>643</v>
      </c>
      <c r="J259" s="17">
        <v>89187071.099999994</v>
      </c>
      <c r="K259" s="11">
        <v>89187071.099999994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89187071.099999994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17069570</v>
      </c>
      <c r="Y259" s="11">
        <v>0</v>
      </c>
      <c r="Z259" s="12">
        <v>17069570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17069570</v>
      </c>
      <c r="AH259" s="11">
        <v>0</v>
      </c>
      <c r="AI259" s="12">
        <v>17069570</v>
      </c>
      <c r="AJ259" s="11">
        <v>17069570</v>
      </c>
      <c r="AK259" s="11">
        <v>0</v>
      </c>
      <c r="AL259" s="11">
        <v>0</v>
      </c>
      <c r="AM259" s="11">
        <v>17069570</v>
      </c>
      <c r="AN259" s="11">
        <v>17069570</v>
      </c>
      <c r="AO259" s="11">
        <v>0</v>
      </c>
      <c r="AP259" s="11">
        <v>17069570</v>
      </c>
      <c r="AQ259" s="11">
        <v>0</v>
      </c>
      <c r="AR259" s="11">
        <v>0</v>
      </c>
      <c r="AS259" t="s">
        <v>1768</v>
      </c>
      <c r="AT259" s="4" t="str">
        <f t="shared" si="51"/>
        <v>Impuesto al consumo de vinos, aperitivos y similares - Componente Ad Valorem de Producción Nacional</v>
      </c>
      <c r="AU259" t="str">
        <f t="shared" si="52"/>
        <v>242Impuesto al consumo de vinos, aperitivos y similares - Componente Ad Valorem de Producción Nacional89187071,1</v>
      </c>
      <c r="AV259" t="str">
        <f>+_xlfn.XLOOKUP(AU259,CRUCE!L:L,CRUCE!M:M)</f>
        <v>READY</v>
      </c>
      <c r="AW259" t="s">
        <v>1907</v>
      </c>
    </row>
    <row r="260" spans="1:49" hidden="1" x14ac:dyDescent="0.3">
      <c r="A260">
        <v>2024</v>
      </c>
      <c r="B260">
        <v>318</v>
      </c>
      <c r="C260">
        <v>110102104020202</v>
      </c>
      <c r="D260" s="5">
        <v>240</v>
      </c>
      <c r="E260" s="8" t="s">
        <v>1776</v>
      </c>
      <c r="F260">
        <v>110102104020202</v>
      </c>
      <c r="G260" t="s">
        <v>1908</v>
      </c>
      <c r="H260" s="8" t="s">
        <v>1541</v>
      </c>
      <c r="I260" t="s">
        <v>643</v>
      </c>
      <c r="J260" s="17">
        <v>547483948.70000005</v>
      </c>
      <c r="K260" s="11">
        <v>547483948.70000005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547483948.70000005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37909739</v>
      </c>
      <c r="Y260" s="11">
        <v>0</v>
      </c>
      <c r="Z260" s="12">
        <v>37909739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37909739</v>
      </c>
      <c r="AH260" s="11">
        <v>0</v>
      </c>
      <c r="AI260" s="12">
        <v>37909739</v>
      </c>
      <c r="AJ260" s="11">
        <v>37909739</v>
      </c>
      <c r="AK260" s="11">
        <v>37909739</v>
      </c>
      <c r="AL260" s="11">
        <v>37909739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t="s">
        <v>1764</v>
      </c>
      <c r="AT260" s="4" t="str">
        <f t="shared" si="51"/>
        <v>Impuesto al consumo de vinos, aperitivos y similares - Componente Ad Valorem de Producción Extranjer</v>
      </c>
      <c r="AU260" t="str">
        <f t="shared" si="52"/>
        <v>240Impuesto al consumo de vinos, aperitivos y similares - Componente Ad Valorem de Producción Extranjer547483948,7</v>
      </c>
      <c r="AV260" t="str">
        <f>+_xlfn.XLOOKUP(AU260,CRUCE!L:L,CRUCE!M:M)</f>
        <v>READY</v>
      </c>
      <c r="AW260" t="s">
        <v>1907</v>
      </c>
    </row>
    <row r="261" spans="1:49" hidden="1" x14ac:dyDescent="0.3">
      <c r="A261">
        <v>2024</v>
      </c>
      <c r="B261">
        <v>318</v>
      </c>
      <c r="C261">
        <v>110102104020202</v>
      </c>
      <c r="D261" s="5">
        <v>241</v>
      </c>
      <c r="E261" s="8" t="s">
        <v>1777</v>
      </c>
      <c r="F261">
        <v>110102104020202</v>
      </c>
      <c r="G261" t="s">
        <v>1908</v>
      </c>
      <c r="H261" s="8" t="s">
        <v>1541</v>
      </c>
      <c r="I261" t="s">
        <v>643</v>
      </c>
      <c r="J261" s="17">
        <v>273741783.89999998</v>
      </c>
      <c r="K261" s="11">
        <v>273741783.89999998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273741783.89999998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18954869.5</v>
      </c>
      <c r="Y261" s="11">
        <v>0</v>
      </c>
      <c r="Z261" s="12">
        <v>18954869.5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18954869.5</v>
      </c>
      <c r="AH261" s="11">
        <v>0</v>
      </c>
      <c r="AI261" s="12">
        <v>18954869.5</v>
      </c>
      <c r="AJ261" s="11">
        <v>18954869.5</v>
      </c>
      <c r="AK261" s="11">
        <v>0</v>
      </c>
      <c r="AL261" s="11">
        <v>0</v>
      </c>
      <c r="AM261" s="11">
        <v>18954869.5</v>
      </c>
      <c r="AN261" s="11">
        <v>18954869.5</v>
      </c>
      <c r="AO261" s="11">
        <v>0</v>
      </c>
      <c r="AP261" s="11">
        <v>18954869.5</v>
      </c>
      <c r="AQ261" s="11">
        <v>0</v>
      </c>
      <c r="AR261" s="11">
        <v>0</v>
      </c>
      <c r="AS261" t="s">
        <v>1766</v>
      </c>
      <c r="AT261" s="4" t="str">
        <f t="shared" si="51"/>
        <v>Impuesto al consumo de vinos, aperitivos y similares - Componente Ad Valorem de Producción Extranjer</v>
      </c>
      <c r="AU261" t="str">
        <f t="shared" si="52"/>
        <v>241Impuesto al consumo de vinos, aperitivos y similares - Componente Ad Valorem de Producción Extranjer273741783,9</v>
      </c>
      <c r="AV261" t="str">
        <f>+_xlfn.XLOOKUP(AU261,CRUCE!L:L,CRUCE!M:M)</f>
        <v>READY</v>
      </c>
      <c r="AW261" t="s">
        <v>1907</v>
      </c>
    </row>
    <row r="262" spans="1:49" hidden="1" x14ac:dyDescent="0.3">
      <c r="A262">
        <v>2024</v>
      </c>
      <c r="B262">
        <v>318</v>
      </c>
      <c r="C262">
        <v>110102104020202</v>
      </c>
      <c r="D262" s="5">
        <v>242</v>
      </c>
      <c r="E262" s="8" t="s">
        <v>1778</v>
      </c>
      <c r="F262">
        <v>110102104020202</v>
      </c>
      <c r="G262" t="s">
        <v>1908</v>
      </c>
      <c r="H262" s="8" t="s">
        <v>1541</v>
      </c>
      <c r="I262" t="s">
        <v>643</v>
      </c>
      <c r="J262" s="17">
        <v>273741783.89999998</v>
      </c>
      <c r="K262" s="11">
        <v>273741783.89999998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273741783.89999998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18954869.5</v>
      </c>
      <c r="Y262" s="11">
        <v>0</v>
      </c>
      <c r="Z262" s="12">
        <v>18954869.5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18954869.5</v>
      </c>
      <c r="AH262" s="11">
        <v>0</v>
      </c>
      <c r="AI262" s="12">
        <v>18954869.5</v>
      </c>
      <c r="AJ262" s="11">
        <v>18954869.5</v>
      </c>
      <c r="AK262" s="11">
        <v>0</v>
      </c>
      <c r="AL262" s="11">
        <v>0</v>
      </c>
      <c r="AM262" s="11">
        <v>18954869.5</v>
      </c>
      <c r="AN262" s="11">
        <v>18954869.5</v>
      </c>
      <c r="AO262" s="11">
        <v>0</v>
      </c>
      <c r="AP262" s="11">
        <v>18954869.5</v>
      </c>
      <c r="AQ262" s="11">
        <v>0</v>
      </c>
      <c r="AR262" s="11">
        <v>0</v>
      </c>
      <c r="AS262" t="s">
        <v>1768</v>
      </c>
      <c r="AT262" s="4" t="str">
        <f t="shared" si="51"/>
        <v>Impuesto al consumo de vinos, aperitivos y similares - Componente Ad Valorem de Producción Extranjer</v>
      </c>
      <c r="AU262" t="str">
        <f t="shared" si="52"/>
        <v>242Impuesto al consumo de vinos, aperitivos y similares - Componente Ad Valorem de Producción Extranjer273741783,9</v>
      </c>
      <c r="AV262" t="str">
        <f>+_xlfn.XLOOKUP(AU262,CRUCE!L:L,CRUCE!M:M)</f>
        <v>READY</v>
      </c>
      <c r="AW262" t="s">
        <v>1907</v>
      </c>
    </row>
    <row r="263" spans="1:49" hidden="1" x14ac:dyDescent="0.3">
      <c r="A263">
        <v>2024</v>
      </c>
      <c r="B263">
        <v>318</v>
      </c>
      <c r="C263">
        <v>110102105</v>
      </c>
      <c r="D263" s="5" t="s">
        <v>44</v>
      </c>
      <c r="E263" s="8" t="s">
        <v>1779</v>
      </c>
      <c r="F263">
        <v>110102105</v>
      </c>
      <c r="H263" s="8" t="s">
        <v>100</v>
      </c>
      <c r="I263" t="s">
        <v>643</v>
      </c>
      <c r="J263" s="17">
        <v>4294347000.0100002</v>
      </c>
      <c r="K263" s="11">
        <v>4294347000.0100002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4294347000.0100002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415335194</v>
      </c>
      <c r="Y263" s="11">
        <v>474000</v>
      </c>
      <c r="Z263" s="12">
        <v>414861194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415335194</v>
      </c>
      <c r="AH263" s="11">
        <v>474000</v>
      </c>
      <c r="AI263" s="12">
        <v>414861194</v>
      </c>
      <c r="AJ263" s="11">
        <v>414861194</v>
      </c>
      <c r="AK263" s="11">
        <v>474194</v>
      </c>
      <c r="AL263" s="11">
        <v>474194</v>
      </c>
      <c r="AM263" s="11">
        <v>414387000</v>
      </c>
      <c r="AN263" s="11">
        <v>414861000</v>
      </c>
      <c r="AO263" s="11">
        <v>474000</v>
      </c>
      <c r="AP263" s="11">
        <v>414861000</v>
      </c>
      <c r="AQ263" s="11">
        <v>0</v>
      </c>
      <c r="AR263" s="11">
        <v>474000</v>
      </c>
      <c r="AS263" t="s">
        <v>48</v>
      </c>
      <c r="AT263"/>
    </row>
    <row r="264" spans="1:49" hidden="1" x14ac:dyDescent="0.3">
      <c r="A264">
        <v>2024</v>
      </c>
      <c r="B264">
        <v>318</v>
      </c>
      <c r="C264">
        <v>11010210501</v>
      </c>
      <c r="D264" s="5">
        <v>243</v>
      </c>
      <c r="E264" s="8" t="s">
        <v>1780</v>
      </c>
      <c r="F264">
        <v>11010210501</v>
      </c>
      <c r="G264" t="s">
        <v>1908</v>
      </c>
      <c r="H264" s="8" t="s">
        <v>102</v>
      </c>
      <c r="I264" t="s">
        <v>643</v>
      </c>
      <c r="J264" s="17">
        <v>2107021355.5599999</v>
      </c>
      <c r="K264" s="11">
        <v>2107021355.5599999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2107021355.5599999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206956500</v>
      </c>
      <c r="Y264" s="11">
        <v>0</v>
      </c>
      <c r="Z264" s="12">
        <v>206956500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206956500</v>
      </c>
      <c r="AH264" s="11">
        <v>0</v>
      </c>
      <c r="AI264" s="12">
        <v>206956500</v>
      </c>
      <c r="AJ264" s="11">
        <v>206956500</v>
      </c>
      <c r="AK264" s="11">
        <v>0</v>
      </c>
      <c r="AL264" s="11">
        <v>0</v>
      </c>
      <c r="AM264" s="11">
        <v>206956500</v>
      </c>
      <c r="AN264" s="11">
        <v>206956500</v>
      </c>
      <c r="AO264" s="11">
        <v>0</v>
      </c>
      <c r="AP264" s="11">
        <v>206956500</v>
      </c>
      <c r="AQ264" s="11">
        <v>0</v>
      </c>
      <c r="AR264" s="11">
        <v>0</v>
      </c>
      <c r="AS264" t="s">
        <v>1781</v>
      </c>
      <c r="AT264" s="4" t="str">
        <f t="shared" ref="AT264:AT269" si="53">+H264</f>
        <v>Impuesto al consumo de cervezas, sifones, refajos y mezclas - Nacionales</v>
      </c>
      <c r="AU264" t="str">
        <f t="shared" ref="AU264:AU269" si="54">+D264&amp;AT264&amp;J264</f>
        <v>243Impuesto al consumo de cervezas, sifones, refajos y mezclas - Nacionales2107021355,56</v>
      </c>
      <c r="AV264" t="str">
        <f>+_xlfn.XLOOKUP(AU264,CRUCE!L:L,CRUCE!M:M)</f>
        <v>READY</v>
      </c>
      <c r="AW264" t="s">
        <v>1907</v>
      </c>
    </row>
    <row r="265" spans="1:49" hidden="1" x14ac:dyDescent="0.3">
      <c r="A265">
        <v>2024</v>
      </c>
      <c r="B265">
        <v>318</v>
      </c>
      <c r="C265">
        <v>11010210501</v>
      </c>
      <c r="D265" s="5">
        <v>244</v>
      </c>
      <c r="E265" s="8" t="s">
        <v>1782</v>
      </c>
      <c r="F265">
        <v>11010210501</v>
      </c>
      <c r="G265" t="s">
        <v>1908</v>
      </c>
      <c r="H265" s="8" t="s">
        <v>102</v>
      </c>
      <c r="I265" t="s">
        <v>643</v>
      </c>
      <c r="J265" s="17">
        <v>1053510677</v>
      </c>
      <c r="K265" s="11">
        <v>1053510677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1053510677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103478250</v>
      </c>
      <c r="Y265" s="11">
        <v>0</v>
      </c>
      <c r="Z265" s="12">
        <v>103478250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103478250</v>
      </c>
      <c r="AH265" s="11">
        <v>0</v>
      </c>
      <c r="AI265" s="12">
        <v>103478250</v>
      </c>
      <c r="AJ265" s="11">
        <v>103478250</v>
      </c>
      <c r="AK265" s="11">
        <v>0</v>
      </c>
      <c r="AL265" s="11">
        <v>0</v>
      </c>
      <c r="AM265" s="11">
        <v>103478250</v>
      </c>
      <c r="AN265" s="11">
        <v>103478250</v>
      </c>
      <c r="AO265" s="11">
        <v>0</v>
      </c>
      <c r="AP265" s="11">
        <v>103478250</v>
      </c>
      <c r="AQ265" s="11">
        <v>0</v>
      </c>
      <c r="AR265" s="11">
        <v>0</v>
      </c>
      <c r="AS265" t="s">
        <v>1783</v>
      </c>
      <c r="AT265" s="4" t="str">
        <f t="shared" si="53"/>
        <v>Impuesto al consumo de cervezas, sifones, refajos y mezclas - Nacionales</v>
      </c>
      <c r="AU265" t="str">
        <f t="shared" si="54"/>
        <v>244Impuesto al consumo de cervezas, sifones, refajos y mezclas - Nacionales1053510677</v>
      </c>
      <c r="AV265" t="str">
        <f>+_xlfn.XLOOKUP(AU265,CRUCE!L:L,CRUCE!M:M)</f>
        <v>READY</v>
      </c>
      <c r="AW265" t="s">
        <v>1907</v>
      </c>
    </row>
    <row r="266" spans="1:49" hidden="1" x14ac:dyDescent="0.3">
      <c r="A266">
        <v>2024</v>
      </c>
      <c r="B266">
        <v>318</v>
      </c>
      <c r="C266">
        <v>11010210501</v>
      </c>
      <c r="D266" s="5">
        <v>245</v>
      </c>
      <c r="E266" s="8" t="s">
        <v>1784</v>
      </c>
      <c r="F266">
        <v>11010210501</v>
      </c>
      <c r="G266" t="s">
        <v>1908</v>
      </c>
      <c r="H266" s="8" t="s">
        <v>102</v>
      </c>
      <c r="I266" t="s">
        <v>643</v>
      </c>
      <c r="J266" s="17">
        <v>1053510677.78</v>
      </c>
      <c r="K266" s="11">
        <v>1053510677.78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1053510677.78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103478250</v>
      </c>
      <c r="Y266" s="11">
        <v>0</v>
      </c>
      <c r="Z266" s="12">
        <v>103478250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103478250</v>
      </c>
      <c r="AH266" s="11">
        <v>0</v>
      </c>
      <c r="AI266" s="12">
        <v>103478250</v>
      </c>
      <c r="AJ266" s="11">
        <v>103478250</v>
      </c>
      <c r="AK266" s="11">
        <v>0</v>
      </c>
      <c r="AL266" s="11">
        <v>0</v>
      </c>
      <c r="AM266" s="11">
        <v>103478250</v>
      </c>
      <c r="AN266" s="11">
        <v>103478250</v>
      </c>
      <c r="AO266" s="11">
        <v>0</v>
      </c>
      <c r="AP266" s="11">
        <v>103478250</v>
      </c>
      <c r="AQ266" s="11">
        <v>0</v>
      </c>
      <c r="AR266" s="11">
        <v>0</v>
      </c>
      <c r="AS266" t="s">
        <v>1785</v>
      </c>
      <c r="AT266" s="4" t="str">
        <f t="shared" si="53"/>
        <v>Impuesto al consumo de cervezas, sifones, refajos y mezclas - Nacionales</v>
      </c>
      <c r="AU266" t="str">
        <f t="shared" si="54"/>
        <v>245Impuesto al consumo de cervezas, sifones, refajos y mezclas - Nacionales1053510677,78</v>
      </c>
      <c r="AV266" t="str">
        <f>+_xlfn.XLOOKUP(AU266,CRUCE!L:L,CRUCE!M:M)</f>
        <v>READY</v>
      </c>
      <c r="AW266" t="s">
        <v>1907</v>
      </c>
    </row>
    <row r="267" spans="1:49" hidden="1" x14ac:dyDescent="0.3">
      <c r="A267">
        <v>2024</v>
      </c>
      <c r="B267">
        <v>318</v>
      </c>
      <c r="C267">
        <v>11010210502</v>
      </c>
      <c r="D267" s="5">
        <v>243</v>
      </c>
      <c r="E267" s="8" t="s">
        <v>1786</v>
      </c>
      <c r="F267">
        <v>11010210502</v>
      </c>
      <c r="G267" t="s">
        <v>1908</v>
      </c>
      <c r="H267" s="8" t="s">
        <v>104</v>
      </c>
      <c r="I267" t="s">
        <v>643</v>
      </c>
      <c r="J267" s="17">
        <v>40152144.450000003</v>
      </c>
      <c r="K267" s="11">
        <v>40152144.450000003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40152144.450000003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711194</v>
      </c>
      <c r="Y267" s="11">
        <v>237000</v>
      </c>
      <c r="Z267" s="12">
        <v>474194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711194</v>
      </c>
      <c r="AH267" s="11">
        <v>237000</v>
      </c>
      <c r="AI267" s="12">
        <v>474194</v>
      </c>
      <c r="AJ267" s="11">
        <v>474194</v>
      </c>
      <c r="AK267" s="11">
        <v>474194</v>
      </c>
      <c r="AL267" s="11">
        <v>474194</v>
      </c>
      <c r="AM267" s="11">
        <v>0</v>
      </c>
      <c r="AN267" s="11">
        <v>237000</v>
      </c>
      <c r="AO267" s="11">
        <v>237000</v>
      </c>
      <c r="AP267" s="11">
        <v>237000</v>
      </c>
      <c r="AQ267" s="11">
        <v>0</v>
      </c>
      <c r="AR267" s="11">
        <v>237000</v>
      </c>
      <c r="AS267" t="s">
        <v>1781</v>
      </c>
      <c r="AT267" s="4" t="str">
        <f t="shared" si="53"/>
        <v>Impuesto al consumo de cervezas, sifones, refajos y mezclas - Extranjeras</v>
      </c>
      <c r="AU267" t="str">
        <f t="shared" si="54"/>
        <v>243Impuesto al consumo de cervezas, sifones, refajos y mezclas - Extranjeras40152144,45</v>
      </c>
      <c r="AV267" t="str">
        <f>+_xlfn.XLOOKUP(AU267,CRUCE!L:L,CRUCE!M:M)</f>
        <v>READY</v>
      </c>
      <c r="AW267" t="s">
        <v>1907</v>
      </c>
    </row>
    <row r="268" spans="1:49" hidden="1" x14ac:dyDescent="0.3">
      <c r="A268">
        <v>2024</v>
      </c>
      <c r="B268">
        <v>318</v>
      </c>
      <c r="C268">
        <v>11010210502</v>
      </c>
      <c r="D268" s="5">
        <v>244</v>
      </c>
      <c r="E268" s="8" t="s">
        <v>1787</v>
      </c>
      <c r="F268">
        <v>11010210502</v>
      </c>
      <c r="G268" t="s">
        <v>1908</v>
      </c>
      <c r="H268" s="8" t="s">
        <v>104</v>
      </c>
      <c r="I268" t="s">
        <v>643</v>
      </c>
      <c r="J268" s="17">
        <v>20076073</v>
      </c>
      <c r="K268" s="11">
        <v>20076073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20076073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355500</v>
      </c>
      <c r="Y268" s="11">
        <v>118500</v>
      </c>
      <c r="Z268" s="12">
        <v>237000</v>
      </c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11">
        <v>0</v>
      </c>
      <c r="AG268" s="11">
        <v>355500</v>
      </c>
      <c r="AH268" s="11">
        <v>118500</v>
      </c>
      <c r="AI268" s="12">
        <v>237000</v>
      </c>
      <c r="AJ268" s="11">
        <v>237000</v>
      </c>
      <c r="AK268" s="11">
        <v>0</v>
      </c>
      <c r="AL268" s="11">
        <v>0</v>
      </c>
      <c r="AM268" s="11">
        <v>237000</v>
      </c>
      <c r="AN268" s="11">
        <v>355500</v>
      </c>
      <c r="AO268" s="11">
        <v>118500</v>
      </c>
      <c r="AP268" s="11">
        <v>355500</v>
      </c>
      <c r="AQ268" s="11">
        <v>0</v>
      </c>
      <c r="AR268" s="11">
        <v>118500</v>
      </c>
      <c r="AS268" t="s">
        <v>1783</v>
      </c>
      <c r="AT268" s="4" t="str">
        <f t="shared" si="53"/>
        <v>Impuesto al consumo de cervezas, sifones, refajos y mezclas - Extranjeras</v>
      </c>
      <c r="AU268" t="str">
        <f t="shared" si="54"/>
        <v>244Impuesto al consumo de cervezas, sifones, refajos y mezclas - Extranjeras20076073</v>
      </c>
      <c r="AV268" t="str">
        <f>+_xlfn.XLOOKUP(AU268,CRUCE!L:L,CRUCE!M:M)</f>
        <v>READY</v>
      </c>
      <c r="AW268" t="s">
        <v>1907</v>
      </c>
    </row>
    <row r="269" spans="1:49" hidden="1" x14ac:dyDescent="0.3">
      <c r="A269">
        <v>2024</v>
      </c>
      <c r="B269">
        <v>318</v>
      </c>
      <c r="C269">
        <v>11010210502</v>
      </c>
      <c r="D269" s="5">
        <v>245</v>
      </c>
      <c r="E269" s="8" t="s">
        <v>1788</v>
      </c>
      <c r="F269">
        <v>11010210502</v>
      </c>
      <c r="G269" t="s">
        <v>1908</v>
      </c>
      <c r="H269" s="8" t="s">
        <v>104</v>
      </c>
      <c r="I269" t="s">
        <v>643</v>
      </c>
      <c r="J269" s="17">
        <v>20076072.219999999</v>
      </c>
      <c r="K269" s="11">
        <v>20076072.219999999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20076072.219999999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355500</v>
      </c>
      <c r="Y269" s="11">
        <v>118500</v>
      </c>
      <c r="Z269" s="12">
        <v>237000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355500</v>
      </c>
      <c r="AH269" s="11">
        <v>118500</v>
      </c>
      <c r="AI269" s="12">
        <v>237000</v>
      </c>
      <c r="AJ269" s="11">
        <v>237000</v>
      </c>
      <c r="AK269" s="11">
        <v>0</v>
      </c>
      <c r="AL269" s="11">
        <v>0</v>
      </c>
      <c r="AM269" s="11">
        <v>237000</v>
      </c>
      <c r="AN269" s="11">
        <v>355500</v>
      </c>
      <c r="AO269" s="11">
        <v>118500</v>
      </c>
      <c r="AP269" s="11">
        <v>355500</v>
      </c>
      <c r="AQ269" s="11">
        <v>0</v>
      </c>
      <c r="AR269" s="11">
        <v>118500</v>
      </c>
      <c r="AS269" t="s">
        <v>1785</v>
      </c>
      <c r="AT269" s="4" t="str">
        <f t="shared" si="53"/>
        <v>Impuesto al consumo de cervezas, sifones, refajos y mezclas - Extranjeras</v>
      </c>
      <c r="AU269" t="str">
        <f t="shared" si="54"/>
        <v>245Impuesto al consumo de cervezas, sifones, refajos y mezclas - Extranjeras20076072,22</v>
      </c>
      <c r="AV269" t="str">
        <f>+_xlfn.XLOOKUP(AU269,CRUCE!L:L,CRUCE!M:M)</f>
        <v>READY</v>
      </c>
      <c r="AW269" t="s">
        <v>1907</v>
      </c>
    </row>
    <row r="270" spans="1:49" hidden="1" x14ac:dyDescent="0.3">
      <c r="A270">
        <v>2024</v>
      </c>
      <c r="B270">
        <v>318</v>
      </c>
      <c r="C270">
        <v>110102106</v>
      </c>
      <c r="D270" s="5" t="s">
        <v>44</v>
      </c>
      <c r="E270" s="8" t="s">
        <v>1789</v>
      </c>
      <c r="F270">
        <v>110102106</v>
      </c>
      <c r="H270" s="8" t="s">
        <v>106</v>
      </c>
      <c r="I270" t="s">
        <v>643</v>
      </c>
      <c r="J270" s="17">
        <v>20561793999.990002</v>
      </c>
      <c r="K270" s="11">
        <v>20561793999.990002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20561793999.990002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1780538694</v>
      </c>
      <c r="Y270" s="11">
        <v>0</v>
      </c>
      <c r="Z270" s="12">
        <v>1780538694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1780538694</v>
      </c>
      <c r="AH270" s="11">
        <v>0</v>
      </c>
      <c r="AI270" s="12">
        <v>1780538694</v>
      </c>
      <c r="AJ270" s="11">
        <v>1780538694</v>
      </c>
      <c r="AK270" s="11">
        <v>467624871</v>
      </c>
      <c r="AL270" s="11">
        <v>467624871</v>
      </c>
      <c r="AM270" s="11">
        <v>1312913823</v>
      </c>
      <c r="AN270" s="11">
        <v>1312913823</v>
      </c>
      <c r="AO270" s="11">
        <v>0</v>
      </c>
      <c r="AP270" s="11">
        <v>1312913823</v>
      </c>
      <c r="AQ270" s="11">
        <v>0</v>
      </c>
      <c r="AR270" s="11">
        <v>0</v>
      </c>
      <c r="AS270" t="s">
        <v>48</v>
      </c>
      <c r="AT270"/>
    </row>
    <row r="271" spans="1:49" hidden="1" x14ac:dyDescent="0.3">
      <c r="A271">
        <v>2024</v>
      </c>
      <c r="B271">
        <v>318</v>
      </c>
      <c r="C271">
        <v>11010210601</v>
      </c>
      <c r="D271" s="5" t="s">
        <v>44</v>
      </c>
      <c r="E271" s="8" t="s">
        <v>1790</v>
      </c>
      <c r="F271">
        <v>11010210601</v>
      </c>
      <c r="H271" s="8" t="s">
        <v>108</v>
      </c>
      <c r="I271" t="s">
        <v>643</v>
      </c>
      <c r="J271" s="17">
        <v>15500000000</v>
      </c>
      <c r="K271" s="11">
        <v>15500000000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15500000000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2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2">
        <v>0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t="s">
        <v>48</v>
      </c>
      <c r="AT271"/>
    </row>
    <row r="272" spans="1:49" hidden="1" x14ac:dyDescent="0.3">
      <c r="A272">
        <v>2024</v>
      </c>
      <c r="B272">
        <v>318</v>
      </c>
      <c r="C272">
        <v>1101021060101</v>
      </c>
      <c r="D272" s="5">
        <v>252</v>
      </c>
      <c r="E272" s="8" t="s">
        <v>1791</v>
      </c>
      <c r="F272">
        <v>1101021060101</v>
      </c>
      <c r="G272" t="s">
        <v>1908</v>
      </c>
      <c r="H272" s="8" t="s">
        <v>1792</v>
      </c>
      <c r="I272" t="s">
        <v>643</v>
      </c>
      <c r="J272" s="17">
        <v>15500000000</v>
      </c>
      <c r="K272" s="11">
        <v>15500000000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15500000000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2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2">
        <v>0</v>
      </c>
      <c r="AJ272" s="11">
        <v>0</v>
      </c>
      <c r="AK272" s="11">
        <v>0</v>
      </c>
      <c r="AL272" s="11">
        <v>0</v>
      </c>
      <c r="AM272" s="11">
        <v>0</v>
      </c>
      <c r="AN272" s="11">
        <v>0</v>
      </c>
      <c r="AO272" s="11">
        <v>0</v>
      </c>
      <c r="AP272" s="11">
        <v>0</v>
      </c>
      <c r="AQ272" s="11">
        <v>0</v>
      </c>
      <c r="AR272" s="11">
        <v>0</v>
      </c>
      <c r="AS272" t="s">
        <v>1793</v>
      </c>
      <c r="AT272" s="4" t="str">
        <f>+H272</f>
        <v>Componente específico del impuesto al consumo de cigarrillos y tabaco - Nacionales</v>
      </c>
      <c r="AU272" t="str">
        <f>+D272&amp;AT272&amp;J272</f>
        <v>252Componente específico del impuesto al consumo de cigarrillos y tabaco - Nacionales15500000000</v>
      </c>
      <c r="AV272" t="str">
        <f>+_xlfn.XLOOKUP(AU272,CRUCE!L:L,CRUCE!M:M)</f>
        <v>READY</v>
      </c>
      <c r="AW272" t="s">
        <v>1907</v>
      </c>
    </row>
    <row r="273" spans="1:49" hidden="1" x14ac:dyDescent="0.3">
      <c r="A273">
        <v>2024</v>
      </c>
      <c r="B273">
        <v>318</v>
      </c>
      <c r="C273">
        <v>11010210602</v>
      </c>
      <c r="D273" s="5" t="s">
        <v>44</v>
      </c>
      <c r="E273" s="8" t="s">
        <v>1794</v>
      </c>
      <c r="F273">
        <v>11010210602</v>
      </c>
      <c r="H273" s="8" t="s">
        <v>708</v>
      </c>
      <c r="I273" t="s">
        <v>643</v>
      </c>
      <c r="J273" s="17">
        <v>5061793999.9899998</v>
      </c>
      <c r="K273" s="11">
        <v>5061793999.9899998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5061793999.9899998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1780538694</v>
      </c>
      <c r="Y273" s="11">
        <v>0</v>
      </c>
      <c r="Z273" s="12">
        <v>1780538694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1780538694</v>
      </c>
      <c r="AH273" s="11">
        <v>0</v>
      </c>
      <c r="AI273" s="12">
        <v>1780538694</v>
      </c>
      <c r="AJ273" s="11">
        <v>1780538694</v>
      </c>
      <c r="AK273" s="11">
        <v>467624871</v>
      </c>
      <c r="AL273" s="11">
        <v>467624871</v>
      </c>
      <c r="AM273" s="11">
        <v>1312913823</v>
      </c>
      <c r="AN273" s="11">
        <v>1312913823</v>
      </c>
      <c r="AO273" s="11">
        <v>0</v>
      </c>
      <c r="AP273" s="11">
        <v>1312913823</v>
      </c>
      <c r="AQ273" s="11">
        <v>0</v>
      </c>
      <c r="AR273" s="11">
        <v>0</v>
      </c>
      <c r="AS273" t="s">
        <v>48</v>
      </c>
      <c r="AT273"/>
    </row>
    <row r="274" spans="1:49" hidden="1" x14ac:dyDescent="0.3">
      <c r="A274">
        <v>2024</v>
      </c>
      <c r="B274">
        <v>318</v>
      </c>
      <c r="C274">
        <v>1101021060202</v>
      </c>
      <c r="D274" s="5">
        <v>252</v>
      </c>
      <c r="E274" s="8" t="s">
        <v>1795</v>
      </c>
      <c r="F274">
        <v>1101021060202</v>
      </c>
      <c r="G274" t="s">
        <v>1908</v>
      </c>
      <c r="H274" s="8" t="s">
        <v>710</v>
      </c>
      <c r="I274" t="s">
        <v>643</v>
      </c>
      <c r="J274" s="17">
        <v>5061793999.9899998</v>
      </c>
      <c r="K274" s="11">
        <v>5061793999.9899998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5061793999.9899998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1780538694</v>
      </c>
      <c r="Y274" s="11">
        <v>0</v>
      </c>
      <c r="Z274" s="12">
        <v>1780538694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1780538694</v>
      </c>
      <c r="AH274" s="11">
        <v>0</v>
      </c>
      <c r="AI274" s="12">
        <v>1780538694</v>
      </c>
      <c r="AJ274" s="11">
        <v>1780538694</v>
      </c>
      <c r="AK274" s="11">
        <v>467624871</v>
      </c>
      <c r="AL274" s="11">
        <v>467624871</v>
      </c>
      <c r="AM274" s="11">
        <v>1312913823</v>
      </c>
      <c r="AN274" s="11">
        <v>1312913823</v>
      </c>
      <c r="AO274" s="11">
        <v>0</v>
      </c>
      <c r="AP274" s="11">
        <v>1312913823</v>
      </c>
      <c r="AQ274" s="11">
        <v>0</v>
      </c>
      <c r="AR274" s="11">
        <v>0</v>
      </c>
      <c r="AS274" t="s">
        <v>1793</v>
      </c>
      <c r="AT274" s="4" t="str">
        <f>+H274</f>
        <v>Componente ad valorem del impuesto al consumo de cigarrillos y tabaco elaborado - Extranjeros</v>
      </c>
      <c r="AU274" t="str">
        <f>+D274&amp;AT274&amp;J274</f>
        <v>252Componente ad valorem del impuesto al consumo de cigarrillos y tabaco elaborado - Extranjeros5061793999,99</v>
      </c>
      <c r="AV274" t="str">
        <f>+_xlfn.XLOOKUP(AU274,CRUCE!L:L,CRUCE!M:M)</f>
        <v>READY</v>
      </c>
      <c r="AW274" t="s">
        <v>1907</v>
      </c>
    </row>
    <row r="275" spans="1:49" hidden="1" x14ac:dyDescent="0.3">
      <c r="A275">
        <v>2024</v>
      </c>
      <c r="B275">
        <v>318</v>
      </c>
      <c r="C275">
        <v>1102</v>
      </c>
      <c r="D275" s="5" t="s">
        <v>44</v>
      </c>
      <c r="E275" s="8" t="s">
        <v>1796</v>
      </c>
      <c r="F275">
        <v>1102</v>
      </c>
      <c r="H275" s="8" t="s">
        <v>145</v>
      </c>
      <c r="I275" t="s">
        <v>643</v>
      </c>
      <c r="J275" s="17">
        <v>35833184000</v>
      </c>
      <c r="K275" s="11">
        <v>35833184000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35833184000</v>
      </c>
      <c r="R275" s="11">
        <v>10428183.6</v>
      </c>
      <c r="S275" s="11">
        <v>0</v>
      </c>
      <c r="T275" s="11">
        <v>10428183.6</v>
      </c>
      <c r="U275" s="11">
        <v>0</v>
      </c>
      <c r="V275" s="11">
        <v>0</v>
      </c>
      <c r="W275" s="11">
        <v>0</v>
      </c>
      <c r="X275" s="11">
        <v>4265424210.5999999</v>
      </c>
      <c r="Y275" s="11">
        <v>2063759</v>
      </c>
      <c r="Z275" s="12">
        <v>4263360451.5999999</v>
      </c>
      <c r="AA275" s="11">
        <v>10428183.6</v>
      </c>
      <c r="AB275" s="11">
        <v>0</v>
      </c>
      <c r="AC275" s="11">
        <v>10428183.6</v>
      </c>
      <c r="AD275" s="11">
        <v>0</v>
      </c>
      <c r="AE275" s="11">
        <v>0</v>
      </c>
      <c r="AF275" s="11">
        <v>0</v>
      </c>
      <c r="AG275" s="11">
        <v>4265424210.5999999</v>
      </c>
      <c r="AH275" s="11">
        <v>2063759</v>
      </c>
      <c r="AI275" s="12">
        <v>4263360451.5999999</v>
      </c>
      <c r="AJ275" s="11">
        <v>4263360451.5999999</v>
      </c>
      <c r="AK275" s="11">
        <v>915292989</v>
      </c>
      <c r="AL275" s="11">
        <v>915292989</v>
      </c>
      <c r="AM275" s="11">
        <v>3348067462.5999999</v>
      </c>
      <c r="AN275" s="11">
        <v>3350131221.5999999</v>
      </c>
      <c r="AO275" s="11">
        <v>2063759</v>
      </c>
      <c r="AP275" s="11">
        <v>3350131221.5999999</v>
      </c>
      <c r="AQ275" s="11">
        <v>0</v>
      </c>
      <c r="AR275" s="11">
        <v>2063759</v>
      </c>
      <c r="AS275" t="s">
        <v>48</v>
      </c>
      <c r="AT275"/>
    </row>
    <row r="276" spans="1:49" hidden="1" x14ac:dyDescent="0.3">
      <c r="A276">
        <v>2024</v>
      </c>
      <c r="B276">
        <v>318</v>
      </c>
      <c r="C276">
        <v>110202</v>
      </c>
      <c r="D276" s="5" t="s">
        <v>44</v>
      </c>
      <c r="E276" s="8" t="s">
        <v>1797</v>
      </c>
      <c r="F276">
        <v>110202</v>
      </c>
      <c r="H276" s="8" t="s">
        <v>176</v>
      </c>
      <c r="I276" t="s">
        <v>643</v>
      </c>
      <c r="J276" s="17">
        <v>28050000</v>
      </c>
      <c r="K276" s="11">
        <v>28050000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28050000</v>
      </c>
      <c r="R276" s="11">
        <v>4992000</v>
      </c>
      <c r="S276" s="11">
        <v>0</v>
      </c>
      <c r="T276" s="11">
        <v>4992000</v>
      </c>
      <c r="U276" s="11">
        <v>0</v>
      </c>
      <c r="V276" s="11">
        <v>0</v>
      </c>
      <c r="W276" s="11">
        <v>0</v>
      </c>
      <c r="X276" s="11">
        <v>4992000</v>
      </c>
      <c r="Y276" s="11">
        <v>0</v>
      </c>
      <c r="Z276" s="12">
        <v>4992000</v>
      </c>
      <c r="AA276" s="11">
        <v>4992000</v>
      </c>
      <c r="AB276" s="11">
        <v>0</v>
      </c>
      <c r="AC276" s="11">
        <v>4992000</v>
      </c>
      <c r="AD276" s="11">
        <v>0</v>
      </c>
      <c r="AE276" s="11">
        <v>0</v>
      </c>
      <c r="AF276" s="11">
        <v>0</v>
      </c>
      <c r="AG276" s="11">
        <v>4992000</v>
      </c>
      <c r="AH276" s="11">
        <v>0</v>
      </c>
      <c r="AI276" s="12">
        <v>4992000</v>
      </c>
      <c r="AJ276" s="11">
        <v>4992000</v>
      </c>
      <c r="AK276" s="11">
        <v>0</v>
      </c>
      <c r="AL276" s="11">
        <v>0</v>
      </c>
      <c r="AM276" s="11">
        <v>4992000</v>
      </c>
      <c r="AN276" s="11">
        <v>4992000</v>
      </c>
      <c r="AO276" s="11">
        <v>0</v>
      </c>
      <c r="AP276" s="11">
        <v>4992000</v>
      </c>
      <c r="AQ276" s="11">
        <v>0</v>
      </c>
      <c r="AR276" s="11">
        <v>0</v>
      </c>
      <c r="AS276" t="s">
        <v>48</v>
      </c>
      <c r="AT276"/>
    </row>
    <row r="277" spans="1:49" hidden="1" x14ac:dyDescent="0.3">
      <c r="A277">
        <v>2024</v>
      </c>
      <c r="B277">
        <v>318</v>
      </c>
      <c r="C277">
        <v>110202101</v>
      </c>
      <c r="D277" s="5" t="s">
        <v>44</v>
      </c>
      <c r="E277" s="8" t="s">
        <v>1798</v>
      </c>
      <c r="F277">
        <v>110202101</v>
      </c>
      <c r="H277" s="8" t="s">
        <v>178</v>
      </c>
      <c r="I277" t="s">
        <v>643</v>
      </c>
      <c r="J277" s="17">
        <v>28050000</v>
      </c>
      <c r="K277" s="11">
        <v>28050000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28050000</v>
      </c>
      <c r="R277" s="11">
        <v>4992000</v>
      </c>
      <c r="S277" s="11">
        <v>0</v>
      </c>
      <c r="T277" s="11">
        <v>4992000</v>
      </c>
      <c r="U277" s="11">
        <v>0</v>
      </c>
      <c r="V277" s="11">
        <v>0</v>
      </c>
      <c r="W277" s="11">
        <v>0</v>
      </c>
      <c r="X277" s="11">
        <v>4992000</v>
      </c>
      <c r="Y277" s="11">
        <v>0</v>
      </c>
      <c r="Z277" s="12">
        <v>4992000</v>
      </c>
      <c r="AA277" s="11">
        <v>4992000</v>
      </c>
      <c r="AB277" s="11">
        <v>0</v>
      </c>
      <c r="AC277" s="11">
        <v>4992000</v>
      </c>
      <c r="AD277" s="11">
        <v>0</v>
      </c>
      <c r="AE277" s="11">
        <v>0</v>
      </c>
      <c r="AF277" s="11">
        <v>0</v>
      </c>
      <c r="AG277" s="11">
        <v>4992000</v>
      </c>
      <c r="AH277" s="11">
        <v>0</v>
      </c>
      <c r="AI277" s="12">
        <v>4992000</v>
      </c>
      <c r="AJ277" s="11">
        <v>4992000</v>
      </c>
      <c r="AK277" s="11">
        <v>0</v>
      </c>
      <c r="AL277" s="11">
        <v>0</v>
      </c>
      <c r="AM277" s="11">
        <v>4992000</v>
      </c>
      <c r="AN277" s="11">
        <v>4992000</v>
      </c>
      <c r="AO277" s="11">
        <v>0</v>
      </c>
      <c r="AP277" s="11">
        <v>4992000</v>
      </c>
      <c r="AQ277" s="11">
        <v>0</v>
      </c>
      <c r="AR277" s="11">
        <v>0</v>
      </c>
      <c r="AS277" t="s">
        <v>48</v>
      </c>
      <c r="AT277"/>
    </row>
    <row r="278" spans="1:49" hidden="1" x14ac:dyDescent="0.3">
      <c r="A278">
        <v>2024</v>
      </c>
      <c r="B278">
        <v>318</v>
      </c>
      <c r="C278">
        <v>11020210101</v>
      </c>
      <c r="D278" s="5">
        <v>63</v>
      </c>
      <c r="E278" s="8" t="s">
        <v>1799</v>
      </c>
      <c r="F278">
        <v>11020210101</v>
      </c>
      <c r="G278" t="s">
        <v>1908</v>
      </c>
      <c r="H278" s="8" t="s">
        <v>715</v>
      </c>
      <c r="I278" t="s">
        <v>643</v>
      </c>
      <c r="J278" s="17">
        <v>23970000</v>
      </c>
      <c r="K278" s="11">
        <v>23970000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23970000</v>
      </c>
      <c r="R278" s="11">
        <v>4644000</v>
      </c>
      <c r="S278" s="11">
        <v>0</v>
      </c>
      <c r="T278" s="11">
        <v>4644000</v>
      </c>
      <c r="U278" s="11">
        <v>0</v>
      </c>
      <c r="V278" s="11">
        <v>0</v>
      </c>
      <c r="W278" s="11">
        <v>0</v>
      </c>
      <c r="X278" s="11">
        <v>4644000</v>
      </c>
      <c r="Y278" s="11">
        <v>0</v>
      </c>
      <c r="Z278" s="12">
        <v>4644000</v>
      </c>
      <c r="AA278" s="11">
        <v>4644000</v>
      </c>
      <c r="AB278" s="11">
        <v>0</v>
      </c>
      <c r="AC278" s="11">
        <v>4644000</v>
      </c>
      <c r="AD278" s="11">
        <v>0</v>
      </c>
      <c r="AE278" s="11">
        <v>0</v>
      </c>
      <c r="AF278" s="11">
        <v>0</v>
      </c>
      <c r="AG278" s="11">
        <v>4644000</v>
      </c>
      <c r="AH278" s="11">
        <v>0</v>
      </c>
      <c r="AI278" s="12">
        <v>4644000</v>
      </c>
      <c r="AJ278" s="11">
        <v>4644000</v>
      </c>
      <c r="AK278" s="11">
        <v>0</v>
      </c>
      <c r="AL278" s="11">
        <v>0</v>
      </c>
      <c r="AM278" s="11">
        <v>4644000</v>
      </c>
      <c r="AN278" s="11">
        <v>4644000</v>
      </c>
      <c r="AO278" s="11">
        <v>0</v>
      </c>
      <c r="AP278" s="11">
        <v>4644000</v>
      </c>
      <c r="AQ278" s="11">
        <v>0</v>
      </c>
      <c r="AR278" s="11">
        <v>0</v>
      </c>
      <c r="AS278" t="s">
        <v>716</v>
      </c>
      <c r="AT278" s="4" t="str">
        <f t="shared" ref="AT278:AT279" si="55">+H278</f>
        <v>Fondo De Estupefacientes Venta De Recetarios</v>
      </c>
      <c r="AU278" t="str">
        <f t="shared" ref="AU278:AU279" si="56">+D278&amp;AT278&amp;J278</f>
        <v>63Fondo De Estupefacientes Venta De Recetarios23970000</v>
      </c>
      <c r="AV278" t="str">
        <f>+_xlfn.XLOOKUP(AU278,CRUCE!L:L,CRUCE!M:M)</f>
        <v>READY</v>
      </c>
      <c r="AW278" t="s">
        <v>1907</v>
      </c>
    </row>
    <row r="279" spans="1:49" hidden="1" x14ac:dyDescent="0.3">
      <c r="A279">
        <v>2024</v>
      </c>
      <c r="B279">
        <v>318</v>
      </c>
      <c r="C279">
        <v>11020210102</v>
      </c>
      <c r="D279" s="5">
        <v>63</v>
      </c>
      <c r="E279" s="8" t="s">
        <v>1800</v>
      </c>
      <c r="F279">
        <v>11020210102</v>
      </c>
      <c r="G279" t="s">
        <v>1908</v>
      </c>
      <c r="H279" s="8" t="s">
        <v>718</v>
      </c>
      <c r="I279" t="s">
        <v>643</v>
      </c>
      <c r="J279" s="17">
        <v>4080000</v>
      </c>
      <c r="K279" s="11">
        <v>4080000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4080000</v>
      </c>
      <c r="R279" s="11">
        <v>348000</v>
      </c>
      <c r="S279" s="11">
        <v>0</v>
      </c>
      <c r="T279" s="11">
        <v>348000</v>
      </c>
      <c r="U279" s="11">
        <v>0</v>
      </c>
      <c r="V279" s="11">
        <v>0</v>
      </c>
      <c r="W279" s="11">
        <v>0</v>
      </c>
      <c r="X279" s="11">
        <v>348000</v>
      </c>
      <c r="Y279" s="11">
        <v>0</v>
      </c>
      <c r="Z279" s="12">
        <v>348000</v>
      </c>
      <c r="AA279" s="11">
        <v>348000</v>
      </c>
      <c r="AB279" s="11">
        <v>0</v>
      </c>
      <c r="AC279" s="11">
        <v>348000</v>
      </c>
      <c r="AD279" s="11">
        <v>0</v>
      </c>
      <c r="AE279" s="11">
        <v>0</v>
      </c>
      <c r="AF279" s="11">
        <v>0</v>
      </c>
      <c r="AG279" s="11">
        <v>348000</v>
      </c>
      <c r="AH279" s="11">
        <v>0</v>
      </c>
      <c r="AI279" s="12">
        <v>348000</v>
      </c>
      <c r="AJ279" s="11">
        <v>348000</v>
      </c>
      <c r="AK279" s="11">
        <v>0</v>
      </c>
      <c r="AL279" s="11">
        <v>0</v>
      </c>
      <c r="AM279" s="11">
        <v>348000</v>
      </c>
      <c r="AN279" s="11">
        <v>348000</v>
      </c>
      <c r="AO279" s="11">
        <v>0</v>
      </c>
      <c r="AP279" s="11">
        <v>348000</v>
      </c>
      <c r="AQ279" s="11">
        <v>0</v>
      </c>
      <c r="AR279" s="11">
        <v>0</v>
      </c>
      <c r="AS279" t="s">
        <v>716</v>
      </c>
      <c r="AT279" s="4" t="str">
        <f t="shared" si="55"/>
        <v>Fondo Rotatorio De Estupefacientes Resoluciones Manejo De Medicamentos</v>
      </c>
      <c r="AU279" t="str">
        <f t="shared" si="56"/>
        <v>63Fondo Rotatorio De Estupefacientes Resoluciones Manejo De Medicamentos4080000</v>
      </c>
      <c r="AV279" t="str">
        <f>+_xlfn.XLOOKUP(AU279,CRUCE!L:L,CRUCE!M:M)</f>
        <v>READY</v>
      </c>
      <c r="AW279" t="s">
        <v>1907</v>
      </c>
    </row>
    <row r="280" spans="1:49" hidden="1" x14ac:dyDescent="0.3">
      <c r="A280">
        <v>2024</v>
      </c>
      <c r="B280">
        <v>318</v>
      </c>
      <c r="C280">
        <v>110205</v>
      </c>
      <c r="D280" s="5" t="s">
        <v>44</v>
      </c>
      <c r="E280" s="8" t="s">
        <v>1801</v>
      </c>
      <c r="F280">
        <v>110205</v>
      </c>
      <c r="H280" s="8" t="s">
        <v>222</v>
      </c>
      <c r="I280" t="s">
        <v>643</v>
      </c>
      <c r="J280" s="17">
        <v>271950000</v>
      </c>
      <c r="K280" s="11">
        <v>271950000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271950000</v>
      </c>
      <c r="R280" s="11">
        <v>5436183.5999999996</v>
      </c>
      <c r="S280" s="11">
        <v>0</v>
      </c>
      <c r="T280" s="11">
        <v>5436183.5999999996</v>
      </c>
      <c r="U280" s="11">
        <v>0</v>
      </c>
      <c r="V280" s="11">
        <v>0</v>
      </c>
      <c r="W280" s="11">
        <v>0</v>
      </c>
      <c r="X280" s="11">
        <v>5388663.5999999996</v>
      </c>
      <c r="Y280" s="11">
        <v>0</v>
      </c>
      <c r="Z280" s="12">
        <v>5388663.5999999996</v>
      </c>
      <c r="AA280" s="11">
        <v>5436183.5999999996</v>
      </c>
      <c r="AB280" s="11">
        <v>0</v>
      </c>
      <c r="AC280" s="11">
        <v>5436183.5999999996</v>
      </c>
      <c r="AD280" s="11">
        <v>0</v>
      </c>
      <c r="AE280" s="11">
        <v>0</v>
      </c>
      <c r="AF280" s="11">
        <v>0</v>
      </c>
      <c r="AG280" s="11">
        <v>5388663.5999999996</v>
      </c>
      <c r="AH280" s="11">
        <v>0</v>
      </c>
      <c r="AI280" s="12">
        <v>5388663.5999999996</v>
      </c>
      <c r="AJ280" s="11">
        <v>5388663.5999999996</v>
      </c>
      <c r="AK280" s="11">
        <v>0</v>
      </c>
      <c r="AL280" s="11">
        <v>0</v>
      </c>
      <c r="AM280" s="11">
        <v>5388663.5999999996</v>
      </c>
      <c r="AN280" s="11">
        <v>5388663.5999999996</v>
      </c>
      <c r="AO280" s="11">
        <v>0</v>
      </c>
      <c r="AP280" s="11">
        <v>5388663.5999999996</v>
      </c>
      <c r="AQ280" s="11">
        <v>0</v>
      </c>
      <c r="AR280" s="11">
        <v>0</v>
      </c>
      <c r="AS280" t="s">
        <v>48</v>
      </c>
      <c r="AT280"/>
    </row>
    <row r="281" spans="1:49" hidden="1" x14ac:dyDescent="0.3">
      <c r="A281">
        <v>2024</v>
      </c>
      <c r="B281">
        <v>318</v>
      </c>
      <c r="C281">
        <v>110205002</v>
      </c>
      <c r="D281" s="5" t="s">
        <v>44</v>
      </c>
      <c r="E281" s="8" t="s">
        <v>1802</v>
      </c>
      <c r="F281">
        <v>110205002</v>
      </c>
      <c r="H281" s="8" t="s">
        <v>228</v>
      </c>
      <c r="I281" t="s">
        <v>643</v>
      </c>
      <c r="J281" s="17">
        <v>271950000</v>
      </c>
      <c r="K281" s="11">
        <v>271950000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271950000</v>
      </c>
      <c r="R281" s="11">
        <v>5436183.5999999996</v>
      </c>
      <c r="S281" s="11">
        <v>0</v>
      </c>
      <c r="T281" s="11">
        <v>5436183.5999999996</v>
      </c>
      <c r="U281" s="11">
        <v>0</v>
      </c>
      <c r="V281" s="11">
        <v>0</v>
      </c>
      <c r="W281" s="11">
        <v>0</v>
      </c>
      <c r="X281" s="11">
        <v>5388663.5999999996</v>
      </c>
      <c r="Y281" s="11">
        <v>0</v>
      </c>
      <c r="Z281" s="12">
        <v>5388663.5999999996</v>
      </c>
      <c r="AA281" s="11">
        <v>5436183.5999999996</v>
      </c>
      <c r="AB281" s="11">
        <v>0</v>
      </c>
      <c r="AC281" s="11">
        <v>5436183.5999999996</v>
      </c>
      <c r="AD281" s="11">
        <v>0</v>
      </c>
      <c r="AE281" s="11">
        <v>0</v>
      </c>
      <c r="AF281" s="11">
        <v>0</v>
      </c>
      <c r="AG281" s="11">
        <v>5388663.5999999996</v>
      </c>
      <c r="AH281" s="11">
        <v>0</v>
      </c>
      <c r="AI281" s="12">
        <v>5388663.5999999996</v>
      </c>
      <c r="AJ281" s="11">
        <v>5388663.5999999996</v>
      </c>
      <c r="AK281" s="11">
        <v>0</v>
      </c>
      <c r="AL281" s="11">
        <v>0</v>
      </c>
      <c r="AM281" s="11">
        <v>5388663.5999999996</v>
      </c>
      <c r="AN281" s="11">
        <v>5388663.5999999996</v>
      </c>
      <c r="AO281" s="11">
        <v>0</v>
      </c>
      <c r="AP281" s="11">
        <v>5388663.5999999996</v>
      </c>
      <c r="AQ281" s="11">
        <v>0</v>
      </c>
      <c r="AR281" s="11">
        <v>0</v>
      </c>
      <c r="AS281" t="s">
        <v>48</v>
      </c>
      <c r="AT281"/>
    </row>
    <row r="282" spans="1:49" hidden="1" x14ac:dyDescent="0.3">
      <c r="A282">
        <v>2024</v>
      </c>
      <c r="B282">
        <v>318</v>
      </c>
      <c r="C282">
        <v>11020500209</v>
      </c>
      <c r="D282" s="5">
        <v>63</v>
      </c>
      <c r="E282" s="8" t="s">
        <v>1803</v>
      </c>
      <c r="F282">
        <v>11020500209</v>
      </c>
      <c r="G282" t="s">
        <v>1908</v>
      </c>
      <c r="H282" s="8" t="s">
        <v>226</v>
      </c>
      <c r="I282" t="s">
        <v>643</v>
      </c>
      <c r="J282" s="17">
        <v>271950000</v>
      </c>
      <c r="K282" s="11">
        <v>271950000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271950000</v>
      </c>
      <c r="R282" s="11">
        <v>5436183.5999999996</v>
      </c>
      <c r="S282" s="11">
        <v>0</v>
      </c>
      <c r="T282" s="11">
        <v>5436183.5999999996</v>
      </c>
      <c r="U282" s="11">
        <v>0</v>
      </c>
      <c r="V282" s="11">
        <v>0</v>
      </c>
      <c r="W282" s="11">
        <v>0</v>
      </c>
      <c r="X282" s="11">
        <v>5388663.5999999996</v>
      </c>
      <c r="Y282" s="11">
        <v>0</v>
      </c>
      <c r="Z282" s="12">
        <v>5388663.5999999996</v>
      </c>
      <c r="AA282" s="11">
        <v>5436183.5999999996</v>
      </c>
      <c r="AB282" s="11">
        <v>0</v>
      </c>
      <c r="AC282" s="11">
        <v>5436183.5999999996</v>
      </c>
      <c r="AD282" s="11">
        <v>0</v>
      </c>
      <c r="AE282" s="11">
        <v>0</v>
      </c>
      <c r="AF282" s="11">
        <v>0</v>
      </c>
      <c r="AG282" s="11">
        <v>5388663.5999999996</v>
      </c>
      <c r="AH282" s="11">
        <v>0</v>
      </c>
      <c r="AI282" s="12">
        <v>5388663.5999999996</v>
      </c>
      <c r="AJ282" s="11">
        <v>5388663.5999999996</v>
      </c>
      <c r="AK282" s="11">
        <v>0</v>
      </c>
      <c r="AL282" s="11">
        <v>0</v>
      </c>
      <c r="AM282" s="11">
        <v>5388663.5999999996</v>
      </c>
      <c r="AN282" s="11">
        <v>5388663.5999999996</v>
      </c>
      <c r="AO282" s="11">
        <v>0</v>
      </c>
      <c r="AP282" s="11">
        <v>5388663.5999999996</v>
      </c>
      <c r="AQ282" s="11">
        <v>0</v>
      </c>
      <c r="AR282" s="11">
        <v>0</v>
      </c>
      <c r="AS282" t="s">
        <v>716</v>
      </c>
      <c r="AT282" s="4" t="str">
        <f>+H282</f>
        <v>Servicios para la comunidad, sociales y personales</v>
      </c>
      <c r="AU282" t="str">
        <f>+D282&amp;AT282&amp;J282</f>
        <v>63Servicios para la comunidad, sociales y personales271950000</v>
      </c>
      <c r="AV282" t="str">
        <f>+_xlfn.XLOOKUP(AU282,CRUCE!L:L,CRUCE!M:M)</f>
        <v>READY</v>
      </c>
      <c r="AW282" t="s">
        <v>1907</v>
      </c>
    </row>
    <row r="283" spans="1:49" hidden="1" x14ac:dyDescent="0.3">
      <c r="A283">
        <v>2024</v>
      </c>
      <c r="B283">
        <v>318</v>
      </c>
      <c r="C283">
        <v>110206</v>
      </c>
      <c r="D283" s="5" t="s">
        <v>44</v>
      </c>
      <c r="E283" s="8" t="s">
        <v>1804</v>
      </c>
      <c r="F283">
        <v>110206</v>
      </c>
      <c r="H283" s="8" t="s">
        <v>242</v>
      </c>
      <c r="I283" t="s">
        <v>643</v>
      </c>
      <c r="J283" s="17">
        <v>11521036000</v>
      </c>
      <c r="K283" s="11">
        <v>11521036000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11521036000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963439877</v>
      </c>
      <c r="Y283" s="11">
        <v>0</v>
      </c>
      <c r="Z283" s="12">
        <v>963439877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963439877</v>
      </c>
      <c r="AH283" s="11">
        <v>0</v>
      </c>
      <c r="AI283" s="12">
        <v>963439877</v>
      </c>
      <c r="AJ283" s="11">
        <v>963439877</v>
      </c>
      <c r="AK283" s="11">
        <v>0</v>
      </c>
      <c r="AL283" s="11">
        <v>0</v>
      </c>
      <c r="AM283" s="11">
        <v>963439877</v>
      </c>
      <c r="AN283" s="11">
        <v>963439877</v>
      </c>
      <c r="AO283" s="11">
        <v>0</v>
      </c>
      <c r="AP283" s="11">
        <v>963439877</v>
      </c>
      <c r="AQ283" s="11">
        <v>0</v>
      </c>
      <c r="AR283" s="11">
        <v>0</v>
      </c>
      <c r="AS283" t="s">
        <v>48</v>
      </c>
      <c r="AT283"/>
    </row>
    <row r="284" spans="1:49" hidden="1" x14ac:dyDescent="0.3">
      <c r="A284">
        <v>2024</v>
      </c>
      <c r="B284">
        <v>318</v>
      </c>
      <c r="C284">
        <v>110206001</v>
      </c>
      <c r="D284" s="5" t="s">
        <v>44</v>
      </c>
      <c r="E284" s="8" t="s">
        <v>1805</v>
      </c>
      <c r="F284">
        <v>110206001</v>
      </c>
      <c r="H284" s="8" t="s">
        <v>244</v>
      </c>
      <c r="I284" t="s">
        <v>643</v>
      </c>
      <c r="J284" s="17">
        <v>7557747000</v>
      </c>
      <c r="K284" s="11">
        <v>7557747000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7557747000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274447727</v>
      </c>
      <c r="Y284" s="11">
        <v>0</v>
      </c>
      <c r="Z284" s="12">
        <v>274447727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274447727</v>
      </c>
      <c r="AH284" s="11">
        <v>0</v>
      </c>
      <c r="AI284" s="12">
        <v>274447727</v>
      </c>
      <c r="AJ284" s="11">
        <v>274447727</v>
      </c>
      <c r="AK284" s="11">
        <v>0</v>
      </c>
      <c r="AL284" s="11">
        <v>0</v>
      </c>
      <c r="AM284" s="11">
        <v>274447727</v>
      </c>
      <c r="AN284" s="11">
        <v>274447727</v>
      </c>
      <c r="AO284" s="11">
        <v>0</v>
      </c>
      <c r="AP284" s="11">
        <v>274447727</v>
      </c>
      <c r="AQ284" s="11">
        <v>0</v>
      </c>
      <c r="AR284" s="11">
        <v>0</v>
      </c>
      <c r="AS284" t="s">
        <v>48</v>
      </c>
      <c r="AT284"/>
    </row>
    <row r="285" spans="1:49" hidden="1" x14ac:dyDescent="0.3">
      <c r="A285">
        <v>2024</v>
      </c>
      <c r="B285">
        <v>318</v>
      </c>
      <c r="C285">
        <v>11020600102</v>
      </c>
      <c r="D285" s="5" t="s">
        <v>44</v>
      </c>
      <c r="E285" s="8" t="s">
        <v>1806</v>
      </c>
      <c r="F285">
        <v>11020600102</v>
      </c>
      <c r="H285" s="8" t="s">
        <v>724</v>
      </c>
      <c r="I285" t="s">
        <v>643</v>
      </c>
      <c r="J285" s="17">
        <v>7557747000</v>
      </c>
      <c r="K285" s="11">
        <v>7557747000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7557747000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274447727</v>
      </c>
      <c r="Y285" s="11">
        <v>0</v>
      </c>
      <c r="Z285" s="12">
        <v>274447727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1">
        <v>274447727</v>
      </c>
      <c r="AH285" s="11">
        <v>0</v>
      </c>
      <c r="AI285" s="12">
        <v>274447727</v>
      </c>
      <c r="AJ285" s="11">
        <v>274447727</v>
      </c>
      <c r="AK285" s="11">
        <v>0</v>
      </c>
      <c r="AL285" s="11">
        <v>0</v>
      </c>
      <c r="AM285" s="11">
        <v>274447727</v>
      </c>
      <c r="AN285" s="11">
        <v>274447727</v>
      </c>
      <c r="AO285" s="11">
        <v>0</v>
      </c>
      <c r="AP285" s="11">
        <v>274447727</v>
      </c>
      <c r="AQ285" s="11">
        <v>0</v>
      </c>
      <c r="AR285" s="11">
        <v>0</v>
      </c>
      <c r="AS285" t="s">
        <v>48</v>
      </c>
      <c r="AT285"/>
    </row>
    <row r="286" spans="1:49" hidden="1" x14ac:dyDescent="0.3">
      <c r="A286">
        <v>2024</v>
      </c>
      <c r="B286">
        <v>318</v>
      </c>
      <c r="C286">
        <v>1102060010202</v>
      </c>
      <c r="D286" s="5">
        <v>61</v>
      </c>
      <c r="E286" s="8" t="s">
        <v>1807</v>
      </c>
      <c r="F286">
        <v>1102060010202</v>
      </c>
      <c r="G286" t="s">
        <v>1908</v>
      </c>
      <c r="H286" s="8" t="s">
        <v>726</v>
      </c>
      <c r="I286" t="s">
        <v>643</v>
      </c>
      <c r="J286" s="17">
        <v>5409655000</v>
      </c>
      <c r="K286" s="11">
        <v>5409655000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5409655000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2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2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t="s">
        <v>727</v>
      </c>
      <c r="AT286" s="4" t="str">
        <f t="shared" ref="AT286:AT287" si="57">+H286</f>
        <v>Salud pública</v>
      </c>
      <c r="AU286" t="str">
        <f t="shared" ref="AU286:AU287" si="58">+D286&amp;AT286&amp;J286</f>
        <v>61Salud pública5409655000</v>
      </c>
      <c r="AV286" t="str">
        <f>+_xlfn.XLOOKUP(AU286,CRUCE!L:L,CRUCE!M:M)</f>
        <v>READY</v>
      </c>
      <c r="AW286" t="s">
        <v>1907</v>
      </c>
    </row>
    <row r="287" spans="1:49" hidden="1" x14ac:dyDescent="0.3">
      <c r="A287">
        <v>2024</v>
      </c>
      <c r="B287">
        <v>318</v>
      </c>
      <c r="C287">
        <v>1102060010204</v>
      </c>
      <c r="D287" s="5">
        <v>171</v>
      </c>
      <c r="E287" s="8" t="s">
        <v>1808</v>
      </c>
      <c r="F287">
        <v>1102060010204</v>
      </c>
      <c r="G287" t="s">
        <v>1908</v>
      </c>
      <c r="H287" s="8" t="s">
        <v>729</v>
      </c>
      <c r="I287" t="s">
        <v>643</v>
      </c>
      <c r="J287" s="17">
        <v>2148092000</v>
      </c>
      <c r="K287" s="11">
        <v>2148092000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2148092000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274447727</v>
      </c>
      <c r="Y287" s="11">
        <v>0</v>
      </c>
      <c r="Z287" s="12">
        <v>274447727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274447727</v>
      </c>
      <c r="AH287" s="11">
        <v>0</v>
      </c>
      <c r="AI287" s="12">
        <v>274447727</v>
      </c>
      <c r="AJ287" s="11">
        <v>274447727</v>
      </c>
      <c r="AK287" s="11">
        <v>0</v>
      </c>
      <c r="AL287" s="11">
        <v>0</v>
      </c>
      <c r="AM287" s="11">
        <v>274447727</v>
      </c>
      <c r="AN287" s="11">
        <v>274447727</v>
      </c>
      <c r="AO287" s="11">
        <v>0</v>
      </c>
      <c r="AP287" s="11">
        <v>274447727</v>
      </c>
      <c r="AQ287" s="11">
        <v>0</v>
      </c>
      <c r="AR287" s="11">
        <v>0</v>
      </c>
      <c r="AS287" t="s">
        <v>730</v>
      </c>
      <c r="AT287" s="4" t="str">
        <f t="shared" si="57"/>
        <v>Subsidio a la oferta</v>
      </c>
      <c r="AU287" t="str">
        <f t="shared" si="58"/>
        <v>171Subsidio a la oferta2148092000</v>
      </c>
      <c r="AV287" t="str">
        <f>+_xlfn.XLOOKUP(AU287,CRUCE!L:L,CRUCE!M:M)</f>
        <v>READY</v>
      </c>
      <c r="AW287" t="s">
        <v>1907</v>
      </c>
    </row>
    <row r="288" spans="1:49" hidden="1" x14ac:dyDescent="0.3">
      <c r="A288">
        <v>2024</v>
      </c>
      <c r="B288">
        <v>318</v>
      </c>
      <c r="C288">
        <v>110206006</v>
      </c>
      <c r="D288" s="5" t="s">
        <v>44</v>
      </c>
      <c r="E288" s="8" t="s">
        <v>1809</v>
      </c>
      <c r="F288">
        <v>110206006</v>
      </c>
      <c r="H288" s="8" t="s">
        <v>267</v>
      </c>
      <c r="I288" t="s">
        <v>643</v>
      </c>
      <c r="J288" s="17">
        <v>3963289000</v>
      </c>
      <c r="K288" s="11">
        <v>3963289000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3963289000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688992150</v>
      </c>
      <c r="Y288" s="11">
        <v>0</v>
      </c>
      <c r="Z288" s="12">
        <v>688992150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688992150</v>
      </c>
      <c r="AH288" s="11">
        <v>0</v>
      </c>
      <c r="AI288" s="12">
        <v>688992150</v>
      </c>
      <c r="AJ288" s="11">
        <v>688992150</v>
      </c>
      <c r="AK288" s="11">
        <v>0</v>
      </c>
      <c r="AL288" s="11">
        <v>0</v>
      </c>
      <c r="AM288" s="11">
        <v>688992150</v>
      </c>
      <c r="AN288" s="11">
        <v>688992150</v>
      </c>
      <c r="AO288" s="11">
        <v>0</v>
      </c>
      <c r="AP288" s="11">
        <v>688992150</v>
      </c>
      <c r="AQ288" s="11">
        <v>0</v>
      </c>
      <c r="AR288" s="11">
        <v>0</v>
      </c>
      <c r="AS288" t="s">
        <v>48</v>
      </c>
      <c r="AT288"/>
    </row>
    <row r="289" spans="1:49" hidden="1" x14ac:dyDescent="0.3">
      <c r="A289">
        <v>2024</v>
      </c>
      <c r="B289">
        <v>318</v>
      </c>
      <c r="C289">
        <v>11020600601</v>
      </c>
      <c r="D289" s="5" t="s">
        <v>44</v>
      </c>
      <c r="E289" s="8" t="s">
        <v>1810</v>
      </c>
      <c r="F289">
        <v>11020600601</v>
      </c>
      <c r="H289" s="8" t="s">
        <v>614</v>
      </c>
      <c r="I289" t="s">
        <v>643</v>
      </c>
      <c r="J289" s="17">
        <v>3963289000</v>
      </c>
      <c r="K289" s="11">
        <v>3963289000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3963289000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688992150</v>
      </c>
      <c r="Y289" s="11">
        <v>0</v>
      </c>
      <c r="Z289" s="12">
        <v>688992150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688992150</v>
      </c>
      <c r="AH289" s="11">
        <v>0</v>
      </c>
      <c r="AI289" s="12">
        <v>688992150</v>
      </c>
      <c r="AJ289" s="11">
        <v>688992150</v>
      </c>
      <c r="AK289" s="11">
        <v>0</v>
      </c>
      <c r="AL289" s="11">
        <v>0</v>
      </c>
      <c r="AM289" s="11">
        <v>688992150</v>
      </c>
      <c r="AN289" s="11">
        <v>688992150</v>
      </c>
      <c r="AO289" s="11">
        <v>0</v>
      </c>
      <c r="AP289" s="11">
        <v>688992150</v>
      </c>
      <c r="AQ289" s="11">
        <v>0</v>
      </c>
      <c r="AR289" s="11">
        <v>0</v>
      </c>
      <c r="AS289" t="s">
        <v>48</v>
      </c>
      <c r="AT289"/>
    </row>
    <row r="290" spans="1:49" hidden="1" x14ac:dyDescent="0.3">
      <c r="A290">
        <v>2024</v>
      </c>
      <c r="B290">
        <v>318</v>
      </c>
      <c r="C290">
        <v>1102060060101</v>
      </c>
      <c r="D290" s="5">
        <v>110</v>
      </c>
      <c r="E290" s="8" t="s">
        <v>1811</v>
      </c>
      <c r="F290">
        <v>1102060060101</v>
      </c>
      <c r="G290" t="s">
        <v>1908</v>
      </c>
      <c r="H290" s="8" t="s">
        <v>734</v>
      </c>
      <c r="I290" t="s">
        <v>643</v>
      </c>
      <c r="J290" s="17">
        <v>2755000000</v>
      </c>
      <c r="K290" s="11">
        <v>2755000000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2755000000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2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2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t="s">
        <v>1241</v>
      </c>
      <c r="AT290" s="4" t="str">
        <f t="shared" ref="AT290:AT292" si="59">+H290</f>
        <v>Ministerio de Salud - Programa Inimputables</v>
      </c>
      <c r="AU290" t="str">
        <f t="shared" ref="AU290:AU294" si="60">+D290&amp;AT290&amp;J290</f>
        <v>110Ministerio de Salud - Programa Inimputables2755000000</v>
      </c>
      <c r="AV290" t="str">
        <f>+_xlfn.XLOOKUP(AU290,CRUCE!L:L,CRUCE!M:M)</f>
        <v>READY</v>
      </c>
      <c r="AW290" t="s">
        <v>1907</v>
      </c>
    </row>
    <row r="291" spans="1:49" hidden="1" x14ac:dyDescent="0.3">
      <c r="A291">
        <v>2024</v>
      </c>
      <c r="B291">
        <v>318</v>
      </c>
      <c r="C291">
        <v>1102060060102</v>
      </c>
      <c r="D291" s="5">
        <v>111</v>
      </c>
      <c r="E291" s="8" t="s">
        <v>1812</v>
      </c>
      <c r="F291">
        <v>1102060060102</v>
      </c>
      <c r="G291" t="s">
        <v>1908</v>
      </c>
      <c r="H291" s="8" t="s">
        <v>737</v>
      </c>
      <c r="I291" t="s">
        <v>643</v>
      </c>
      <c r="J291" s="17">
        <v>333000000</v>
      </c>
      <c r="K291" s="11">
        <v>333000000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333000000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688992150</v>
      </c>
      <c r="Y291" s="11">
        <v>0</v>
      </c>
      <c r="Z291" s="12">
        <v>688992150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1">
        <v>688992150</v>
      </c>
      <c r="AH291" s="11">
        <v>0</v>
      </c>
      <c r="AI291" s="12">
        <v>688992150</v>
      </c>
      <c r="AJ291" s="11">
        <v>688992150</v>
      </c>
      <c r="AK291" s="11">
        <v>0</v>
      </c>
      <c r="AL291" s="11">
        <v>0</v>
      </c>
      <c r="AM291" s="11">
        <v>688992150</v>
      </c>
      <c r="AN291" s="11">
        <v>688992150</v>
      </c>
      <c r="AO291" s="11">
        <v>0</v>
      </c>
      <c r="AP291" s="11">
        <v>688992150</v>
      </c>
      <c r="AQ291" s="11">
        <v>0</v>
      </c>
      <c r="AR291" s="11">
        <v>0</v>
      </c>
      <c r="AS291" t="s">
        <v>1242</v>
      </c>
      <c r="AT291" s="4" t="str">
        <f t="shared" si="59"/>
        <v>Min Salud, Program Prevencion y Control de Enfermedades por Vectores</v>
      </c>
      <c r="AU291" t="str">
        <f t="shared" si="60"/>
        <v>111Min Salud, Program Prevencion y Control de Enfermedades por Vectores333000000</v>
      </c>
      <c r="AV291" t="str">
        <f>+_xlfn.XLOOKUP(AU291,CRUCE!L:L,CRUCE!M:M)</f>
        <v>READY</v>
      </c>
      <c r="AW291" t="s">
        <v>1907</v>
      </c>
    </row>
    <row r="292" spans="1:49" hidden="1" x14ac:dyDescent="0.3">
      <c r="A292">
        <v>2024</v>
      </c>
      <c r="B292">
        <v>318</v>
      </c>
      <c r="C292">
        <v>1102060060103</v>
      </c>
      <c r="D292" s="5">
        <v>113</v>
      </c>
      <c r="E292" s="8" t="s">
        <v>1813</v>
      </c>
      <c r="F292">
        <v>1102060060103</v>
      </c>
      <c r="G292" t="s">
        <v>1908</v>
      </c>
      <c r="H292" s="8" t="s">
        <v>740</v>
      </c>
      <c r="I292" t="s">
        <v>643</v>
      </c>
      <c r="J292" s="17">
        <v>221000000</v>
      </c>
      <c r="K292" s="11">
        <v>221000000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221000000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2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2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t="s">
        <v>1243</v>
      </c>
      <c r="AT292" s="4" t="str">
        <f t="shared" si="59"/>
        <v>Min. Salud - Campaña y Control Antituberculosis Quindio</v>
      </c>
      <c r="AU292" t="str">
        <f t="shared" si="60"/>
        <v>113Min. Salud - Campaña y Control Antituberculosis Quindio221000000</v>
      </c>
      <c r="AV292" t="str">
        <f>+_xlfn.XLOOKUP(AU292,CRUCE!L:L,CRUCE!M:M)</f>
        <v>READY</v>
      </c>
      <c r="AW292" t="s">
        <v>1907</v>
      </c>
    </row>
    <row r="293" spans="1:49" hidden="1" x14ac:dyDescent="0.3">
      <c r="A293">
        <v>2024</v>
      </c>
      <c r="B293">
        <v>318</v>
      </c>
      <c r="C293">
        <v>1102060060103</v>
      </c>
      <c r="D293" s="5">
        <v>114</v>
      </c>
      <c r="E293" s="8" t="s">
        <v>1814</v>
      </c>
      <c r="F293">
        <v>1102060060103</v>
      </c>
      <c r="G293" t="s">
        <v>1908</v>
      </c>
      <c r="H293" s="8" t="s">
        <v>740</v>
      </c>
      <c r="I293" t="s">
        <v>643</v>
      </c>
      <c r="J293" s="17">
        <v>36500000</v>
      </c>
      <c r="K293" s="11">
        <v>36500000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36500000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2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2">
        <v>0</v>
      </c>
      <c r="AJ293" s="11">
        <v>0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0</v>
      </c>
      <c r="AR293" s="11">
        <v>0</v>
      </c>
      <c r="AS293" t="s">
        <v>1244</v>
      </c>
      <c r="AT293" s="4" t="str">
        <f>+H293</f>
        <v>Min. Salud - Campaña y Control Antituberculosis Quindio</v>
      </c>
      <c r="AU293" t="str">
        <f t="shared" si="60"/>
        <v>114Min. Salud - Campaña y Control Antituberculosis Quindio36500000</v>
      </c>
      <c r="AV293" t="str">
        <f>+_xlfn.XLOOKUP(AU293,CRUCE!L:L,CRUCE!M:M)</f>
        <v>READY</v>
      </c>
      <c r="AW293" t="s">
        <v>1907</v>
      </c>
    </row>
    <row r="294" spans="1:49" hidden="1" x14ac:dyDescent="0.3">
      <c r="A294">
        <v>2024</v>
      </c>
      <c r="B294">
        <v>318</v>
      </c>
      <c r="C294">
        <v>1102060060112</v>
      </c>
      <c r="D294" s="5">
        <v>180</v>
      </c>
      <c r="E294" s="8" t="s">
        <v>1815</v>
      </c>
      <c r="F294">
        <v>1102060060112</v>
      </c>
      <c r="G294" t="s">
        <v>1908</v>
      </c>
      <c r="H294" s="8" t="s">
        <v>1423</v>
      </c>
      <c r="I294" t="s">
        <v>643</v>
      </c>
      <c r="J294" s="17">
        <v>617789000</v>
      </c>
      <c r="K294" s="11">
        <v>617789000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617789000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2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2">
        <v>0</v>
      </c>
      <c r="AJ294" s="11">
        <v>0</v>
      </c>
      <c r="AK294" s="11">
        <v>0</v>
      </c>
      <c r="AL294" s="11">
        <v>0</v>
      </c>
      <c r="AM294" s="11">
        <v>0</v>
      </c>
      <c r="AN294" s="11">
        <v>0</v>
      </c>
      <c r="AO294" s="11">
        <v>0</v>
      </c>
      <c r="AP294" s="11">
        <v>0</v>
      </c>
      <c r="AQ294" s="11">
        <v>0</v>
      </c>
      <c r="AR294" s="11">
        <v>0</v>
      </c>
      <c r="AS294" t="s">
        <v>1254</v>
      </c>
      <c r="AT294" s="4" t="str">
        <f>+H294</f>
        <v>Min Salud Res 403 del 21 Marzo_23 para Cofinanciar el Procedimiento de Certificación  de Discapacida</v>
      </c>
      <c r="AU294" t="str">
        <f t="shared" si="60"/>
        <v>180Min Salud Res 403 del 21 Marzo_23 para Cofinanciar el Procedimiento de Certificación  de Discapacida617789000</v>
      </c>
      <c r="AV294" t="str">
        <f>+_xlfn.XLOOKUP(AU294,CRUCE!L:L,CRUCE!M:M)</f>
        <v>READY</v>
      </c>
      <c r="AW294" t="s">
        <v>1907</v>
      </c>
    </row>
    <row r="295" spans="1:49" hidden="1" x14ac:dyDescent="0.3">
      <c r="A295">
        <v>2024</v>
      </c>
      <c r="B295">
        <v>318</v>
      </c>
      <c r="C295">
        <v>110207</v>
      </c>
      <c r="D295" s="5" t="s">
        <v>44</v>
      </c>
      <c r="E295" s="8" t="s">
        <v>1816</v>
      </c>
      <c r="F295">
        <v>110207</v>
      </c>
      <c r="H295" s="8" t="s">
        <v>347</v>
      </c>
      <c r="I295" t="s">
        <v>643</v>
      </c>
      <c r="J295" s="17">
        <v>24012148000</v>
      </c>
      <c r="K295" s="11">
        <v>24012148000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24012148000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3291603670</v>
      </c>
      <c r="Y295" s="11">
        <v>2063759</v>
      </c>
      <c r="Z295" s="12">
        <v>3289539911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v>0</v>
      </c>
      <c r="AG295" s="11">
        <v>3291603670</v>
      </c>
      <c r="AH295" s="11">
        <v>2063759</v>
      </c>
      <c r="AI295" s="12">
        <v>3289539911</v>
      </c>
      <c r="AJ295" s="11">
        <v>3289539911</v>
      </c>
      <c r="AK295" s="11">
        <v>915292989</v>
      </c>
      <c r="AL295" s="11">
        <v>915292989</v>
      </c>
      <c r="AM295" s="11">
        <v>2374246922</v>
      </c>
      <c r="AN295" s="11">
        <v>2376310681</v>
      </c>
      <c r="AO295" s="11">
        <v>2063759</v>
      </c>
      <c r="AP295" s="11">
        <v>2376310681</v>
      </c>
      <c r="AQ295" s="11">
        <v>0</v>
      </c>
      <c r="AR295" s="11">
        <v>2063759</v>
      </c>
      <c r="AS295" t="s">
        <v>48</v>
      </c>
      <c r="AT295"/>
    </row>
    <row r="296" spans="1:49" hidden="1" x14ac:dyDescent="0.3">
      <c r="A296">
        <v>2024</v>
      </c>
      <c r="B296">
        <v>318</v>
      </c>
      <c r="C296">
        <v>110207001</v>
      </c>
      <c r="D296" s="5" t="s">
        <v>44</v>
      </c>
      <c r="E296" s="8" t="s">
        <v>1817</v>
      </c>
      <c r="F296">
        <v>110207001</v>
      </c>
      <c r="H296" s="8" t="s">
        <v>759</v>
      </c>
      <c r="I296" t="s">
        <v>643</v>
      </c>
      <c r="J296" s="17">
        <v>10337165000.02</v>
      </c>
      <c r="K296" s="11">
        <v>10337165000.02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10337165000.02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1165544060</v>
      </c>
      <c r="Y296" s="11">
        <v>2063759</v>
      </c>
      <c r="Z296" s="12">
        <v>1163480301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1">
        <v>1165544060</v>
      </c>
      <c r="AH296" s="11">
        <v>2063759</v>
      </c>
      <c r="AI296" s="12">
        <v>1163480301</v>
      </c>
      <c r="AJ296" s="11">
        <v>1163480301</v>
      </c>
      <c r="AK296" s="11">
        <v>800289749</v>
      </c>
      <c r="AL296" s="11">
        <v>800289749</v>
      </c>
      <c r="AM296" s="11">
        <v>363190552</v>
      </c>
      <c r="AN296" s="11">
        <v>365254311</v>
      </c>
      <c r="AO296" s="11">
        <v>2063759</v>
      </c>
      <c r="AP296" s="11">
        <v>365254311</v>
      </c>
      <c r="AQ296" s="11">
        <v>0</v>
      </c>
      <c r="AR296" s="11">
        <v>2063759</v>
      </c>
      <c r="AS296" t="s">
        <v>48</v>
      </c>
      <c r="AT296"/>
    </row>
    <row r="297" spans="1:49" hidden="1" x14ac:dyDescent="0.3">
      <c r="A297">
        <v>2024</v>
      </c>
      <c r="B297">
        <v>318</v>
      </c>
      <c r="C297">
        <v>11020700103</v>
      </c>
      <c r="D297" s="5" t="s">
        <v>44</v>
      </c>
      <c r="E297" s="8" t="s">
        <v>1818</v>
      </c>
      <c r="F297">
        <v>11020700103</v>
      </c>
      <c r="H297" s="8" t="s">
        <v>761</v>
      </c>
      <c r="I297" t="s">
        <v>643</v>
      </c>
      <c r="J297" s="17">
        <v>2710326000.7600002</v>
      </c>
      <c r="K297" s="11">
        <v>2710326000.7600002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2710326000.7600002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258234746</v>
      </c>
      <c r="Y297" s="11">
        <v>2063759</v>
      </c>
      <c r="Z297" s="12">
        <v>256170987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1">
        <v>258234746</v>
      </c>
      <c r="AH297" s="11">
        <v>2063759</v>
      </c>
      <c r="AI297" s="12">
        <v>256170987</v>
      </c>
      <c r="AJ297" s="11">
        <v>256170987</v>
      </c>
      <c r="AK297" s="11">
        <v>192128240</v>
      </c>
      <c r="AL297" s="11">
        <v>192128240</v>
      </c>
      <c r="AM297" s="11">
        <v>64042747</v>
      </c>
      <c r="AN297" s="11">
        <v>66106506</v>
      </c>
      <c r="AO297" s="11">
        <v>2063759</v>
      </c>
      <c r="AP297" s="11">
        <v>66106506</v>
      </c>
      <c r="AQ297" s="11">
        <v>0</v>
      </c>
      <c r="AR297" s="11">
        <v>2063759</v>
      </c>
      <c r="AS297" t="s">
        <v>48</v>
      </c>
      <c r="AT297"/>
    </row>
    <row r="298" spans="1:49" hidden="1" x14ac:dyDescent="0.3">
      <c r="A298">
        <v>2024</v>
      </c>
      <c r="B298">
        <v>318</v>
      </c>
      <c r="C298">
        <v>1102070010301</v>
      </c>
      <c r="D298" s="5">
        <v>154</v>
      </c>
      <c r="E298" s="8" t="s">
        <v>1819</v>
      </c>
      <c r="F298">
        <v>1102070010301</v>
      </c>
      <c r="G298" t="s">
        <v>1908</v>
      </c>
      <c r="H298" s="8" t="s">
        <v>1255</v>
      </c>
      <c r="I298" t="s">
        <v>643</v>
      </c>
      <c r="J298" s="17">
        <v>1535996584.1099999</v>
      </c>
      <c r="K298" s="11">
        <v>1535996584.1099999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1535996584.1099999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132985152</v>
      </c>
      <c r="Y298" s="11">
        <v>0</v>
      </c>
      <c r="Z298" s="12">
        <v>132985152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132985152</v>
      </c>
      <c r="AH298" s="11">
        <v>0</v>
      </c>
      <c r="AI298" s="12">
        <v>132985152</v>
      </c>
      <c r="AJ298" s="11">
        <v>132985152</v>
      </c>
      <c r="AK298" s="11">
        <v>132985152</v>
      </c>
      <c r="AL298" s="11">
        <v>132985152</v>
      </c>
      <c r="AM298" s="11">
        <v>0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t="s">
        <v>651</v>
      </c>
      <c r="AT298" s="4" t="str">
        <f t="shared" ref="AT298:AT302" si="61">+H298</f>
        <v>Explotacion Sorteo Ordinario 68%</v>
      </c>
      <c r="AU298" t="str">
        <f t="shared" ref="AU298:AU305" si="62">+D298&amp;AT298&amp;J298</f>
        <v>154Explotacion Sorteo Ordinario 68%1535996584,11</v>
      </c>
      <c r="AV298" t="str">
        <f>+_xlfn.XLOOKUP(AU298,CRUCE!L:L,CRUCE!M:M)</f>
        <v>READY</v>
      </c>
      <c r="AW298" t="s">
        <v>1907</v>
      </c>
    </row>
    <row r="299" spans="1:49" hidden="1" x14ac:dyDescent="0.3">
      <c r="A299">
        <v>2024</v>
      </c>
      <c r="B299">
        <v>318</v>
      </c>
      <c r="C299">
        <v>1102070010302</v>
      </c>
      <c r="D299" s="5">
        <v>154</v>
      </c>
      <c r="E299" s="8" t="s">
        <v>1820</v>
      </c>
      <c r="F299">
        <v>1102070010302</v>
      </c>
      <c r="G299" t="s">
        <v>1908</v>
      </c>
      <c r="H299" s="8" t="s">
        <v>764</v>
      </c>
      <c r="I299" t="s">
        <v>643</v>
      </c>
      <c r="J299" s="17">
        <v>307025095.06</v>
      </c>
      <c r="K299" s="11">
        <v>307025095.06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307025095.06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41211119</v>
      </c>
      <c r="Y299" s="11">
        <v>0</v>
      </c>
      <c r="Z299" s="12">
        <v>41211119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41211119</v>
      </c>
      <c r="AH299" s="11">
        <v>0</v>
      </c>
      <c r="AI299" s="12">
        <v>41211119</v>
      </c>
      <c r="AJ299" s="11">
        <v>41211119</v>
      </c>
      <c r="AK299" s="11">
        <v>41211119</v>
      </c>
      <c r="AL299" s="11">
        <v>41211119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t="s">
        <v>651</v>
      </c>
      <c r="AT299" s="4" t="str">
        <f t="shared" si="61"/>
        <v>Explotacion Sorteo Extraordinario 68%</v>
      </c>
      <c r="AU299" t="str">
        <f t="shared" si="62"/>
        <v>154Explotacion Sorteo Extraordinario 68%307025095,06</v>
      </c>
      <c r="AV299" t="str">
        <f>+_xlfn.XLOOKUP(AU299,CRUCE!L:L,CRUCE!M:M)</f>
        <v>READY</v>
      </c>
      <c r="AW299" t="s">
        <v>1907</v>
      </c>
    </row>
    <row r="300" spans="1:49" hidden="1" x14ac:dyDescent="0.3">
      <c r="A300">
        <v>2024</v>
      </c>
      <c r="B300">
        <v>318</v>
      </c>
      <c r="C300">
        <v>1102070010303</v>
      </c>
      <c r="D300" s="5">
        <v>72</v>
      </c>
      <c r="E300" s="8" t="s">
        <v>1821</v>
      </c>
      <c r="F300">
        <v>1102070010303</v>
      </c>
      <c r="G300" t="s">
        <v>1908</v>
      </c>
      <c r="H300" s="8" t="s">
        <v>766</v>
      </c>
      <c r="I300" t="s">
        <v>643</v>
      </c>
      <c r="J300" s="17">
        <v>112876872.84</v>
      </c>
      <c r="K300" s="11">
        <v>112876872.84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112876872.84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17214906</v>
      </c>
      <c r="Y300" s="11">
        <v>2063759</v>
      </c>
      <c r="Z300" s="12">
        <v>15151147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17214906</v>
      </c>
      <c r="AH300" s="11">
        <v>2063759</v>
      </c>
      <c r="AI300" s="12">
        <v>15151147</v>
      </c>
      <c r="AJ300" s="11">
        <v>15151147</v>
      </c>
      <c r="AK300" s="11">
        <v>0</v>
      </c>
      <c r="AL300" s="11">
        <v>0</v>
      </c>
      <c r="AM300" s="11">
        <v>15151147</v>
      </c>
      <c r="AN300" s="11">
        <v>17214906</v>
      </c>
      <c r="AO300" s="11">
        <v>2063759</v>
      </c>
      <c r="AP300" s="11">
        <v>17214906</v>
      </c>
      <c r="AQ300" s="11">
        <v>0</v>
      </c>
      <c r="AR300" s="11">
        <v>2063759</v>
      </c>
      <c r="AS300" t="s">
        <v>656</v>
      </c>
      <c r="AT300" s="4" t="str">
        <f t="shared" si="61"/>
        <v>Explotacion Sorteo Extraordinario 25%</v>
      </c>
      <c r="AU300" t="str">
        <f t="shared" si="62"/>
        <v>72Explotacion Sorteo Extraordinario 25%112876872,84</v>
      </c>
      <c r="AV300" t="str">
        <f>+_xlfn.XLOOKUP(AU300,CRUCE!L:L,CRUCE!M:M)</f>
        <v>READY</v>
      </c>
      <c r="AW300" t="s">
        <v>1907</v>
      </c>
    </row>
    <row r="301" spans="1:49" hidden="1" x14ac:dyDescent="0.3">
      <c r="A301">
        <v>2024</v>
      </c>
      <c r="B301">
        <v>318</v>
      </c>
      <c r="C301">
        <v>1102070010304</v>
      </c>
      <c r="D301" s="5">
        <v>72</v>
      </c>
      <c r="E301" s="8" t="s">
        <v>1822</v>
      </c>
      <c r="F301">
        <v>1102070010304</v>
      </c>
      <c r="G301" t="s">
        <v>1908</v>
      </c>
      <c r="H301" s="8" t="s">
        <v>768</v>
      </c>
      <c r="I301" t="s">
        <v>643</v>
      </c>
      <c r="J301" s="17">
        <v>564704627.15999997</v>
      </c>
      <c r="K301" s="11">
        <v>564704627.15999997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564704627.15999997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48891600</v>
      </c>
      <c r="Y301" s="11">
        <v>0</v>
      </c>
      <c r="Z301" s="12">
        <v>48891600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v>0</v>
      </c>
      <c r="AG301" s="11">
        <v>48891600</v>
      </c>
      <c r="AH301" s="11">
        <v>0</v>
      </c>
      <c r="AI301" s="12">
        <v>48891600</v>
      </c>
      <c r="AJ301" s="11">
        <v>48891600</v>
      </c>
      <c r="AK301" s="11">
        <v>0</v>
      </c>
      <c r="AL301" s="11">
        <v>0</v>
      </c>
      <c r="AM301" s="11">
        <v>48891600</v>
      </c>
      <c r="AN301" s="11">
        <v>48891600</v>
      </c>
      <c r="AO301" s="11">
        <v>0</v>
      </c>
      <c r="AP301" s="11">
        <v>48891600</v>
      </c>
      <c r="AQ301" s="11">
        <v>0</v>
      </c>
      <c r="AR301" s="11">
        <v>0</v>
      </c>
      <c r="AS301" t="s">
        <v>656</v>
      </c>
      <c r="AT301" s="4" t="str">
        <f t="shared" si="61"/>
        <v>Explotacion Sorteo Ordinario Loterias 25%</v>
      </c>
      <c r="AU301" t="str">
        <f t="shared" si="62"/>
        <v>72Explotacion Sorteo Ordinario Loterias 25%564704627,16</v>
      </c>
      <c r="AV301" t="str">
        <f>+_xlfn.XLOOKUP(AU301,CRUCE!L:L,CRUCE!M:M)</f>
        <v>READY</v>
      </c>
      <c r="AW301" t="s">
        <v>1907</v>
      </c>
    </row>
    <row r="302" spans="1:49" hidden="1" x14ac:dyDescent="0.3">
      <c r="A302">
        <v>2024</v>
      </c>
      <c r="B302">
        <v>318</v>
      </c>
      <c r="C302">
        <v>1102070010305</v>
      </c>
      <c r="D302" s="5">
        <v>181</v>
      </c>
      <c r="E302" s="8" t="s">
        <v>1823</v>
      </c>
      <c r="F302">
        <v>1102070010305</v>
      </c>
      <c r="G302" t="s">
        <v>1908</v>
      </c>
      <c r="H302" s="8" t="s">
        <v>771</v>
      </c>
      <c r="I302" t="s">
        <v>643</v>
      </c>
      <c r="J302" s="17">
        <v>31605524.399999999</v>
      </c>
      <c r="K302" s="11">
        <v>31605524.399999999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31605524.399999999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4242321</v>
      </c>
      <c r="Y302" s="11">
        <v>0</v>
      </c>
      <c r="Z302" s="12">
        <v>4242321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v>0</v>
      </c>
      <c r="AG302" s="11">
        <v>4242321</v>
      </c>
      <c r="AH302" s="11">
        <v>0</v>
      </c>
      <c r="AI302" s="12">
        <v>4242321</v>
      </c>
      <c r="AJ302" s="11">
        <v>4242321</v>
      </c>
      <c r="AK302" s="11">
        <v>4242321</v>
      </c>
      <c r="AL302" s="11">
        <v>4242321</v>
      </c>
      <c r="AM302" s="11">
        <v>0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t="s">
        <v>1824</v>
      </c>
      <c r="AT302" s="4" t="str">
        <f t="shared" si="61"/>
        <v>Colciencias 7%  Sorteo Extraordinario</v>
      </c>
      <c r="AU302" t="str">
        <f t="shared" si="62"/>
        <v>181Colciencias 7%  Sorteo Extraordinario31605524,4</v>
      </c>
      <c r="AV302" t="str">
        <f>+_xlfn.XLOOKUP(AU302,CRUCE!L:L,CRUCE!M:M)</f>
        <v>READY</v>
      </c>
      <c r="AW302" t="s">
        <v>1907</v>
      </c>
    </row>
    <row r="303" spans="1:49" hidden="1" x14ac:dyDescent="0.3">
      <c r="A303">
        <v>2024</v>
      </c>
      <c r="B303">
        <v>318</v>
      </c>
      <c r="C303">
        <v>1102070010305</v>
      </c>
      <c r="D303" s="5">
        <v>182</v>
      </c>
      <c r="E303" s="8" t="s">
        <v>1825</v>
      </c>
      <c r="F303">
        <v>1102070010305</v>
      </c>
      <c r="G303" t="s">
        <v>1908</v>
      </c>
      <c r="H303" s="8" t="s">
        <v>771</v>
      </c>
      <c r="I303" t="s">
        <v>643</v>
      </c>
      <c r="J303" s="17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2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2">
        <v>0</v>
      </c>
      <c r="AJ303" s="11">
        <v>0</v>
      </c>
      <c r="AK303" s="11">
        <v>0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t="s">
        <v>674</v>
      </c>
      <c r="AT303" s="4" t="str">
        <f>+H303</f>
        <v>Colciencias 7%  Sorteo Extraordinario</v>
      </c>
      <c r="AU303" t="str">
        <f t="shared" si="62"/>
        <v>182Colciencias 7%  Sorteo Extraordinario0</v>
      </c>
      <c r="AV303" t="str">
        <f>+_xlfn.XLOOKUP(AU303,CRUCE!L:L,CRUCE!M:M)</f>
        <v>READY</v>
      </c>
      <c r="AW303" t="s">
        <v>1907</v>
      </c>
    </row>
    <row r="304" spans="1:49" hidden="1" x14ac:dyDescent="0.3">
      <c r="A304">
        <v>2024</v>
      </c>
      <c r="B304">
        <v>318</v>
      </c>
      <c r="C304">
        <v>1102070010306</v>
      </c>
      <c r="D304" s="5">
        <v>181</v>
      </c>
      <c r="E304" s="8" t="s">
        <v>1826</v>
      </c>
      <c r="F304">
        <v>1102070010306</v>
      </c>
      <c r="G304" t="s">
        <v>1908</v>
      </c>
      <c r="H304" s="8" t="s">
        <v>773</v>
      </c>
      <c r="I304" t="s">
        <v>643</v>
      </c>
      <c r="J304" s="17">
        <v>158117297.19</v>
      </c>
      <c r="K304" s="11">
        <v>158117297.19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158117297.19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13689648</v>
      </c>
      <c r="Y304" s="11">
        <v>0</v>
      </c>
      <c r="Z304" s="12">
        <v>13689648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v>0</v>
      </c>
      <c r="AG304" s="11">
        <v>13689648</v>
      </c>
      <c r="AH304" s="11">
        <v>0</v>
      </c>
      <c r="AI304" s="12">
        <v>13689648</v>
      </c>
      <c r="AJ304" s="11">
        <v>13689648</v>
      </c>
      <c r="AK304" s="11">
        <v>13689648</v>
      </c>
      <c r="AL304" s="11">
        <v>13689648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t="s">
        <v>1824</v>
      </c>
      <c r="AT304" s="4" t="str">
        <f>+H304</f>
        <v>Colciencias 7% Explotacion Sorteo Ordinario</v>
      </c>
      <c r="AU304" t="str">
        <f t="shared" si="62"/>
        <v>181Colciencias 7% Explotacion Sorteo Ordinario158117297,19</v>
      </c>
      <c r="AV304" t="str">
        <f>+_xlfn.XLOOKUP(AU304,CRUCE!L:L,CRUCE!M:M)</f>
        <v>READY</v>
      </c>
      <c r="AW304" t="s">
        <v>1907</v>
      </c>
    </row>
    <row r="305" spans="1:49" hidden="1" x14ac:dyDescent="0.3">
      <c r="A305">
        <v>2024</v>
      </c>
      <c r="B305">
        <v>318</v>
      </c>
      <c r="C305">
        <v>1102070010306</v>
      </c>
      <c r="D305" s="5">
        <v>182</v>
      </c>
      <c r="E305" s="8" t="s">
        <v>1827</v>
      </c>
      <c r="F305">
        <v>1102070010306</v>
      </c>
      <c r="G305" t="s">
        <v>1908</v>
      </c>
      <c r="H305" s="8" t="s">
        <v>773</v>
      </c>
      <c r="I305" t="s">
        <v>643</v>
      </c>
      <c r="J305" s="17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  <c r="Y305" s="11">
        <v>0</v>
      </c>
      <c r="Z305" s="12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v>0</v>
      </c>
      <c r="AG305" s="11">
        <v>0</v>
      </c>
      <c r="AH305" s="11">
        <v>0</v>
      </c>
      <c r="AI305" s="12">
        <v>0</v>
      </c>
      <c r="AJ305" s="11">
        <v>0</v>
      </c>
      <c r="AK305" s="11">
        <v>0</v>
      </c>
      <c r="AL305" s="11">
        <v>0</v>
      </c>
      <c r="AM305" s="11">
        <v>0</v>
      </c>
      <c r="AN305" s="11">
        <v>0</v>
      </c>
      <c r="AO305" s="11">
        <v>0</v>
      </c>
      <c r="AP305" s="11">
        <v>0</v>
      </c>
      <c r="AQ305" s="11">
        <v>0</v>
      </c>
      <c r="AR305" s="11">
        <v>0</v>
      </c>
      <c r="AS305" t="s">
        <v>674</v>
      </c>
      <c r="AT305" s="4" t="str">
        <f>+H305</f>
        <v>Colciencias 7% Explotacion Sorteo Ordinario</v>
      </c>
      <c r="AU305" t="str">
        <f t="shared" si="62"/>
        <v>182Colciencias 7% Explotacion Sorteo Ordinario0</v>
      </c>
      <c r="AV305" t="str">
        <f>+_xlfn.XLOOKUP(AU305,CRUCE!L:L,CRUCE!M:M)</f>
        <v>READY</v>
      </c>
      <c r="AW305" t="s">
        <v>1907</v>
      </c>
    </row>
    <row r="306" spans="1:49" hidden="1" x14ac:dyDescent="0.3">
      <c r="A306">
        <v>2024</v>
      </c>
      <c r="B306">
        <v>318</v>
      </c>
      <c r="C306">
        <v>11020700104</v>
      </c>
      <c r="D306" s="5" t="s">
        <v>44</v>
      </c>
      <c r="E306" s="8" t="s">
        <v>1828</v>
      </c>
      <c r="F306">
        <v>11020700104</v>
      </c>
      <c r="H306" s="8" t="s">
        <v>775</v>
      </c>
      <c r="I306" t="s">
        <v>643</v>
      </c>
      <c r="J306" s="17">
        <v>6555523000</v>
      </c>
      <c r="K306" s="11">
        <v>6555523000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6555523000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718702724</v>
      </c>
      <c r="Y306" s="11">
        <v>0</v>
      </c>
      <c r="Z306" s="12">
        <v>718702724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0</v>
      </c>
      <c r="AG306" s="11">
        <v>718702724</v>
      </c>
      <c r="AH306" s="11">
        <v>0</v>
      </c>
      <c r="AI306" s="12">
        <v>718702724</v>
      </c>
      <c r="AJ306" s="11">
        <v>718702724</v>
      </c>
      <c r="AK306" s="11">
        <v>539027043</v>
      </c>
      <c r="AL306" s="11">
        <v>539027043</v>
      </c>
      <c r="AM306" s="11">
        <v>179675681</v>
      </c>
      <c r="AN306" s="11">
        <v>179675681</v>
      </c>
      <c r="AO306" s="11">
        <v>0</v>
      </c>
      <c r="AP306" s="11">
        <v>179675681</v>
      </c>
      <c r="AQ306" s="11">
        <v>0</v>
      </c>
      <c r="AR306" s="11">
        <v>0</v>
      </c>
      <c r="AS306" t="s">
        <v>48</v>
      </c>
      <c r="AT306"/>
    </row>
    <row r="307" spans="1:49" hidden="1" x14ac:dyDescent="0.3">
      <c r="A307">
        <v>2024</v>
      </c>
      <c r="B307">
        <v>318</v>
      </c>
      <c r="C307">
        <v>1102070010401</v>
      </c>
      <c r="D307" s="5">
        <v>154</v>
      </c>
      <c r="E307" s="8" t="s">
        <v>1829</v>
      </c>
      <c r="F307">
        <v>1102070010401</v>
      </c>
      <c r="G307" t="s">
        <v>1908</v>
      </c>
      <c r="H307" s="8" t="s">
        <v>777</v>
      </c>
      <c r="I307" t="s">
        <v>643</v>
      </c>
      <c r="J307" s="17">
        <v>4457755640.5299997</v>
      </c>
      <c r="K307" s="11">
        <v>4457755640.5299997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4457755640.5299997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488717853</v>
      </c>
      <c r="Y307" s="11">
        <v>0</v>
      </c>
      <c r="Z307" s="12">
        <v>488717853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488717853</v>
      </c>
      <c r="AH307" s="11">
        <v>0</v>
      </c>
      <c r="AI307" s="12">
        <v>488717853</v>
      </c>
      <c r="AJ307" s="11">
        <v>488717853</v>
      </c>
      <c r="AK307" s="11">
        <v>488717853</v>
      </c>
      <c r="AL307" s="11">
        <v>488717853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t="s">
        <v>651</v>
      </c>
      <c r="AT307" s="4" t="str">
        <f t="shared" ref="AT307:AT309" si="63">+H307</f>
        <v>Juegos y  Apuestas Permanentes  Régimen Subsidiado 68%</v>
      </c>
      <c r="AU307" t="str">
        <f t="shared" ref="AU307:AU310" si="64">+D307&amp;AT307&amp;J307</f>
        <v>154Juegos y  Apuestas Permanentes  Régimen Subsidiado 68%4457755640,53</v>
      </c>
      <c r="AV307" t="str">
        <f>+_xlfn.XLOOKUP(AU307,CRUCE!L:L,CRUCE!M:M)</f>
        <v>READY</v>
      </c>
      <c r="AW307" t="s">
        <v>1907</v>
      </c>
    </row>
    <row r="308" spans="1:49" hidden="1" x14ac:dyDescent="0.3">
      <c r="A308">
        <v>2024</v>
      </c>
      <c r="B308">
        <v>318</v>
      </c>
      <c r="C308">
        <v>1102070010402</v>
      </c>
      <c r="D308" s="5">
        <v>72</v>
      </c>
      <c r="E308" s="8" t="s">
        <v>1830</v>
      </c>
      <c r="F308">
        <v>1102070010402</v>
      </c>
      <c r="G308" t="s">
        <v>1908</v>
      </c>
      <c r="H308" s="8" t="s">
        <v>779</v>
      </c>
      <c r="I308" t="s">
        <v>643</v>
      </c>
      <c r="J308" s="17">
        <v>1638880750.6300001</v>
      </c>
      <c r="K308" s="11">
        <v>1638880750.6300001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1638880750.6300001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179675681</v>
      </c>
      <c r="Y308" s="11">
        <v>0</v>
      </c>
      <c r="Z308" s="12">
        <v>179675681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179675681</v>
      </c>
      <c r="AH308" s="11">
        <v>0</v>
      </c>
      <c r="AI308" s="12">
        <v>179675681</v>
      </c>
      <c r="AJ308" s="11">
        <v>179675681</v>
      </c>
      <c r="AK308" s="11">
        <v>0</v>
      </c>
      <c r="AL308" s="11">
        <v>0</v>
      </c>
      <c r="AM308" s="11">
        <v>179675681</v>
      </c>
      <c r="AN308" s="11">
        <v>179675681</v>
      </c>
      <c r="AO308" s="11">
        <v>0</v>
      </c>
      <c r="AP308" s="11">
        <v>179675681</v>
      </c>
      <c r="AQ308" s="11">
        <v>0</v>
      </c>
      <c r="AR308" s="11">
        <v>0</v>
      </c>
      <c r="AS308" t="s">
        <v>656</v>
      </c>
      <c r="AT308" s="4" t="str">
        <f t="shared" si="63"/>
        <v>Juegos y Apuestas Permanentes  25%</v>
      </c>
      <c r="AU308" t="str">
        <f t="shared" si="64"/>
        <v>72Juegos y Apuestas Permanentes  25%1638880750,63</v>
      </c>
      <c r="AV308" t="str">
        <f>+_xlfn.XLOOKUP(AU308,CRUCE!L:L,CRUCE!M:M)</f>
        <v>READY</v>
      </c>
      <c r="AW308" t="s">
        <v>1907</v>
      </c>
    </row>
    <row r="309" spans="1:49" hidden="1" x14ac:dyDescent="0.3">
      <c r="A309">
        <v>2024</v>
      </c>
      <c r="B309">
        <v>318</v>
      </c>
      <c r="C309">
        <v>1102070010403</v>
      </c>
      <c r="D309" s="5">
        <v>181</v>
      </c>
      <c r="E309" s="8" t="s">
        <v>1831</v>
      </c>
      <c r="F309">
        <v>1102070010403</v>
      </c>
      <c r="G309" t="s">
        <v>1908</v>
      </c>
      <c r="H309" s="8" t="s">
        <v>781</v>
      </c>
      <c r="I309" t="s">
        <v>643</v>
      </c>
      <c r="J309" s="17">
        <v>458886608.83999997</v>
      </c>
      <c r="K309" s="11">
        <v>458886608.83999997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458886608.83999997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50309190</v>
      </c>
      <c r="Y309" s="11">
        <v>0</v>
      </c>
      <c r="Z309" s="12">
        <v>50309190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v>0</v>
      </c>
      <c r="AG309" s="11">
        <v>50309190</v>
      </c>
      <c r="AH309" s="11">
        <v>0</v>
      </c>
      <c r="AI309" s="12">
        <v>50309190</v>
      </c>
      <c r="AJ309" s="11">
        <v>50309190</v>
      </c>
      <c r="AK309" s="11">
        <v>50309190</v>
      </c>
      <c r="AL309" s="11">
        <v>50309190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t="s">
        <v>1824</v>
      </c>
      <c r="AT309" s="4" t="str">
        <f t="shared" si="63"/>
        <v>Colciencias 7% Juegos Y Apuestas Permanentes</v>
      </c>
      <c r="AU309" t="str">
        <f t="shared" si="64"/>
        <v>181Colciencias 7% Juegos Y Apuestas Permanentes458886608,84</v>
      </c>
      <c r="AV309" t="str">
        <f>+_xlfn.XLOOKUP(AU309,CRUCE!L:L,CRUCE!M:M)</f>
        <v>READY</v>
      </c>
      <c r="AW309" t="s">
        <v>1907</v>
      </c>
    </row>
    <row r="310" spans="1:49" hidden="1" x14ac:dyDescent="0.3">
      <c r="A310">
        <v>2024</v>
      </c>
      <c r="B310">
        <v>318</v>
      </c>
      <c r="C310">
        <v>1102070010403</v>
      </c>
      <c r="D310" s="5">
        <v>182</v>
      </c>
      <c r="E310" s="8" t="s">
        <v>1832</v>
      </c>
      <c r="F310">
        <v>1102070010403</v>
      </c>
      <c r="G310" t="s">
        <v>1908</v>
      </c>
      <c r="H310" s="8" t="s">
        <v>781</v>
      </c>
      <c r="I310" t="s">
        <v>643</v>
      </c>
      <c r="J310" s="17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2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2">
        <v>0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s="11">
        <v>0</v>
      </c>
      <c r="AS310" t="s">
        <v>674</v>
      </c>
      <c r="AT310" s="4" t="str">
        <f>+H310</f>
        <v>Colciencias 7% Juegos Y Apuestas Permanentes</v>
      </c>
      <c r="AU310" t="str">
        <f t="shared" si="64"/>
        <v>182Colciencias 7% Juegos Y Apuestas Permanentes0</v>
      </c>
      <c r="AV310" t="str">
        <f>+_xlfn.XLOOKUP(AU310,CRUCE!L:L,CRUCE!M:M)</f>
        <v>READY</v>
      </c>
      <c r="AW310" t="s">
        <v>1907</v>
      </c>
    </row>
    <row r="311" spans="1:49" hidden="1" x14ac:dyDescent="0.3">
      <c r="A311">
        <v>2024</v>
      </c>
      <c r="B311">
        <v>318</v>
      </c>
      <c r="C311">
        <v>11020700105</v>
      </c>
      <c r="D311" s="5" t="s">
        <v>44</v>
      </c>
      <c r="E311" s="8" t="s">
        <v>1833</v>
      </c>
      <c r="F311">
        <v>11020700105</v>
      </c>
      <c r="H311" s="8" t="s">
        <v>783</v>
      </c>
      <c r="I311" t="s">
        <v>643</v>
      </c>
      <c r="J311" s="17">
        <v>32159999.25</v>
      </c>
      <c r="K311" s="11">
        <v>32159999.25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32159999.25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3500000</v>
      </c>
      <c r="Y311" s="11">
        <v>0</v>
      </c>
      <c r="Z311" s="12">
        <v>3500000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0</v>
      </c>
      <c r="AG311" s="11">
        <v>3500000</v>
      </c>
      <c r="AH311" s="11">
        <v>0</v>
      </c>
      <c r="AI311" s="12">
        <v>3500000</v>
      </c>
      <c r="AJ311" s="11">
        <v>3500000</v>
      </c>
      <c r="AK311" s="11">
        <v>2625000</v>
      </c>
      <c r="AL311" s="11">
        <v>2625000</v>
      </c>
      <c r="AM311" s="11">
        <v>875000</v>
      </c>
      <c r="AN311" s="11">
        <v>875000</v>
      </c>
      <c r="AO311" s="11">
        <v>0</v>
      </c>
      <c r="AP311" s="11">
        <v>875000</v>
      </c>
      <c r="AQ311" s="11">
        <v>0</v>
      </c>
      <c r="AR311" s="11">
        <v>0</v>
      </c>
      <c r="AS311" t="s">
        <v>48</v>
      </c>
      <c r="AT311"/>
    </row>
    <row r="312" spans="1:49" hidden="1" x14ac:dyDescent="0.3">
      <c r="A312">
        <v>2024</v>
      </c>
      <c r="B312">
        <v>318</v>
      </c>
      <c r="C312">
        <v>1102070010501</v>
      </c>
      <c r="D312" s="5">
        <v>154</v>
      </c>
      <c r="E312" s="8" t="s">
        <v>1834</v>
      </c>
      <c r="F312">
        <v>1102070010501</v>
      </c>
      <c r="G312" t="s">
        <v>1908</v>
      </c>
      <c r="H312" s="8" t="s">
        <v>785</v>
      </c>
      <c r="I312" t="s">
        <v>643</v>
      </c>
      <c r="J312" s="17">
        <v>21868800.309999999</v>
      </c>
      <c r="K312" s="11">
        <v>21868800.309999999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21868800.309999999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2380000</v>
      </c>
      <c r="Y312" s="11">
        <v>0</v>
      </c>
      <c r="Z312" s="12">
        <v>2380000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0</v>
      </c>
      <c r="AG312" s="11">
        <v>2380000</v>
      </c>
      <c r="AH312" s="11">
        <v>0</v>
      </c>
      <c r="AI312" s="12">
        <v>2380000</v>
      </c>
      <c r="AJ312" s="11">
        <v>2380000</v>
      </c>
      <c r="AK312" s="11">
        <v>2380000</v>
      </c>
      <c r="AL312" s="11">
        <v>2380000</v>
      </c>
      <c r="AM312" s="11">
        <v>0</v>
      </c>
      <c r="AN312" s="11">
        <v>0</v>
      </c>
      <c r="AO312" s="11">
        <v>0</v>
      </c>
      <c r="AP312" s="11">
        <v>0</v>
      </c>
      <c r="AQ312" s="11">
        <v>0</v>
      </c>
      <c r="AR312" s="11">
        <v>0</v>
      </c>
      <c r="AS312" t="s">
        <v>651</v>
      </c>
      <c r="AT312" s="4" t="str">
        <f t="shared" ref="AT312:AT314" si="65">+H312</f>
        <v>Rifas Departamentales 68%</v>
      </c>
      <c r="AU312" t="str">
        <f t="shared" ref="AU312:AU315" si="66">+D312&amp;AT312&amp;J312</f>
        <v>154Rifas Departamentales 68%21868800,31</v>
      </c>
      <c r="AV312" t="str">
        <f>+_xlfn.XLOOKUP(AU312,CRUCE!L:L,CRUCE!M:M)</f>
        <v>READY</v>
      </c>
      <c r="AW312" t="s">
        <v>1907</v>
      </c>
    </row>
    <row r="313" spans="1:49" hidden="1" x14ac:dyDescent="0.3">
      <c r="A313">
        <v>2024</v>
      </c>
      <c r="B313">
        <v>318</v>
      </c>
      <c r="C313">
        <v>1102070010502</v>
      </c>
      <c r="D313" s="5">
        <v>72</v>
      </c>
      <c r="E313" s="8" t="s">
        <v>1835</v>
      </c>
      <c r="F313">
        <v>1102070010502</v>
      </c>
      <c r="G313" t="s">
        <v>1908</v>
      </c>
      <c r="H313" s="8" t="s">
        <v>787</v>
      </c>
      <c r="I313" t="s">
        <v>643</v>
      </c>
      <c r="J313" s="17">
        <v>8039999.3700000001</v>
      </c>
      <c r="K313" s="11">
        <v>8039999.3700000001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8039999.3700000001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875000</v>
      </c>
      <c r="Y313" s="11">
        <v>0</v>
      </c>
      <c r="Z313" s="12">
        <v>875000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1">
        <v>875000</v>
      </c>
      <c r="AH313" s="11">
        <v>0</v>
      </c>
      <c r="AI313" s="12">
        <v>875000</v>
      </c>
      <c r="AJ313" s="11">
        <v>875000</v>
      </c>
      <c r="AK313" s="11">
        <v>0</v>
      </c>
      <c r="AL313" s="11">
        <v>0</v>
      </c>
      <c r="AM313" s="11">
        <v>875000</v>
      </c>
      <c r="AN313" s="11">
        <v>875000</v>
      </c>
      <c r="AO313" s="11">
        <v>0</v>
      </c>
      <c r="AP313" s="11">
        <v>875000</v>
      </c>
      <c r="AQ313" s="11">
        <v>0</v>
      </c>
      <c r="AR313" s="11">
        <v>0</v>
      </c>
      <c r="AS313" t="s">
        <v>656</v>
      </c>
      <c r="AT313" s="4" t="str">
        <f t="shared" si="65"/>
        <v>Rifas Departamentales - Otros 25%</v>
      </c>
      <c r="AU313" t="str">
        <f t="shared" si="66"/>
        <v>72Rifas Departamentales - Otros 25%8039999,37</v>
      </c>
      <c r="AV313" t="str">
        <f>+_xlfn.XLOOKUP(AU313,CRUCE!L:L,CRUCE!M:M)</f>
        <v>READY</v>
      </c>
      <c r="AW313" t="s">
        <v>1907</v>
      </c>
    </row>
    <row r="314" spans="1:49" hidden="1" x14ac:dyDescent="0.3">
      <c r="A314">
        <v>2024</v>
      </c>
      <c r="B314">
        <v>318</v>
      </c>
      <c r="C314">
        <v>1102070010503</v>
      </c>
      <c r="D314" s="5">
        <v>181</v>
      </c>
      <c r="E314" s="8" t="s">
        <v>1836</v>
      </c>
      <c r="F314">
        <v>1102070010503</v>
      </c>
      <c r="G314" t="s">
        <v>1908</v>
      </c>
      <c r="H314" s="8" t="s">
        <v>789</v>
      </c>
      <c r="I314" t="s">
        <v>643</v>
      </c>
      <c r="J314" s="17">
        <v>2251199.5699999998</v>
      </c>
      <c r="K314" s="11">
        <v>2251199.5699999998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2251199.5699999998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245000</v>
      </c>
      <c r="Y314" s="11">
        <v>0</v>
      </c>
      <c r="Z314" s="12">
        <v>245000</v>
      </c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11">
        <v>0</v>
      </c>
      <c r="AG314" s="11">
        <v>245000</v>
      </c>
      <c r="AH314" s="11">
        <v>0</v>
      </c>
      <c r="AI314" s="12">
        <v>245000</v>
      </c>
      <c r="AJ314" s="11">
        <v>245000</v>
      </c>
      <c r="AK314" s="11">
        <v>245000</v>
      </c>
      <c r="AL314" s="11">
        <v>245000</v>
      </c>
      <c r="AM314" s="11">
        <v>0</v>
      </c>
      <c r="AN314" s="11">
        <v>0</v>
      </c>
      <c r="AO314" s="11">
        <v>0</v>
      </c>
      <c r="AP314" s="11">
        <v>0</v>
      </c>
      <c r="AQ314" s="11">
        <v>0</v>
      </c>
      <c r="AR314" s="11">
        <v>0</v>
      </c>
      <c r="AS314" t="s">
        <v>1824</v>
      </c>
      <c r="AT314" s="4" t="str">
        <f t="shared" si="65"/>
        <v>Colciencias 7% Rifas Departamentales</v>
      </c>
      <c r="AU314" t="str">
        <f t="shared" si="66"/>
        <v>181Colciencias 7% Rifas Departamentales2251199,57</v>
      </c>
      <c r="AV314" t="str">
        <f>+_xlfn.XLOOKUP(AU314,CRUCE!L:L,CRUCE!M:M)</f>
        <v>READY</v>
      </c>
      <c r="AW314" t="s">
        <v>1907</v>
      </c>
    </row>
    <row r="315" spans="1:49" hidden="1" x14ac:dyDescent="0.3">
      <c r="A315">
        <v>2024</v>
      </c>
      <c r="B315">
        <v>318</v>
      </c>
      <c r="C315">
        <v>1102070010503</v>
      </c>
      <c r="D315" s="5">
        <v>182</v>
      </c>
      <c r="E315" s="8" t="s">
        <v>1837</v>
      </c>
      <c r="F315">
        <v>1102070010503</v>
      </c>
      <c r="G315" t="s">
        <v>1908</v>
      </c>
      <c r="H315" s="8" t="s">
        <v>789</v>
      </c>
      <c r="I315" t="s">
        <v>643</v>
      </c>
      <c r="J315" s="17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2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2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t="s">
        <v>674</v>
      </c>
      <c r="AT315" s="4" t="str">
        <f>+H315</f>
        <v>Colciencias 7% Rifas Departamentales</v>
      </c>
      <c r="AU315" t="str">
        <f t="shared" si="66"/>
        <v>182Colciencias 7% Rifas Departamentales0</v>
      </c>
      <c r="AV315" t="str">
        <f>+_xlfn.XLOOKUP(AU315,CRUCE!L:L,CRUCE!M:M)</f>
        <v>READY</v>
      </c>
      <c r="AW315" t="s">
        <v>1907</v>
      </c>
    </row>
    <row r="316" spans="1:49" hidden="1" x14ac:dyDescent="0.3">
      <c r="A316">
        <v>2024</v>
      </c>
      <c r="B316">
        <v>318</v>
      </c>
      <c r="C316">
        <v>11020700109</v>
      </c>
      <c r="D316" s="5" t="s">
        <v>44</v>
      </c>
      <c r="E316" s="8" t="s">
        <v>1838</v>
      </c>
      <c r="F316">
        <v>11020700109</v>
      </c>
      <c r="H316" s="8" t="s">
        <v>791</v>
      </c>
      <c r="I316" t="s">
        <v>643</v>
      </c>
      <c r="J316" s="17">
        <v>1039156000.01</v>
      </c>
      <c r="K316" s="11">
        <v>1039156000.01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1039156000.01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185106590</v>
      </c>
      <c r="Y316" s="11">
        <v>0</v>
      </c>
      <c r="Z316" s="12">
        <v>185106590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185106590</v>
      </c>
      <c r="AH316" s="11">
        <v>0</v>
      </c>
      <c r="AI316" s="12">
        <v>185106590</v>
      </c>
      <c r="AJ316" s="11">
        <v>185106590</v>
      </c>
      <c r="AK316" s="11">
        <v>66509466</v>
      </c>
      <c r="AL316" s="11">
        <v>66509466</v>
      </c>
      <c r="AM316" s="11">
        <v>118597124</v>
      </c>
      <c r="AN316" s="11">
        <v>118597124</v>
      </c>
      <c r="AO316" s="11">
        <v>0</v>
      </c>
      <c r="AP316" s="11">
        <v>118597124</v>
      </c>
      <c r="AQ316" s="11">
        <v>0</v>
      </c>
      <c r="AR316" s="11">
        <v>0</v>
      </c>
      <c r="AS316" t="s">
        <v>48</v>
      </c>
      <c r="AT316"/>
    </row>
    <row r="317" spans="1:49" hidden="1" x14ac:dyDescent="0.3">
      <c r="A317">
        <v>2024</v>
      </c>
      <c r="B317">
        <v>318</v>
      </c>
      <c r="C317">
        <v>1102070010901</v>
      </c>
      <c r="D317" s="5">
        <v>253</v>
      </c>
      <c r="E317" s="8" t="s">
        <v>1839</v>
      </c>
      <c r="F317">
        <v>1102070010901</v>
      </c>
      <c r="G317" t="s">
        <v>1908</v>
      </c>
      <c r="H317" s="8" t="s">
        <v>793</v>
      </c>
      <c r="I317" t="s">
        <v>643</v>
      </c>
      <c r="J317" s="17">
        <v>706626080.00999999</v>
      </c>
      <c r="K317" s="11">
        <v>706626080.00999999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706626080.00999999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2">
        <v>0</v>
      </c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2">
        <v>0</v>
      </c>
      <c r="AJ317" s="11">
        <v>0</v>
      </c>
      <c r="AK317" s="11">
        <v>0</v>
      </c>
      <c r="AL317" s="11">
        <v>0</v>
      </c>
      <c r="AM317" s="11">
        <v>0</v>
      </c>
      <c r="AN317" s="11">
        <v>0</v>
      </c>
      <c r="AO317" s="11">
        <v>0</v>
      </c>
      <c r="AP317" s="11">
        <v>0</v>
      </c>
      <c r="AQ317" s="11">
        <v>0</v>
      </c>
      <c r="AR317" s="11">
        <v>0</v>
      </c>
      <c r="AS317" t="s">
        <v>1840</v>
      </c>
      <c r="AT317" s="4" t="str">
        <f t="shared" ref="AT317:AT318" si="67">+H317</f>
        <v>Juegos Novedosos - Super Astro 68%</v>
      </c>
      <c r="AU317" t="str">
        <f t="shared" ref="AU317:AU322" si="68">+D317&amp;AT317&amp;J317</f>
        <v>253Juegos Novedosos - Super Astro 68%706626080,01</v>
      </c>
      <c r="AV317" t="str">
        <f>+_xlfn.XLOOKUP(AU317,CRUCE!L:L,CRUCE!M:M)</f>
        <v>READY</v>
      </c>
      <c r="AW317" t="s">
        <v>1907</v>
      </c>
    </row>
    <row r="318" spans="1:49" hidden="1" x14ac:dyDescent="0.3">
      <c r="A318">
        <v>2024</v>
      </c>
      <c r="B318">
        <v>318</v>
      </c>
      <c r="C318">
        <v>1102070010903</v>
      </c>
      <c r="D318" s="5">
        <v>255</v>
      </c>
      <c r="E318" s="8" t="s">
        <v>1841</v>
      </c>
      <c r="F318">
        <v>1102070010903</v>
      </c>
      <c r="G318" t="s">
        <v>1908</v>
      </c>
      <c r="H318" s="8" t="s">
        <v>797</v>
      </c>
      <c r="I318" t="s">
        <v>643</v>
      </c>
      <c r="J318" s="17">
        <v>259789000</v>
      </c>
      <c r="K318" s="11">
        <v>259789000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259789000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118597124</v>
      </c>
      <c r="Y318" s="11">
        <v>0</v>
      </c>
      <c r="Z318" s="12">
        <v>118597124</v>
      </c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1">
        <v>118597124</v>
      </c>
      <c r="AH318" s="11">
        <v>0</v>
      </c>
      <c r="AI318" s="12">
        <v>118597124</v>
      </c>
      <c r="AJ318" s="11">
        <v>118597124</v>
      </c>
      <c r="AK318" s="11">
        <v>0</v>
      </c>
      <c r="AL318" s="11">
        <v>0</v>
      </c>
      <c r="AM318" s="11">
        <v>118597124</v>
      </c>
      <c r="AN318" s="11">
        <v>118597124</v>
      </c>
      <c r="AO318" s="11">
        <v>0</v>
      </c>
      <c r="AP318" s="11">
        <v>118597124</v>
      </c>
      <c r="AQ318" s="11">
        <v>0</v>
      </c>
      <c r="AR318" s="11">
        <v>0</v>
      </c>
      <c r="AS318" t="s">
        <v>1842</v>
      </c>
      <c r="AT318" s="4" t="str">
        <f t="shared" si="67"/>
        <v>Juegos Novedosos - Super Astro 25%</v>
      </c>
      <c r="AU318" t="str">
        <f t="shared" si="68"/>
        <v>255Juegos Novedosos - Super Astro 25%259789000</v>
      </c>
      <c r="AV318" t="str">
        <f>+_xlfn.XLOOKUP(AU318,CRUCE!L:L,CRUCE!M:M)</f>
        <v>READY</v>
      </c>
      <c r="AW318" t="s">
        <v>1907</v>
      </c>
    </row>
    <row r="319" spans="1:49" hidden="1" x14ac:dyDescent="0.3">
      <c r="A319">
        <v>2024</v>
      </c>
      <c r="B319">
        <v>318</v>
      </c>
      <c r="C319">
        <v>1102070010905</v>
      </c>
      <c r="D319" s="5">
        <v>182</v>
      </c>
      <c r="E319" s="8" t="s">
        <v>1843</v>
      </c>
      <c r="F319">
        <v>1102070010905</v>
      </c>
      <c r="G319" t="s">
        <v>1908</v>
      </c>
      <c r="H319" s="8" t="s">
        <v>801</v>
      </c>
      <c r="I319" t="s">
        <v>643</v>
      </c>
      <c r="J319" s="17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2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2">
        <v>0</v>
      </c>
      <c r="AJ319" s="11">
        <v>0</v>
      </c>
      <c r="AK319" s="11">
        <v>0</v>
      </c>
      <c r="AL319" s="11">
        <v>0</v>
      </c>
      <c r="AM319" s="11">
        <v>0</v>
      </c>
      <c r="AN319" s="11">
        <v>0</v>
      </c>
      <c r="AO319" s="11">
        <v>0</v>
      </c>
      <c r="AP319" s="11">
        <v>0</v>
      </c>
      <c r="AQ319" s="11">
        <v>0</v>
      </c>
      <c r="AR319" s="11">
        <v>0</v>
      </c>
      <c r="AS319" t="s">
        <v>674</v>
      </c>
      <c r="AT319" s="4" t="str">
        <f>+H319</f>
        <v>Colciencias 7%  Juegos Novedosos Super Astro</v>
      </c>
      <c r="AU319" t="str">
        <f t="shared" si="68"/>
        <v>182Colciencias 7%  Juegos Novedosos Super Astro0</v>
      </c>
      <c r="AV319" t="str">
        <f>+_xlfn.XLOOKUP(AU319,CRUCE!L:L,CRUCE!M:M)</f>
        <v>READY</v>
      </c>
      <c r="AW319" t="s">
        <v>1907</v>
      </c>
    </row>
    <row r="320" spans="1:49" hidden="1" x14ac:dyDescent="0.3">
      <c r="A320">
        <v>2024</v>
      </c>
      <c r="B320">
        <v>318</v>
      </c>
      <c r="C320">
        <v>1102070010905</v>
      </c>
      <c r="D320" s="5">
        <v>254</v>
      </c>
      <c r="E320" s="8" t="s">
        <v>1844</v>
      </c>
      <c r="F320">
        <v>1102070010905</v>
      </c>
      <c r="G320" t="s">
        <v>1908</v>
      </c>
      <c r="H320" s="8" t="s">
        <v>801</v>
      </c>
      <c r="I320" t="s">
        <v>643</v>
      </c>
      <c r="J320" s="17">
        <v>72740920</v>
      </c>
      <c r="K320" s="11">
        <v>72740920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72740920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2">
        <v>0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2">
        <v>0</v>
      </c>
      <c r="AJ320" s="11">
        <v>0</v>
      </c>
      <c r="AK320" s="11">
        <v>0</v>
      </c>
      <c r="AL320" s="11">
        <v>0</v>
      </c>
      <c r="AM320" s="11">
        <v>0</v>
      </c>
      <c r="AN320" s="11">
        <v>0</v>
      </c>
      <c r="AO320" s="11">
        <v>0</v>
      </c>
      <c r="AP320" s="11">
        <v>0</v>
      </c>
      <c r="AQ320" s="11">
        <v>0</v>
      </c>
      <c r="AR320" s="11">
        <v>0</v>
      </c>
      <c r="AS320" t="s">
        <v>1845</v>
      </c>
      <c r="AT320" s="4" t="str">
        <f>+H320</f>
        <v>Colciencias 7%  Juegos Novedosos Super Astro</v>
      </c>
      <c r="AU320" t="str">
        <f t="shared" si="68"/>
        <v>254Colciencias 7%  Juegos Novedosos Super Astro72740920</v>
      </c>
      <c r="AV320" t="str">
        <f>+_xlfn.XLOOKUP(AU320,CRUCE!L:L,CRUCE!M:M)</f>
        <v>READY</v>
      </c>
      <c r="AW320" t="s">
        <v>1907</v>
      </c>
    </row>
    <row r="321" spans="1:49" hidden="1" x14ac:dyDescent="0.3">
      <c r="A321">
        <v>2024</v>
      </c>
      <c r="B321">
        <v>318</v>
      </c>
      <c r="C321">
        <v>1102070010907</v>
      </c>
      <c r="D321" s="5">
        <v>181</v>
      </c>
      <c r="E321" s="8" t="s">
        <v>1846</v>
      </c>
      <c r="F321">
        <v>1102070010907</v>
      </c>
      <c r="G321" t="s">
        <v>1908</v>
      </c>
      <c r="H321" s="8" t="s">
        <v>1847</v>
      </c>
      <c r="I321" t="s">
        <v>643</v>
      </c>
      <c r="J321" s="17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2">
        <v>0</v>
      </c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2">
        <v>0</v>
      </c>
      <c r="AJ321" s="11">
        <v>0</v>
      </c>
      <c r="AK321" s="11">
        <v>0</v>
      </c>
      <c r="AL321" s="11">
        <v>0</v>
      </c>
      <c r="AM321" s="11">
        <v>0</v>
      </c>
      <c r="AN321" s="11">
        <v>0</v>
      </c>
      <c r="AO321" s="11">
        <v>0</v>
      </c>
      <c r="AP321" s="11">
        <v>0</v>
      </c>
      <c r="AQ321" s="11">
        <v>0</v>
      </c>
      <c r="AR321" s="11">
        <v>0</v>
      </c>
      <c r="AS321" t="s">
        <v>1824</v>
      </c>
      <c r="AT321" s="4" t="str">
        <f>+H321</f>
        <v xml:space="preserve">RECURSOS FONPET COLJUEGOS ADRES </v>
      </c>
      <c r="AU321" t="str">
        <f t="shared" si="68"/>
        <v>181RECURSOS FONPET COLJUEGOS ADRES 0</v>
      </c>
      <c r="AV321" t="str">
        <f>+_xlfn.XLOOKUP(AU321,CRUCE!L:L,CRUCE!M:M)</f>
        <v>READY</v>
      </c>
      <c r="AW321" t="s">
        <v>1907</v>
      </c>
    </row>
    <row r="322" spans="1:49" hidden="1" x14ac:dyDescent="0.3">
      <c r="A322">
        <v>2024</v>
      </c>
      <c r="B322">
        <v>318</v>
      </c>
      <c r="C322">
        <v>1102070010907</v>
      </c>
      <c r="D322" s="5">
        <v>265</v>
      </c>
      <c r="E322" s="8" t="s">
        <v>1848</v>
      </c>
      <c r="F322">
        <v>1102070010907</v>
      </c>
      <c r="G322" t="s">
        <v>1908</v>
      </c>
      <c r="H322" s="8" t="s">
        <v>1847</v>
      </c>
      <c r="I322" t="s">
        <v>643</v>
      </c>
      <c r="J322" s="17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66509466</v>
      </c>
      <c r="Y322" s="11">
        <v>0</v>
      </c>
      <c r="Z322" s="12">
        <v>66509466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66509466</v>
      </c>
      <c r="AH322" s="11">
        <v>0</v>
      </c>
      <c r="AI322" s="12">
        <v>66509466</v>
      </c>
      <c r="AJ322" s="11">
        <v>66509466</v>
      </c>
      <c r="AK322" s="11">
        <v>66509466</v>
      </c>
      <c r="AL322" s="11">
        <v>66509466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0</v>
      </c>
      <c r="AS322" t="s">
        <v>1849</v>
      </c>
      <c r="AT322" s="4" t="str">
        <f>+H322</f>
        <v xml:space="preserve">RECURSOS FONPET COLJUEGOS ADRES </v>
      </c>
      <c r="AU322" t="str">
        <f t="shared" si="68"/>
        <v>265RECURSOS FONPET COLJUEGOS ADRES 0</v>
      </c>
      <c r="AV322" t="str">
        <f>+_xlfn.XLOOKUP(AU322,CRUCE!L:L,CRUCE!M:M)</f>
        <v>READY</v>
      </c>
      <c r="AW322" t="s">
        <v>1907</v>
      </c>
    </row>
    <row r="323" spans="1:49" hidden="1" x14ac:dyDescent="0.3">
      <c r="A323">
        <v>2024</v>
      </c>
      <c r="B323">
        <v>318</v>
      </c>
      <c r="C323">
        <v>110207002</v>
      </c>
      <c r="D323" s="5" t="s">
        <v>44</v>
      </c>
      <c r="E323" s="8" t="s">
        <v>1850</v>
      </c>
      <c r="F323">
        <v>110207002</v>
      </c>
      <c r="H323" s="8" t="s">
        <v>349</v>
      </c>
      <c r="I323" t="s">
        <v>643</v>
      </c>
      <c r="J323" s="17">
        <v>13674982999.98</v>
      </c>
      <c r="K323" s="11">
        <v>13674982999.98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13674982999.98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2126059610</v>
      </c>
      <c r="Y323" s="11">
        <v>0</v>
      </c>
      <c r="Z323" s="12">
        <v>2126059610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2126059610</v>
      </c>
      <c r="AH323" s="11">
        <v>0</v>
      </c>
      <c r="AI323" s="12">
        <v>2126059610</v>
      </c>
      <c r="AJ323" s="11">
        <v>2126059610</v>
      </c>
      <c r="AK323" s="11">
        <v>115003240</v>
      </c>
      <c r="AL323" s="11">
        <v>115003240</v>
      </c>
      <c r="AM323" s="11">
        <v>2011056370</v>
      </c>
      <c r="AN323" s="11">
        <v>2011056370</v>
      </c>
      <c r="AO323" s="11">
        <v>0</v>
      </c>
      <c r="AP323" s="11">
        <v>2011056370</v>
      </c>
      <c r="AQ323" s="11">
        <v>0</v>
      </c>
      <c r="AR323" s="11">
        <v>0</v>
      </c>
      <c r="AS323" t="s">
        <v>48</v>
      </c>
      <c r="AT323"/>
    </row>
    <row r="324" spans="1:49" hidden="1" x14ac:dyDescent="0.3">
      <c r="A324">
        <v>2024</v>
      </c>
      <c r="B324">
        <v>318</v>
      </c>
      <c r="C324">
        <v>11020700201</v>
      </c>
      <c r="D324" s="5" t="s">
        <v>44</v>
      </c>
      <c r="E324" s="8" t="s">
        <v>1851</v>
      </c>
      <c r="F324">
        <v>11020700201</v>
      </c>
      <c r="H324" s="8" t="s">
        <v>351</v>
      </c>
      <c r="I324" t="s">
        <v>643</v>
      </c>
      <c r="J324" s="17">
        <v>13672492899.98</v>
      </c>
      <c r="K324" s="11">
        <v>13672492899.98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13672492899.98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2125482780</v>
      </c>
      <c r="Y324" s="11">
        <v>0</v>
      </c>
      <c r="Z324" s="12">
        <v>2125482780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2125482780</v>
      </c>
      <c r="AH324" s="11">
        <v>0</v>
      </c>
      <c r="AI324" s="12">
        <v>2125482780</v>
      </c>
      <c r="AJ324" s="11">
        <v>2125482780</v>
      </c>
      <c r="AK324" s="11">
        <v>115003240</v>
      </c>
      <c r="AL324" s="11">
        <v>115003240</v>
      </c>
      <c r="AM324" s="11">
        <v>2010479540</v>
      </c>
      <c r="AN324" s="11">
        <v>2010479540</v>
      </c>
      <c r="AO324" s="11">
        <v>0</v>
      </c>
      <c r="AP324" s="11">
        <v>2010479540</v>
      </c>
      <c r="AQ324" s="11">
        <v>0</v>
      </c>
      <c r="AR324" s="11">
        <v>0</v>
      </c>
      <c r="AS324" t="s">
        <v>48</v>
      </c>
      <c r="AT324"/>
    </row>
    <row r="325" spans="1:49" hidden="1" x14ac:dyDescent="0.3">
      <c r="A325">
        <v>2024</v>
      </c>
      <c r="B325">
        <v>318</v>
      </c>
      <c r="C325">
        <v>1102070020102</v>
      </c>
      <c r="D325" s="5" t="s">
        <v>44</v>
      </c>
      <c r="E325" s="8" t="s">
        <v>1852</v>
      </c>
      <c r="F325">
        <v>1102070020102</v>
      </c>
      <c r="H325" s="8" t="s">
        <v>353</v>
      </c>
      <c r="I325" t="s">
        <v>643</v>
      </c>
      <c r="J325" s="17">
        <v>653832302.04999995</v>
      </c>
      <c r="K325" s="11">
        <v>653832302.04999995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653832302.04999995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312853870</v>
      </c>
      <c r="Y325" s="11">
        <v>0</v>
      </c>
      <c r="Z325" s="12">
        <v>312853870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312853870</v>
      </c>
      <c r="AH325" s="11">
        <v>0</v>
      </c>
      <c r="AI325" s="12">
        <v>312853870</v>
      </c>
      <c r="AJ325" s="11">
        <v>312853870</v>
      </c>
      <c r="AK325" s="11">
        <v>0</v>
      </c>
      <c r="AL325" s="11">
        <v>0</v>
      </c>
      <c r="AM325" s="11">
        <v>312853870</v>
      </c>
      <c r="AN325" s="11">
        <v>312853870</v>
      </c>
      <c r="AO325" s="11">
        <v>0</v>
      </c>
      <c r="AP325" s="11">
        <v>312853870</v>
      </c>
      <c r="AQ325" s="11">
        <v>0</v>
      </c>
      <c r="AR325" s="11">
        <v>0</v>
      </c>
      <c r="AS325" t="s">
        <v>48</v>
      </c>
      <c r="AT325"/>
    </row>
    <row r="326" spans="1:49" hidden="1" x14ac:dyDescent="0.3">
      <c r="A326">
        <v>2024</v>
      </c>
      <c r="B326">
        <v>318</v>
      </c>
      <c r="C326">
        <v>110207002010201</v>
      </c>
      <c r="D326" s="5">
        <v>237</v>
      </c>
      <c r="E326" s="8" t="s">
        <v>1853</v>
      </c>
      <c r="F326">
        <v>110207002010201</v>
      </c>
      <c r="G326" t="s">
        <v>1908</v>
      </c>
      <c r="H326" s="8" t="s">
        <v>355</v>
      </c>
      <c r="I326" t="s">
        <v>643</v>
      </c>
      <c r="J326" s="17">
        <v>268934015.24000001</v>
      </c>
      <c r="K326" s="11">
        <v>268934015.24000001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268934015.24000001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140575025</v>
      </c>
      <c r="Y326" s="11">
        <v>0</v>
      </c>
      <c r="Z326" s="12">
        <v>140575025</v>
      </c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11">
        <v>0</v>
      </c>
      <c r="AG326" s="11">
        <v>140575025</v>
      </c>
      <c r="AH326" s="11">
        <v>0</v>
      </c>
      <c r="AI326" s="12">
        <v>140575025</v>
      </c>
      <c r="AJ326" s="11">
        <v>140575025</v>
      </c>
      <c r="AK326" s="11">
        <v>0</v>
      </c>
      <c r="AL326" s="11">
        <v>0</v>
      </c>
      <c r="AM326" s="11">
        <v>140575025</v>
      </c>
      <c r="AN326" s="11">
        <v>140575025</v>
      </c>
      <c r="AO326" s="11">
        <v>0</v>
      </c>
      <c r="AP326" s="11">
        <v>140575025</v>
      </c>
      <c r="AQ326" s="11">
        <v>0</v>
      </c>
      <c r="AR326" s="11">
        <v>0</v>
      </c>
      <c r="AS326" t="s">
        <v>1854</v>
      </c>
      <c r="AT326" s="4" t="str">
        <f>+H326</f>
        <v>Derechos de monopolio por la introducción de licores destilados de producción nacional</v>
      </c>
      <c r="AU326" t="str">
        <f t="shared" ref="AU326:AU331" si="69">+D326&amp;AT326&amp;J326</f>
        <v>237Derechos de monopolio por la introducción de licores destilados de producción nacional268934015,24</v>
      </c>
      <c r="AV326" t="str">
        <f>+_xlfn.XLOOKUP(AU326,CRUCE!L:L,CRUCE!M:M)</f>
        <v>READY</v>
      </c>
      <c r="AW326" t="s">
        <v>1907</v>
      </c>
    </row>
    <row r="327" spans="1:49" hidden="1" x14ac:dyDescent="0.3">
      <c r="A327">
        <v>2024</v>
      </c>
      <c r="B327">
        <v>318</v>
      </c>
      <c r="C327">
        <v>110207002010201</v>
      </c>
      <c r="D327" s="5">
        <v>238</v>
      </c>
      <c r="E327" s="8" t="s">
        <v>1855</v>
      </c>
      <c r="F327">
        <v>110207002010201</v>
      </c>
      <c r="G327" t="s">
        <v>1908</v>
      </c>
      <c r="H327" s="8" t="s">
        <v>355</v>
      </c>
      <c r="I327" t="s">
        <v>643</v>
      </c>
      <c r="J327" s="17">
        <v>134467007.62</v>
      </c>
      <c r="K327" s="11">
        <v>134467007.62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134467007.62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70287512.5</v>
      </c>
      <c r="Y327" s="11">
        <v>0</v>
      </c>
      <c r="Z327" s="12">
        <v>70287512.5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0</v>
      </c>
      <c r="AG327" s="11">
        <v>70287512.5</v>
      </c>
      <c r="AH327" s="11">
        <v>0</v>
      </c>
      <c r="AI327" s="12">
        <v>70287512.5</v>
      </c>
      <c r="AJ327" s="11">
        <v>70287512.5</v>
      </c>
      <c r="AK327" s="11">
        <v>0</v>
      </c>
      <c r="AL327" s="11">
        <v>0</v>
      </c>
      <c r="AM327" s="11">
        <v>70287512.5</v>
      </c>
      <c r="AN327" s="11">
        <v>70287512.5</v>
      </c>
      <c r="AO327" s="11">
        <v>0</v>
      </c>
      <c r="AP327" s="11">
        <v>70287512.5</v>
      </c>
      <c r="AQ327" s="11">
        <v>0</v>
      </c>
      <c r="AR327" s="11">
        <v>0</v>
      </c>
      <c r="AS327" t="s">
        <v>1856</v>
      </c>
      <c r="AT327" s="4" t="str">
        <f t="shared" ref="AT327:AT328" si="70">+H327</f>
        <v>Derechos de monopolio por la introducción de licores destilados de producción nacional</v>
      </c>
      <c r="AU327" t="str">
        <f t="shared" si="69"/>
        <v>238Derechos de monopolio por la introducción de licores destilados de producción nacional134467007,62</v>
      </c>
      <c r="AV327" t="str">
        <f>+_xlfn.XLOOKUP(AU327,CRUCE!L:L,CRUCE!M:M)</f>
        <v>READY</v>
      </c>
      <c r="AW327" t="s">
        <v>1907</v>
      </c>
    </row>
    <row r="328" spans="1:49" hidden="1" x14ac:dyDescent="0.3">
      <c r="A328">
        <v>2024</v>
      </c>
      <c r="B328">
        <v>318</v>
      </c>
      <c r="C328">
        <v>110207002010201</v>
      </c>
      <c r="D328" s="5">
        <v>239</v>
      </c>
      <c r="E328" s="8" t="s">
        <v>1857</v>
      </c>
      <c r="F328">
        <v>110207002010201</v>
      </c>
      <c r="G328" t="s">
        <v>1908</v>
      </c>
      <c r="H328" s="8" t="s">
        <v>355</v>
      </c>
      <c r="I328" t="s">
        <v>643</v>
      </c>
      <c r="J328" s="17">
        <v>134467007.62</v>
      </c>
      <c r="K328" s="11">
        <v>134467007.62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134467007.62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70287512.5</v>
      </c>
      <c r="Y328" s="11">
        <v>0</v>
      </c>
      <c r="Z328" s="12">
        <v>70287512.5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70287512.5</v>
      </c>
      <c r="AH328" s="11">
        <v>0</v>
      </c>
      <c r="AI328" s="12">
        <v>70287512.5</v>
      </c>
      <c r="AJ328" s="11">
        <v>70287512.5</v>
      </c>
      <c r="AK328" s="11">
        <v>0</v>
      </c>
      <c r="AL328" s="11">
        <v>0</v>
      </c>
      <c r="AM328" s="11">
        <v>70287512.5</v>
      </c>
      <c r="AN328" s="11">
        <v>70287512.5</v>
      </c>
      <c r="AO328" s="11">
        <v>0</v>
      </c>
      <c r="AP328" s="11">
        <v>70287512.5</v>
      </c>
      <c r="AQ328" s="11">
        <v>0</v>
      </c>
      <c r="AR328" s="11">
        <v>0</v>
      </c>
      <c r="AS328" t="s">
        <v>1858</v>
      </c>
      <c r="AT328" s="4" t="str">
        <f t="shared" si="70"/>
        <v>Derechos de monopolio por la introducción de licores destilados de producción nacional</v>
      </c>
      <c r="AU328" t="str">
        <f t="shared" si="69"/>
        <v>239Derechos de monopolio por la introducción de licores destilados de producción nacional134467007,62</v>
      </c>
      <c r="AV328" t="str">
        <f>+_xlfn.XLOOKUP(AU328,CRUCE!L:L,CRUCE!M:M)</f>
        <v>READY</v>
      </c>
      <c r="AW328" t="s">
        <v>1907</v>
      </c>
    </row>
    <row r="329" spans="1:49" hidden="1" x14ac:dyDescent="0.3">
      <c r="A329">
        <v>2024</v>
      </c>
      <c r="B329">
        <v>318</v>
      </c>
      <c r="C329">
        <v>110207002010202</v>
      </c>
      <c r="D329" s="5">
        <v>237</v>
      </c>
      <c r="E329" s="8" t="s">
        <v>1859</v>
      </c>
      <c r="F329">
        <v>110207002010202</v>
      </c>
      <c r="G329" t="s">
        <v>1908</v>
      </c>
      <c r="H329" s="8" t="s">
        <v>1096</v>
      </c>
      <c r="I329" t="s">
        <v>643</v>
      </c>
      <c r="J329" s="17">
        <v>57982135.789999999</v>
      </c>
      <c r="K329" s="11">
        <v>57982135.789999999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57982135.789999999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15851910</v>
      </c>
      <c r="Y329" s="11">
        <v>0</v>
      </c>
      <c r="Z329" s="12">
        <v>15851910</v>
      </c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11">
        <v>0</v>
      </c>
      <c r="AG329" s="11">
        <v>15851910</v>
      </c>
      <c r="AH329" s="11">
        <v>0</v>
      </c>
      <c r="AI329" s="12">
        <v>15851910</v>
      </c>
      <c r="AJ329" s="11">
        <v>15851910</v>
      </c>
      <c r="AK329" s="11">
        <v>0</v>
      </c>
      <c r="AL329" s="11">
        <v>0</v>
      </c>
      <c r="AM329" s="11">
        <v>15851910</v>
      </c>
      <c r="AN329" s="11">
        <v>15851910</v>
      </c>
      <c r="AO329" s="11">
        <v>0</v>
      </c>
      <c r="AP329" s="11">
        <v>15851910</v>
      </c>
      <c r="AQ329" s="11">
        <v>0</v>
      </c>
      <c r="AR329" s="11">
        <v>0</v>
      </c>
      <c r="AS329" t="s">
        <v>1854</v>
      </c>
      <c r="AT329" s="4" t="str">
        <f>+H329</f>
        <v>Derechos de monopolio por la introducción de licores destilados de producción extranjera</v>
      </c>
      <c r="AU329" t="str">
        <f t="shared" si="69"/>
        <v>237Derechos de monopolio por la introducción de licores destilados de producción extranjera57982135,79</v>
      </c>
      <c r="AV329" t="str">
        <f>+_xlfn.XLOOKUP(AU329,CRUCE!L:L,CRUCE!M:M)</f>
        <v>READY</v>
      </c>
      <c r="AW329" t="s">
        <v>1907</v>
      </c>
    </row>
    <row r="330" spans="1:49" hidden="1" x14ac:dyDescent="0.3">
      <c r="A330">
        <v>2024</v>
      </c>
      <c r="B330">
        <v>318</v>
      </c>
      <c r="C330">
        <v>110207002010202</v>
      </c>
      <c r="D330" s="5">
        <v>238</v>
      </c>
      <c r="E330" s="8" t="s">
        <v>1860</v>
      </c>
      <c r="F330">
        <v>110207002010202</v>
      </c>
      <c r="G330" t="s">
        <v>1908</v>
      </c>
      <c r="H330" s="8" t="s">
        <v>1096</v>
      </c>
      <c r="I330" t="s">
        <v>643</v>
      </c>
      <c r="J330" s="17">
        <v>28991067.890000001</v>
      </c>
      <c r="K330" s="11">
        <v>28991067.890000001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28991067.890000001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7925955</v>
      </c>
      <c r="Y330" s="11">
        <v>0</v>
      </c>
      <c r="Z330" s="12">
        <v>7925955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7925955</v>
      </c>
      <c r="AH330" s="11">
        <v>0</v>
      </c>
      <c r="AI330" s="12">
        <v>7925955</v>
      </c>
      <c r="AJ330" s="11">
        <v>7925955</v>
      </c>
      <c r="AK330" s="11">
        <v>0</v>
      </c>
      <c r="AL330" s="11">
        <v>0</v>
      </c>
      <c r="AM330" s="11">
        <v>7925955</v>
      </c>
      <c r="AN330" s="11">
        <v>7925955</v>
      </c>
      <c r="AO330" s="11">
        <v>0</v>
      </c>
      <c r="AP330" s="11">
        <v>7925955</v>
      </c>
      <c r="AQ330" s="11">
        <v>0</v>
      </c>
      <c r="AR330" s="11">
        <v>0</v>
      </c>
      <c r="AS330" t="s">
        <v>1856</v>
      </c>
      <c r="AT330" s="4" t="str">
        <f t="shared" ref="AT330:AT331" si="71">+H330</f>
        <v>Derechos de monopolio por la introducción de licores destilados de producción extranjera</v>
      </c>
      <c r="AU330" t="str">
        <f t="shared" si="69"/>
        <v>238Derechos de monopolio por la introducción de licores destilados de producción extranjera28991067,89</v>
      </c>
      <c r="AV330" t="str">
        <f>+_xlfn.XLOOKUP(AU330,CRUCE!L:L,CRUCE!M:M)</f>
        <v>READY</v>
      </c>
      <c r="AW330" t="s">
        <v>1907</v>
      </c>
    </row>
    <row r="331" spans="1:49" hidden="1" x14ac:dyDescent="0.3">
      <c r="A331">
        <v>2024</v>
      </c>
      <c r="B331">
        <v>318</v>
      </c>
      <c r="C331">
        <v>110207002010202</v>
      </c>
      <c r="D331" s="5">
        <v>239</v>
      </c>
      <c r="E331" s="8" t="s">
        <v>1861</v>
      </c>
      <c r="F331">
        <v>110207002010202</v>
      </c>
      <c r="G331" t="s">
        <v>1908</v>
      </c>
      <c r="H331" s="8" t="s">
        <v>1096</v>
      </c>
      <c r="I331" t="s">
        <v>643</v>
      </c>
      <c r="J331" s="17">
        <v>28991067.890000001</v>
      </c>
      <c r="K331" s="11">
        <v>28991067.890000001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28991067.890000001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7925955</v>
      </c>
      <c r="Y331" s="11">
        <v>0</v>
      </c>
      <c r="Z331" s="12">
        <v>7925955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7925955</v>
      </c>
      <c r="AH331" s="11">
        <v>0</v>
      </c>
      <c r="AI331" s="12">
        <v>7925955</v>
      </c>
      <c r="AJ331" s="11">
        <v>7925955</v>
      </c>
      <c r="AK331" s="11">
        <v>0</v>
      </c>
      <c r="AL331" s="11">
        <v>0</v>
      </c>
      <c r="AM331" s="11">
        <v>7925955</v>
      </c>
      <c r="AN331" s="11">
        <v>7925955</v>
      </c>
      <c r="AO331" s="11">
        <v>0</v>
      </c>
      <c r="AP331" s="11">
        <v>7925955</v>
      </c>
      <c r="AQ331" s="11">
        <v>0</v>
      </c>
      <c r="AR331" s="11">
        <v>0</v>
      </c>
      <c r="AS331" t="s">
        <v>1858</v>
      </c>
      <c r="AT331" s="4" t="str">
        <f t="shared" si="71"/>
        <v>Derechos de monopolio por la introducción de licores destilados de producción extranjera</v>
      </c>
      <c r="AU331" t="str">
        <f t="shared" si="69"/>
        <v>239Derechos de monopolio por la introducción de licores destilados de producción extranjera28991067,89</v>
      </c>
      <c r="AV331" t="str">
        <f>+_xlfn.XLOOKUP(AU331,CRUCE!L:L,CRUCE!M:M)</f>
        <v>READY</v>
      </c>
      <c r="AW331" t="s">
        <v>1907</v>
      </c>
    </row>
    <row r="332" spans="1:49" hidden="1" x14ac:dyDescent="0.3">
      <c r="A332">
        <v>2024</v>
      </c>
      <c r="B332">
        <v>318</v>
      </c>
      <c r="C332">
        <v>1102070020103</v>
      </c>
      <c r="D332" s="5" t="s">
        <v>44</v>
      </c>
      <c r="E332" s="8" t="s">
        <v>1862</v>
      </c>
      <c r="F332">
        <v>1102070020103</v>
      </c>
      <c r="H332" s="8" t="s">
        <v>359</v>
      </c>
      <c r="I332" t="s">
        <v>643</v>
      </c>
      <c r="J332" s="17">
        <v>13018660597.93</v>
      </c>
      <c r="K332" s="11">
        <v>13018660597.93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13018660597.93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1812628910</v>
      </c>
      <c r="Y332" s="11">
        <v>0</v>
      </c>
      <c r="Z332" s="12">
        <v>1812628910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0</v>
      </c>
      <c r="AG332" s="11">
        <v>1812628910</v>
      </c>
      <c r="AH332" s="11">
        <v>0</v>
      </c>
      <c r="AI332" s="12">
        <v>1812628910</v>
      </c>
      <c r="AJ332" s="11">
        <v>1812628910</v>
      </c>
      <c r="AK332" s="11">
        <v>115003240</v>
      </c>
      <c r="AL332" s="11">
        <v>115003240</v>
      </c>
      <c r="AM332" s="11">
        <v>1697625670</v>
      </c>
      <c r="AN332" s="11">
        <v>1697625670</v>
      </c>
      <c r="AO332" s="11">
        <v>0</v>
      </c>
      <c r="AP332" s="11">
        <v>1697625670</v>
      </c>
      <c r="AQ332" s="11">
        <v>0</v>
      </c>
      <c r="AR332" s="11">
        <v>0</v>
      </c>
      <c r="AS332" t="s">
        <v>48</v>
      </c>
      <c r="AT332"/>
    </row>
    <row r="333" spans="1:49" hidden="1" x14ac:dyDescent="0.3">
      <c r="A333">
        <v>2024</v>
      </c>
      <c r="B333">
        <v>318</v>
      </c>
      <c r="C333">
        <v>110207002010302</v>
      </c>
      <c r="D333" s="5" t="s">
        <v>44</v>
      </c>
      <c r="E333" s="8" t="s">
        <v>1863</v>
      </c>
      <c r="F333">
        <v>110207002010302</v>
      </c>
      <c r="H333" s="8" t="s">
        <v>361</v>
      </c>
      <c r="I333" t="s">
        <v>643</v>
      </c>
      <c r="J333" s="17">
        <v>13018660597.93</v>
      </c>
      <c r="K333" s="11">
        <v>13018660597.93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13018660597.93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1812628910</v>
      </c>
      <c r="Y333" s="11">
        <v>0</v>
      </c>
      <c r="Z333" s="12">
        <v>1812628910</v>
      </c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11">
        <v>0</v>
      </c>
      <c r="AG333" s="11">
        <v>1812628910</v>
      </c>
      <c r="AH333" s="11">
        <v>0</v>
      </c>
      <c r="AI333" s="12">
        <v>1812628910</v>
      </c>
      <c r="AJ333" s="11">
        <v>1812628910</v>
      </c>
      <c r="AK333" s="11">
        <v>115003240</v>
      </c>
      <c r="AL333" s="11">
        <v>115003240</v>
      </c>
      <c r="AM333" s="11">
        <v>1697625670</v>
      </c>
      <c r="AN333" s="11">
        <v>1697625670</v>
      </c>
      <c r="AO333" s="11">
        <v>0</v>
      </c>
      <c r="AP333" s="11">
        <v>1697625670</v>
      </c>
      <c r="AQ333" s="11">
        <v>0</v>
      </c>
      <c r="AR333" s="11">
        <v>0</v>
      </c>
      <c r="AS333" t="s">
        <v>48</v>
      </c>
      <c r="AT333"/>
    </row>
    <row r="334" spans="1:49" hidden="1" x14ac:dyDescent="0.3">
      <c r="A334">
        <v>2024</v>
      </c>
      <c r="B334">
        <v>318</v>
      </c>
      <c r="C334">
        <v>1.10207002010302E+17</v>
      </c>
      <c r="D334" s="5">
        <v>237</v>
      </c>
      <c r="E334" s="8" t="s">
        <v>1864</v>
      </c>
      <c r="F334">
        <v>1.10207002010302E+17</v>
      </c>
      <c r="G334" t="s">
        <v>1908</v>
      </c>
      <c r="H334" s="8" t="s">
        <v>363</v>
      </c>
      <c r="I334" t="s">
        <v>643</v>
      </c>
      <c r="J334" s="17">
        <v>5099734002.2299995</v>
      </c>
      <c r="K334" s="11">
        <v>5099734002.2299995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5099734002.2299995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791311415</v>
      </c>
      <c r="Y334" s="11">
        <v>0</v>
      </c>
      <c r="Z334" s="12">
        <v>791311415</v>
      </c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11">
        <v>0</v>
      </c>
      <c r="AG334" s="11">
        <v>791311415</v>
      </c>
      <c r="AH334" s="11">
        <v>0</v>
      </c>
      <c r="AI334" s="12">
        <v>791311415</v>
      </c>
      <c r="AJ334" s="11">
        <v>791311415</v>
      </c>
      <c r="AK334" s="11">
        <v>0</v>
      </c>
      <c r="AL334" s="11">
        <v>0</v>
      </c>
      <c r="AM334" s="11">
        <v>791311415</v>
      </c>
      <c r="AN334" s="11">
        <v>791311415</v>
      </c>
      <c r="AO334" s="11">
        <v>0</v>
      </c>
      <c r="AP334" s="11">
        <v>791311415</v>
      </c>
      <c r="AQ334" s="11">
        <v>0</v>
      </c>
      <c r="AR334" s="11">
        <v>0</v>
      </c>
      <c r="AS334" t="s">
        <v>1854</v>
      </c>
      <c r="AT334" s="4" t="str">
        <f>+H334</f>
        <v>Participación por el consumo de licores destilados introducidos de producción nacional</v>
      </c>
      <c r="AU334" t="str">
        <f t="shared" ref="AU334:AU336" si="72">+D334&amp;AT334&amp;J334</f>
        <v>237Participación por el consumo de licores destilados introducidos de producción nacional5099734002,23</v>
      </c>
      <c r="AV334" t="str">
        <f>+_xlfn.XLOOKUP(AU334,CRUCE!L:L,CRUCE!M:M)</f>
        <v>READY</v>
      </c>
      <c r="AW334" t="s">
        <v>1907</v>
      </c>
    </row>
    <row r="335" spans="1:49" hidden="1" x14ac:dyDescent="0.3">
      <c r="A335">
        <v>2024</v>
      </c>
      <c r="B335">
        <v>318</v>
      </c>
      <c r="C335">
        <v>1.10207002010302E+17</v>
      </c>
      <c r="D335" s="5">
        <v>238</v>
      </c>
      <c r="E335" s="8" t="s">
        <v>1865</v>
      </c>
      <c r="F335">
        <v>1.10207002010302E+17</v>
      </c>
      <c r="G335" t="s">
        <v>1908</v>
      </c>
      <c r="H335" s="8" t="s">
        <v>363</v>
      </c>
      <c r="I335" t="s">
        <v>643</v>
      </c>
      <c r="J335" s="17">
        <v>2549867501.1300001</v>
      </c>
      <c r="K335" s="11">
        <v>2549867501.1300001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2549867501.1300001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395655707.5</v>
      </c>
      <c r="Y335" s="11">
        <v>0</v>
      </c>
      <c r="Z335" s="12">
        <v>395655707.5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395655707.5</v>
      </c>
      <c r="AH335" s="11">
        <v>0</v>
      </c>
      <c r="AI335" s="12">
        <v>395655707.5</v>
      </c>
      <c r="AJ335" s="11">
        <v>395655707.5</v>
      </c>
      <c r="AK335" s="11">
        <v>0</v>
      </c>
      <c r="AL335" s="11">
        <v>0</v>
      </c>
      <c r="AM335" s="11">
        <v>395655707.5</v>
      </c>
      <c r="AN335" s="11">
        <v>395655707.5</v>
      </c>
      <c r="AO335" s="11">
        <v>0</v>
      </c>
      <c r="AP335" s="11">
        <v>395655707.5</v>
      </c>
      <c r="AQ335" s="11">
        <v>0</v>
      </c>
      <c r="AR335" s="11">
        <v>0</v>
      </c>
      <c r="AS335" t="s">
        <v>1856</v>
      </c>
      <c r="AT335" s="4" t="str">
        <f t="shared" ref="AT335:AT336" si="73">+H335</f>
        <v>Participación por el consumo de licores destilados introducidos de producción nacional</v>
      </c>
      <c r="AU335" t="str">
        <f t="shared" si="72"/>
        <v>238Participación por el consumo de licores destilados introducidos de producción nacional2549867501,13</v>
      </c>
      <c r="AV335" t="str">
        <f>+_xlfn.XLOOKUP(AU335,CRUCE!L:L,CRUCE!M:M)</f>
        <v>READY</v>
      </c>
      <c r="AW335" t="s">
        <v>1907</v>
      </c>
    </row>
    <row r="336" spans="1:49" hidden="1" x14ac:dyDescent="0.3">
      <c r="A336">
        <v>2024</v>
      </c>
      <c r="B336">
        <v>318</v>
      </c>
      <c r="C336">
        <v>1.10207002010302E+17</v>
      </c>
      <c r="D336" s="5">
        <v>239</v>
      </c>
      <c r="E336" s="8" t="s">
        <v>1866</v>
      </c>
      <c r="F336">
        <v>1.10207002010302E+17</v>
      </c>
      <c r="G336" t="s">
        <v>1908</v>
      </c>
      <c r="H336" s="8" t="s">
        <v>363</v>
      </c>
      <c r="I336" t="s">
        <v>643</v>
      </c>
      <c r="J336" s="17">
        <v>2549867501.1300001</v>
      </c>
      <c r="K336" s="11">
        <v>2549867501.1300001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2549867501.1300001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395655707.5</v>
      </c>
      <c r="Y336" s="11">
        <v>0</v>
      </c>
      <c r="Z336" s="12">
        <v>395655707.5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395655707.5</v>
      </c>
      <c r="AH336" s="11">
        <v>0</v>
      </c>
      <c r="AI336" s="12">
        <v>395655707.5</v>
      </c>
      <c r="AJ336" s="11">
        <v>395655707.5</v>
      </c>
      <c r="AK336" s="11">
        <v>0</v>
      </c>
      <c r="AL336" s="11">
        <v>0</v>
      </c>
      <c r="AM336" s="11">
        <v>395655707.5</v>
      </c>
      <c r="AN336" s="11">
        <v>395655707.5</v>
      </c>
      <c r="AO336" s="11">
        <v>0</v>
      </c>
      <c r="AP336" s="11">
        <v>395655707.5</v>
      </c>
      <c r="AQ336" s="11">
        <v>0</v>
      </c>
      <c r="AR336" s="11">
        <v>0</v>
      </c>
      <c r="AS336" t="s">
        <v>1858</v>
      </c>
      <c r="AT336" s="4" t="str">
        <f t="shared" si="73"/>
        <v>Participación por el consumo de licores destilados introducidos de producción nacional</v>
      </c>
      <c r="AU336" t="str">
        <f t="shared" si="72"/>
        <v>239Participación por el consumo de licores destilados introducidos de producción nacional2549867501,13</v>
      </c>
      <c r="AV336" t="str">
        <f>+_xlfn.XLOOKUP(AU336,CRUCE!L:L,CRUCE!M:M)</f>
        <v>READY</v>
      </c>
      <c r="AW336" t="s">
        <v>1907</v>
      </c>
    </row>
    <row r="337" spans="1:49" hidden="1" x14ac:dyDescent="0.3">
      <c r="A337">
        <v>2024</v>
      </c>
      <c r="B337">
        <v>318</v>
      </c>
      <c r="C337">
        <v>1.10207002010302E+17</v>
      </c>
      <c r="D337" s="5" t="s">
        <v>44</v>
      </c>
      <c r="E337" s="8" t="s">
        <v>1867</v>
      </c>
      <c r="F337">
        <v>1.10207002010302E+17</v>
      </c>
      <c r="H337" s="8" t="s">
        <v>1102</v>
      </c>
      <c r="I337" t="s">
        <v>643</v>
      </c>
      <c r="J337" s="17">
        <v>2819191593.4400001</v>
      </c>
      <c r="K337" s="11">
        <v>2819191593.4400001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2819191593.4400001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230006080</v>
      </c>
      <c r="Y337" s="11">
        <v>0</v>
      </c>
      <c r="Z337" s="12">
        <v>230006080</v>
      </c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230006080</v>
      </c>
      <c r="AH337" s="11">
        <v>0</v>
      </c>
      <c r="AI337" s="12">
        <v>230006080</v>
      </c>
      <c r="AJ337" s="11">
        <v>230006080</v>
      </c>
      <c r="AK337" s="11">
        <v>115003240</v>
      </c>
      <c r="AL337" s="11">
        <v>115003240</v>
      </c>
      <c r="AM337" s="11">
        <v>115002840</v>
      </c>
      <c r="AN337" s="11">
        <v>115002840</v>
      </c>
      <c r="AO337" s="11">
        <v>0</v>
      </c>
      <c r="AP337" s="11">
        <v>115002840</v>
      </c>
      <c r="AQ337" s="11">
        <v>0</v>
      </c>
      <c r="AR337" s="11">
        <v>0</v>
      </c>
      <c r="AS337" t="s">
        <v>48</v>
      </c>
      <c r="AT337"/>
    </row>
    <row r="338" spans="1:49" hidden="1" x14ac:dyDescent="0.3">
      <c r="A338">
        <v>2024</v>
      </c>
      <c r="B338">
        <v>318</v>
      </c>
      <c r="C338">
        <v>1.1020700201030201E+20</v>
      </c>
      <c r="D338" s="5">
        <v>237</v>
      </c>
      <c r="E338" s="8" t="s">
        <v>1868</v>
      </c>
      <c r="F338">
        <v>1.1020700201030201E+20</v>
      </c>
      <c r="G338" t="s">
        <v>1908</v>
      </c>
      <c r="H338" s="8" t="s">
        <v>1108</v>
      </c>
      <c r="I338" t="s">
        <v>643</v>
      </c>
      <c r="J338" s="17">
        <v>1409595296.7</v>
      </c>
      <c r="K338" s="11">
        <v>1409595296.7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1409595296.7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115003240</v>
      </c>
      <c r="Y338" s="11">
        <v>0</v>
      </c>
      <c r="Z338" s="12">
        <v>115003240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115003240</v>
      </c>
      <c r="AH338" s="11">
        <v>0</v>
      </c>
      <c r="AI338" s="12">
        <v>115003240</v>
      </c>
      <c r="AJ338" s="11">
        <v>115003240</v>
      </c>
      <c r="AK338" s="11">
        <v>115003240</v>
      </c>
      <c r="AL338" s="11">
        <v>115003240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t="s">
        <v>1854</v>
      </c>
      <c r="AT338" s="4" t="str">
        <f>+H338</f>
        <v>Participación por el consumo de licores destilados introducidos de producción extranjera recaudado p</v>
      </c>
      <c r="AU338" t="str">
        <f t="shared" ref="AU338:AU340" si="74">+D338&amp;AT338&amp;J338</f>
        <v>237Participación por el consumo de licores destilados introducidos de producción extranjera recaudado p1409595296,7</v>
      </c>
      <c r="AV338" t="str">
        <f>+_xlfn.XLOOKUP(AU338,CRUCE!L:L,CRUCE!M:M)</f>
        <v>READY</v>
      </c>
      <c r="AW338" t="s">
        <v>1907</v>
      </c>
    </row>
    <row r="339" spans="1:49" hidden="1" x14ac:dyDescent="0.3">
      <c r="A339">
        <v>2024</v>
      </c>
      <c r="B339">
        <v>318</v>
      </c>
      <c r="C339">
        <v>1.1020700201030201E+20</v>
      </c>
      <c r="D339" s="5">
        <v>238</v>
      </c>
      <c r="E339" s="8" t="s">
        <v>1869</v>
      </c>
      <c r="F339">
        <v>1.1020700201030201E+20</v>
      </c>
      <c r="G339" t="s">
        <v>1908</v>
      </c>
      <c r="H339" s="8" t="s">
        <v>1108</v>
      </c>
      <c r="I339" t="s">
        <v>643</v>
      </c>
      <c r="J339" s="17">
        <v>704798148.37</v>
      </c>
      <c r="K339" s="11">
        <v>704798148.37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704798148.37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57501420</v>
      </c>
      <c r="Y339" s="11">
        <v>0</v>
      </c>
      <c r="Z339" s="12">
        <v>57501420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57501420</v>
      </c>
      <c r="AH339" s="11">
        <v>0</v>
      </c>
      <c r="AI339" s="12">
        <v>57501420</v>
      </c>
      <c r="AJ339" s="11">
        <v>57501420</v>
      </c>
      <c r="AK339" s="11">
        <v>0</v>
      </c>
      <c r="AL339" s="11">
        <v>0</v>
      </c>
      <c r="AM339" s="11">
        <v>57501420</v>
      </c>
      <c r="AN339" s="11">
        <v>57501420</v>
      </c>
      <c r="AO339" s="11">
        <v>0</v>
      </c>
      <c r="AP339" s="11">
        <v>57501420</v>
      </c>
      <c r="AQ339" s="11">
        <v>0</v>
      </c>
      <c r="AR339" s="11">
        <v>0</v>
      </c>
      <c r="AS339" t="s">
        <v>1856</v>
      </c>
      <c r="AT339" s="4" t="str">
        <f t="shared" ref="AT339:AT340" si="75">+H339</f>
        <v>Participación por el consumo de licores destilados introducidos de producción extranjera recaudado p</v>
      </c>
      <c r="AU339" t="str">
        <f t="shared" si="74"/>
        <v>238Participación por el consumo de licores destilados introducidos de producción extranjera recaudado p704798148,37</v>
      </c>
      <c r="AV339" t="str">
        <f>+_xlfn.XLOOKUP(AU339,CRUCE!L:L,CRUCE!M:M)</f>
        <v>READY</v>
      </c>
      <c r="AW339" t="s">
        <v>1907</v>
      </c>
    </row>
    <row r="340" spans="1:49" hidden="1" x14ac:dyDescent="0.3">
      <c r="A340">
        <v>2024</v>
      </c>
      <c r="B340">
        <v>318</v>
      </c>
      <c r="C340">
        <v>1.1020700201030201E+20</v>
      </c>
      <c r="D340" s="5">
        <v>239</v>
      </c>
      <c r="E340" s="8" t="s">
        <v>1870</v>
      </c>
      <c r="F340">
        <v>1.1020700201030201E+20</v>
      </c>
      <c r="G340" t="s">
        <v>1908</v>
      </c>
      <c r="H340" s="8" t="s">
        <v>1108</v>
      </c>
      <c r="I340" t="s">
        <v>643</v>
      </c>
      <c r="J340" s="17">
        <v>704798148.37</v>
      </c>
      <c r="K340" s="11">
        <v>704798148.37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704798148.37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57501420</v>
      </c>
      <c r="Y340" s="11">
        <v>0</v>
      </c>
      <c r="Z340" s="12">
        <v>57501420</v>
      </c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11">
        <v>0</v>
      </c>
      <c r="AG340" s="11">
        <v>57501420</v>
      </c>
      <c r="AH340" s="11">
        <v>0</v>
      </c>
      <c r="AI340" s="12">
        <v>57501420</v>
      </c>
      <c r="AJ340" s="11">
        <v>57501420</v>
      </c>
      <c r="AK340" s="11">
        <v>0</v>
      </c>
      <c r="AL340" s="11">
        <v>0</v>
      </c>
      <c r="AM340" s="11">
        <v>57501420</v>
      </c>
      <c r="AN340" s="11">
        <v>57501420</v>
      </c>
      <c r="AO340" s="11">
        <v>0</v>
      </c>
      <c r="AP340" s="11">
        <v>57501420</v>
      </c>
      <c r="AQ340" s="11">
        <v>0</v>
      </c>
      <c r="AR340" s="11">
        <v>0</v>
      </c>
      <c r="AS340" t="s">
        <v>1858</v>
      </c>
      <c r="AT340" s="4" t="str">
        <f t="shared" si="75"/>
        <v>Participación por el consumo de licores destilados introducidos de producción extranjera recaudado p</v>
      </c>
      <c r="AU340" t="str">
        <f t="shared" si="74"/>
        <v>239Participación por el consumo de licores destilados introducidos de producción extranjera recaudado p704798148,37</v>
      </c>
      <c r="AV340" t="str">
        <f>+_xlfn.XLOOKUP(AU340,CRUCE!L:L,CRUCE!M:M)</f>
        <v>READY</v>
      </c>
      <c r="AW340" t="s">
        <v>1907</v>
      </c>
    </row>
    <row r="341" spans="1:49" hidden="1" x14ac:dyDescent="0.3">
      <c r="A341">
        <v>2024</v>
      </c>
      <c r="B341">
        <v>318</v>
      </c>
      <c r="C341">
        <v>11020700202</v>
      </c>
      <c r="D341" s="5" t="s">
        <v>44</v>
      </c>
      <c r="E341" s="8" t="s">
        <v>1871</v>
      </c>
      <c r="F341">
        <v>11020700202</v>
      </c>
      <c r="H341" s="8" t="s">
        <v>1112</v>
      </c>
      <c r="I341" t="s">
        <v>643</v>
      </c>
      <c r="J341" s="17">
        <v>2490100</v>
      </c>
      <c r="K341" s="11">
        <v>2490100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2490100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576830</v>
      </c>
      <c r="Y341" s="11">
        <v>0</v>
      </c>
      <c r="Z341" s="12">
        <v>576830</v>
      </c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  <c r="AG341" s="11">
        <v>576830</v>
      </c>
      <c r="AH341" s="11">
        <v>0</v>
      </c>
      <c r="AI341" s="12">
        <v>576830</v>
      </c>
      <c r="AJ341" s="11">
        <v>576830</v>
      </c>
      <c r="AK341" s="11">
        <v>0</v>
      </c>
      <c r="AL341" s="11">
        <v>0</v>
      </c>
      <c r="AM341" s="11">
        <v>576830</v>
      </c>
      <c r="AN341" s="11">
        <v>576830</v>
      </c>
      <c r="AO341" s="11">
        <v>0</v>
      </c>
      <c r="AP341" s="11">
        <v>576830</v>
      </c>
      <c r="AQ341" s="11">
        <v>0</v>
      </c>
      <c r="AR341" s="11">
        <v>0</v>
      </c>
      <c r="AS341" t="s">
        <v>48</v>
      </c>
      <c r="AT341"/>
    </row>
    <row r="342" spans="1:49" hidden="1" x14ac:dyDescent="0.3">
      <c r="A342">
        <v>2024</v>
      </c>
      <c r="B342">
        <v>318</v>
      </c>
      <c r="C342">
        <v>1102070020201</v>
      </c>
      <c r="D342" s="5">
        <v>237</v>
      </c>
      <c r="E342" s="8" t="s">
        <v>1872</v>
      </c>
      <c r="F342">
        <v>1102070020201</v>
      </c>
      <c r="G342" t="s">
        <v>1908</v>
      </c>
      <c r="H342" s="8" t="s">
        <v>1114</v>
      </c>
      <c r="I342" t="s">
        <v>643</v>
      </c>
      <c r="J342" s="17">
        <v>1245550.02</v>
      </c>
      <c r="K342" s="11">
        <v>1245550.02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1245550.02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288415</v>
      </c>
      <c r="Y342" s="11">
        <v>0</v>
      </c>
      <c r="Z342" s="12">
        <v>288415</v>
      </c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288415</v>
      </c>
      <c r="AH342" s="11">
        <v>0</v>
      </c>
      <c r="AI342" s="12">
        <v>288415</v>
      </c>
      <c r="AJ342" s="11">
        <v>288415</v>
      </c>
      <c r="AK342" s="11">
        <v>0</v>
      </c>
      <c r="AL342" s="11">
        <v>0</v>
      </c>
      <c r="AM342" s="11">
        <v>288415</v>
      </c>
      <c r="AN342" s="11">
        <v>288415</v>
      </c>
      <c r="AO342" s="11">
        <v>0</v>
      </c>
      <c r="AP342" s="11">
        <v>288415</v>
      </c>
      <c r="AQ342" s="11">
        <v>0</v>
      </c>
      <c r="AR342" s="11">
        <v>0</v>
      </c>
      <c r="AS342" t="s">
        <v>1854</v>
      </c>
      <c r="AT342" s="4" t="str">
        <f>+H342</f>
        <v>Participación por la utilización de alcohol potable producido</v>
      </c>
      <c r="AU342" t="str">
        <f t="shared" ref="AU342:AU344" si="76">+D342&amp;AT342&amp;J342</f>
        <v>237Participación por la utilización de alcohol potable producido1245550,02</v>
      </c>
      <c r="AV342" t="str">
        <f>+_xlfn.XLOOKUP(AU342,CRUCE!L:L,CRUCE!M:M)</f>
        <v>READY</v>
      </c>
      <c r="AW342" t="s">
        <v>1907</v>
      </c>
    </row>
    <row r="343" spans="1:49" hidden="1" x14ac:dyDescent="0.3">
      <c r="A343">
        <v>2024</v>
      </c>
      <c r="B343">
        <v>318</v>
      </c>
      <c r="C343">
        <v>1102070020201</v>
      </c>
      <c r="D343" s="5">
        <v>238</v>
      </c>
      <c r="E343" s="8" t="s">
        <v>1873</v>
      </c>
      <c r="F343">
        <v>1102070020201</v>
      </c>
      <c r="G343" t="s">
        <v>1908</v>
      </c>
      <c r="H343" s="8" t="s">
        <v>1114</v>
      </c>
      <c r="I343" t="s">
        <v>643</v>
      </c>
      <c r="J343" s="17">
        <v>622274.99</v>
      </c>
      <c r="K343" s="11">
        <v>622274.99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622274.99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144207.5</v>
      </c>
      <c r="Y343" s="11">
        <v>0</v>
      </c>
      <c r="Z343" s="12">
        <v>144207.5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144207.5</v>
      </c>
      <c r="AH343" s="11">
        <v>0</v>
      </c>
      <c r="AI343" s="12">
        <v>144207.5</v>
      </c>
      <c r="AJ343" s="11">
        <v>144207.5</v>
      </c>
      <c r="AK343" s="11">
        <v>0</v>
      </c>
      <c r="AL343" s="11">
        <v>0</v>
      </c>
      <c r="AM343" s="11">
        <v>144207.5</v>
      </c>
      <c r="AN343" s="11">
        <v>144207.5</v>
      </c>
      <c r="AO343" s="11">
        <v>0</v>
      </c>
      <c r="AP343" s="11">
        <v>144207.5</v>
      </c>
      <c r="AQ343" s="11">
        <v>0</v>
      </c>
      <c r="AR343" s="11">
        <v>0</v>
      </c>
      <c r="AS343" t="s">
        <v>1856</v>
      </c>
      <c r="AT343" s="4" t="str">
        <f t="shared" ref="AT343:AT344" si="77">+H343</f>
        <v>Participación por la utilización de alcohol potable producido</v>
      </c>
      <c r="AU343" t="str">
        <f t="shared" si="76"/>
        <v>238Participación por la utilización de alcohol potable producido622274,99</v>
      </c>
      <c r="AV343" t="str">
        <f>+_xlfn.XLOOKUP(AU343,CRUCE!L:L,CRUCE!M:M)</f>
        <v>READY</v>
      </c>
      <c r="AW343" t="s">
        <v>1907</v>
      </c>
    </row>
    <row r="344" spans="1:49" hidden="1" x14ac:dyDescent="0.3">
      <c r="A344">
        <v>2024</v>
      </c>
      <c r="B344">
        <v>318</v>
      </c>
      <c r="C344">
        <v>1102070020201</v>
      </c>
      <c r="D344" s="5">
        <v>239</v>
      </c>
      <c r="E344" s="8" t="s">
        <v>1874</v>
      </c>
      <c r="F344">
        <v>1102070020201</v>
      </c>
      <c r="G344" t="s">
        <v>1908</v>
      </c>
      <c r="H344" s="8" t="s">
        <v>1114</v>
      </c>
      <c r="I344" t="s">
        <v>643</v>
      </c>
      <c r="J344" s="17">
        <v>622274.99</v>
      </c>
      <c r="K344" s="11">
        <v>622274.99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622274.99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144207.5</v>
      </c>
      <c r="Y344" s="11">
        <v>0</v>
      </c>
      <c r="Z344" s="12">
        <v>144207.5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144207.5</v>
      </c>
      <c r="AH344" s="11">
        <v>0</v>
      </c>
      <c r="AI344" s="12">
        <v>144207.5</v>
      </c>
      <c r="AJ344" s="11">
        <v>144207.5</v>
      </c>
      <c r="AK344" s="11">
        <v>0</v>
      </c>
      <c r="AL344" s="11">
        <v>0</v>
      </c>
      <c r="AM344" s="11">
        <v>144207.5</v>
      </c>
      <c r="AN344" s="11">
        <v>144207.5</v>
      </c>
      <c r="AO344" s="11">
        <v>0</v>
      </c>
      <c r="AP344" s="11">
        <v>144207.5</v>
      </c>
      <c r="AQ344" s="11">
        <v>0</v>
      </c>
      <c r="AR344" s="11">
        <v>0</v>
      </c>
      <c r="AS344" t="s">
        <v>1858</v>
      </c>
      <c r="AT344" s="4" t="str">
        <f t="shared" si="77"/>
        <v>Participación por la utilización de alcohol potable producido</v>
      </c>
      <c r="AU344" t="str">
        <f t="shared" si="76"/>
        <v>239Participación por la utilización de alcohol potable producido622274,99</v>
      </c>
      <c r="AV344" t="str">
        <f>+_xlfn.XLOOKUP(AU344,CRUCE!L:L,CRUCE!M:M)</f>
        <v>READY</v>
      </c>
      <c r="AW344" t="s">
        <v>1907</v>
      </c>
    </row>
    <row r="345" spans="1:49" hidden="1" x14ac:dyDescent="0.3">
      <c r="A345">
        <v>2024</v>
      </c>
      <c r="B345">
        <v>318</v>
      </c>
      <c r="C345">
        <v>12</v>
      </c>
      <c r="D345" s="5" t="s">
        <v>44</v>
      </c>
      <c r="E345" s="8" t="s">
        <v>1425</v>
      </c>
      <c r="F345">
        <v>12</v>
      </c>
      <c r="H345" s="8" t="s">
        <v>367</v>
      </c>
      <c r="I345" t="s">
        <v>643</v>
      </c>
      <c r="J345" s="17">
        <v>2173183000</v>
      </c>
      <c r="K345" s="11">
        <v>2173183000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2173183000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541996086.95000005</v>
      </c>
      <c r="Y345" s="11">
        <v>0</v>
      </c>
      <c r="Z345" s="12">
        <v>541996086.95000005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541996086.95000005</v>
      </c>
      <c r="AH345" s="11">
        <v>0</v>
      </c>
      <c r="AI345" s="12">
        <v>541996086.95000005</v>
      </c>
      <c r="AJ345" s="11">
        <v>541996086.95000005</v>
      </c>
      <c r="AK345" s="11">
        <v>541818645</v>
      </c>
      <c r="AL345" s="11">
        <v>541818645</v>
      </c>
      <c r="AM345" s="11">
        <v>177441.95</v>
      </c>
      <c r="AN345" s="11">
        <v>177441.95</v>
      </c>
      <c r="AO345" s="11">
        <v>0</v>
      </c>
      <c r="AP345" s="11">
        <v>177441.95</v>
      </c>
      <c r="AQ345" s="11">
        <v>0</v>
      </c>
      <c r="AR345" s="11">
        <v>0</v>
      </c>
      <c r="AS345" t="s">
        <v>48</v>
      </c>
      <c r="AT345"/>
    </row>
    <row r="346" spans="1:49" hidden="1" x14ac:dyDescent="0.3">
      <c r="A346">
        <v>2024</v>
      </c>
      <c r="B346">
        <v>318</v>
      </c>
      <c r="C346">
        <v>1205</v>
      </c>
      <c r="D346" s="5" t="s">
        <v>44</v>
      </c>
      <c r="E346" s="8" t="s">
        <v>1875</v>
      </c>
      <c r="F346">
        <v>1205</v>
      </c>
      <c r="H346" s="8" t="s">
        <v>379</v>
      </c>
      <c r="I346" t="s">
        <v>643</v>
      </c>
      <c r="J346" s="17">
        <v>7000000</v>
      </c>
      <c r="K346" s="11">
        <v>7000000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7000000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177441.95</v>
      </c>
      <c r="Y346" s="11">
        <v>0</v>
      </c>
      <c r="Z346" s="12">
        <v>177441.95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177441.95</v>
      </c>
      <c r="AH346" s="11">
        <v>0</v>
      </c>
      <c r="AI346" s="12">
        <v>177441.95</v>
      </c>
      <c r="AJ346" s="11">
        <v>177441.95</v>
      </c>
      <c r="AK346" s="11">
        <v>0</v>
      </c>
      <c r="AL346" s="11">
        <v>0</v>
      </c>
      <c r="AM346" s="11">
        <v>177441.95</v>
      </c>
      <c r="AN346" s="11">
        <v>177441.95</v>
      </c>
      <c r="AO346" s="11">
        <v>0</v>
      </c>
      <c r="AP346" s="11">
        <v>177441.95</v>
      </c>
      <c r="AQ346" s="11">
        <v>0</v>
      </c>
      <c r="AR346" s="11">
        <v>0</v>
      </c>
      <c r="AS346" t="s">
        <v>48</v>
      </c>
      <c r="AT346"/>
    </row>
    <row r="347" spans="1:49" hidden="1" x14ac:dyDescent="0.3">
      <c r="A347">
        <v>2024</v>
      </c>
      <c r="B347">
        <v>318</v>
      </c>
      <c r="C347">
        <v>120502</v>
      </c>
      <c r="D347" s="5" t="s">
        <v>44</v>
      </c>
      <c r="E347" s="8" t="s">
        <v>1876</v>
      </c>
      <c r="F347">
        <v>120502</v>
      </c>
      <c r="H347" s="8" t="s">
        <v>381</v>
      </c>
      <c r="I347" t="s">
        <v>643</v>
      </c>
      <c r="J347" s="17">
        <v>7000000</v>
      </c>
      <c r="K347" s="11">
        <v>7000000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7000000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177441.95</v>
      </c>
      <c r="Y347" s="11">
        <v>0</v>
      </c>
      <c r="Z347" s="12">
        <v>177441.95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0</v>
      </c>
      <c r="AG347" s="11">
        <v>177441.95</v>
      </c>
      <c r="AH347" s="11">
        <v>0</v>
      </c>
      <c r="AI347" s="12">
        <v>177441.95</v>
      </c>
      <c r="AJ347" s="11">
        <v>177441.95</v>
      </c>
      <c r="AK347" s="11">
        <v>0</v>
      </c>
      <c r="AL347" s="11">
        <v>0</v>
      </c>
      <c r="AM347" s="11">
        <v>177441.95</v>
      </c>
      <c r="AN347" s="11">
        <v>177441.95</v>
      </c>
      <c r="AO347" s="11">
        <v>0</v>
      </c>
      <c r="AP347" s="11">
        <v>177441.95</v>
      </c>
      <c r="AQ347" s="11">
        <v>0</v>
      </c>
      <c r="AR347" s="11">
        <v>0</v>
      </c>
      <c r="AS347" t="s">
        <v>48</v>
      </c>
      <c r="AT347"/>
    </row>
    <row r="348" spans="1:49" hidden="1" x14ac:dyDescent="0.3">
      <c r="A348">
        <v>2024</v>
      </c>
      <c r="B348">
        <v>318</v>
      </c>
      <c r="C348">
        <v>120502015</v>
      </c>
      <c r="D348" s="5">
        <v>63</v>
      </c>
      <c r="E348" s="8" t="s">
        <v>1877</v>
      </c>
      <c r="F348">
        <v>120502015</v>
      </c>
      <c r="G348" t="s">
        <v>1909</v>
      </c>
      <c r="H348" s="8" t="s">
        <v>1280</v>
      </c>
      <c r="I348" t="s">
        <v>643</v>
      </c>
      <c r="J348" s="17">
        <v>1000000</v>
      </c>
      <c r="K348" s="11">
        <v>1000000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1000000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177441.95</v>
      </c>
      <c r="Y348" s="11">
        <v>0</v>
      </c>
      <c r="Z348" s="12">
        <v>177441.95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177441.95</v>
      </c>
      <c r="AH348" s="11">
        <v>0</v>
      </c>
      <c r="AI348" s="12">
        <v>177441.95</v>
      </c>
      <c r="AJ348" s="11">
        <v>177441.95</v>
      </c>
      <c r="AK348" s="11">
        <v>0</v>
      </c>
      <c r="AL348" s="11">
        <v>0</v>
      </c>
      <c r="AM348" s="11">
        <v>177441.95</v>
      </c>
      <c r="AN348" s="11">
        <v>177441.95</v>
      </c>
      <c r="AO348" s="11">
        <v>0</v>
      </c>
      <c r="AP348" s="11">
        <v>177441.95</v>
      </c>
      <c r="AQ348" s="11">
        <v>0</v>
      </c>
      <c r="AR348" s="11">
        <v>0</v>
      </c>
      <c r="AS348" t="s">
        <v>716</v>
      </c>
      <c r="AT348" s="4" t="str">
        <f t="shared" ref="AT348:AT351" si="78">+H348</f>
        <v>Depósitos Fondo de Estupefacientes</v>
      </c>
      <c r="AU348" t="str">
        <f t="shared" ref="AU348:AU351" si="79">+D348&amp;AT348&amp;J348</f>
        <v>63Depósitos Fondo de Estupefacientes1000000</v>
      </c>
      <c r="AV348" t="str">
        <f>+_xlfn.XLOOKUP(AU348,CRUCE!L:L,CRUCE!M:M)</f>
        <v>READY</v>
      </c>
      <c r="AW348" t="s">
        <v>1907</v>
      </c>
    </row>
    <row r="349" spans="1:49" hidden="1" x14ac:dyDescent="0.3">
      <c r="A349">
        <v>2024</v>
      </c>
      <c r="B349">
        <v>318</v>
      </c>
      <c r="C349">
        <v>120502016</v>
      </c>
      <c r="D349" s="5">
        <v>58</v>
      </c>
      <c r="E349" s="8" t="s">
        <v>1878</v>
      </c>
      <c r="F349">
        <v>120502016</v>
      </c>
      <c r="G349" t="s">
        <v>1909</v>
      </c>
      <c r="H349" s="8" t="s">
        <v>1282</v>
      </c>
      <c r="I349" t="s">
        <v>643</v>
      </c>
      <c r="J349" s="17">
        <v>2000000</v>
      </c>
      <c r="K349" s="11">
        <v>2000000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2000000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2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2">
        <v>0</v>
      </c>
      <c r="AJ349" s="11">
        <v>0</v>
      </c>
      <c r="AK349" s="11">
        <v>0</v>
      </c>
      <c r="AL349" s="11">
        <v>0</v>
      </c>
      <c r="AM349" s="11">
        <v>0</v>
      </c>
      <c r="AN349" s="11">
        <v>0</v>
      </c>
      <c r="AO349" s="11">
        <v>0</v>
      </c>
      <c r="AP349" s="11">
        <v>0</v>
      </c>
      <c r="AQ349" s="11">
        <v>0</v>
      </c>
      <c r="AR349" s="11">
        <v>0</v>
      </c>
      <c r="AS349" t="s">
        <v>684</v>
      </c>
      <c r="AT349" s="4" t="str">
        <f t="shared" si="78"/>
        <v>Depósitos Rentas Cedidas</v>
      </c>
      <c r="AU349" t="str">
        <f t="shared" si="79"/>
        <v>58Depósitos Rentas Cedidas2000000</v>
      </c>
      <c r="AV349" t="str">
        <f>+_xlfn.XLOOKUP(AU349,CRUCE!L:L,CRUCE!M:M)</f>
        <v>READY</v>
      </c>
      <c r="AW349" t="s">
        <v>1907</v>
      </c>
    </row>
    <row r="350" spans="1:49" hidden="1" x14ac:dyDescent="0.3">
      <c r="A350">
        <v>2024</v>
      </c>
      <c r="B350">
        <v>318</v>
      </c>
      <c r="C350">
        <v>120502017</v>
      </c>
      <c r="D350" s="5">
        <v>171</v>
      </c>
      <c r="E350" s="8" t="s">
        <v>1879</v>
      </c>
      <c r="F350">
        <v>120502017</v>
      </c>
      <c r="G350" t="s">
        <v>1909</v>
      </c>
      <c r="H350" s="8" t="s">
        <v>1285</v>
      </c>
      <c r="I350" t="s">
        <v>643</v>
      </c>
      <c r="J350" s="17">
        <v>1000000</v>
      </c>
      <c r="K350" s="11">
        <v>1000000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1000000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2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2">
        <v>0</v>
      </c>
      <c r="AJ350" s="11">
        <v>0</v>
      </c>
      <c r="AK350" s="11">
        <v>0</v>
      </c>
      <c r="AL350" s="11">
        <v>0</v>
      </c>
      <c r="AM350" s="11">
        <v>0</v>
      </c>
      <c r="AN350" s="11">
        <v>0</v>
      </c>
      <c r="AO350" s="11">
        <v>0</v>
      </c>
      <c r="AP350" s="11">
        <v>0</v>
      </c>
      <c r="AQ350" s="11">
        <v>0</v>
      </c>
      <c r="AR350" s="11">
        <v>0</v>
      </c>
      <c r="AS350" t="s">
        <v>730</v>
      </c>
      <c r="AT350" s="4" t="str">
        <f t="shared" si="78"/>
        <v>Depósitos Subsidio de la Oferta</v>
      </c>
      <c r="AU350" t="str">
        <f t="shared" si="79"/>
        <v>171Depósitos Subsidio de la Oferta1000000</v>
      </c>
      <c r="AV350" t="str">
        <f>+_xlfn.XLOOKUP(AU350,CRUCE!L:L,CRUCE!M:M)</f>
        <v>READY</v>
      </c>
      <c r="AW350" t="s">
        <v>1907</v>
      </c>
    </row>
    <row r="351" spans="1:49" hidden="1" x14ac:dyDescent="0.3">
      <c r="A351">
        <v>2024</v>
      </c>
      <c r="B351">
        <v>318</v>
      </c>
      <c r="C351">
        <v>120502018</v>
      </c>
      <c r="D351" s="5">
        <v>61</v>
      </c>
      <c r="E351" s="8" t="s">
        <v>1880</v>
      </c>
      <c r="F351">
        <v>120502018</v>
      </c>
      <c r="G351" t="s">
        <v>1909</v>
      </c>
      <c r="H351" s="8" t="s">
        <v>1287</v>
      </c>
      <c r="I351" t="s">
        <v>643</v>
      </c>
      <c r="J351" s="17">
        <v>3000000</v>
      </c>
      <c r="K351" s="11">
        <v>3000000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3000000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2">
        <v>0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2">
        <v>0</v>
      </c>
      <c r="AJ351" s="11">
        <v>0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t="s">
        <v>727</v>
      </c>
      <c r="AT351" s="4" t="str">
        <f t="shared" si="78"/>
        <v>Depósitos Salud Púbica</v>
      </c>
      <c r="AU351" t="str">
        <f t="shared" si="79"/>
        <v>61Depósitos Salud Púbica3000000</v>
      </c>
      <c r="AV351" t="str">
        <f>+_xlfn.XLOOKUP(AU351,CRUCE!L:L,CRUCE!M:M)</f>
        <v>READY</v>
      </c>
      <c r="AW351" t="s">
        <v>1907</v>
      </c>
    </row>
    <row r="352" spans="1:49" hidden="1" x14ac:dyDescent="0.3">
      <c r="A352">
        <v>2024</v>
      </c>
      <c r="B352">
        <v>318</v>
      </c>
      <c r="C352">
        <v>1208</v>
      </c>
      <c r="D352" s="5" t="s">
        <v>44</v>
      </c>
      <c r="E352" s="8" t="s">
        <v>1881</v>
      </c>
      <c r="F352">
        <v>1208</v>
      </c>
      <c r="H352" s="8" t="s">
        <v>858</v>
      </c>
      <c r="I352" t="s">
        <v>643</v>
      </c>
      <c r="J352" s="17">
        <v>2166183000</v>
      </c>
      <c r="K352" s="11">
        <v>2166183000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2166183000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541818645</v>
      </c>
      <c r="Y352" s="11">
        <v>0</v>
      </c>
      <c r="Z352" s="12">
        <v>541818645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541818645</v>
      </c>
      <c r="AH352" s="11">
        <v>0</v>
      </c>
      <c r="AI352" s="12">
        <v>541818645</v>
      </c>
      <c r="AJ352" s="11">
        <v>541818645</v>
      </c>
      <c r="AK352" s="11">
        <v>541818645</v>
      </c>
      <c r="AL352" s="11">
        <v>541818645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t="s">
        <v>48</v>
      </c>
      <c r="AT352"/>
    </row>
    <row r="353" spans="1:49" hidden="1" x14ac:dyDescent="0.3">
      <c r="A353">
        <v>2024</v>
      </c>
      <c r="B353">
        <v>318</v>
      </c>
      <c r="C353">
        <v>120804</v>
      </c>
      <c r="D353" s="5" t="s">
        <v>44</v>
      </c>
      <c r="E353" s="8" t="s">
        <v>1882</v>
      </c>
      <c r="F353">
        <v>120804</v>
      </c>
      <c r="H353" s="8" t="s">
        <v>860</v>
      </c>
      <c r="I353" t="s">
        <v>643</v>
      </c>
      <c r="J353" s="17">
        <v>2166183000</v>
      </c>
      <c r="K353" s="11">
        <v>2166183000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2166183000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541818645</v>
      </c>
      <c r="Y353" s="11">
        <v>0</v>
      </c>
      <c r="Z353" s="12">
        <v>541818645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541818645</v>
      </c>
      <c r="AH353" s="11">
        <v>0</v>
      </c>
      <c r="AI353" s="12">
        <v>541818645</v>
      </c>
      <c r="AJ353" s="11">
        <v>541818645</v>
      </c>
      <c r="AK353" s="11">
        <v>541818645</v>
      </c>
      <c r="AL353" s="11">
        <v>541818645</v>
      </c>
      <c r="AM353" s="11">
        <v>0</v>
      </c>
      <c r="AN353" s="11">
        <v>0</v>
      </c>
      <c r="AO353" s="11">
        <v>0</v>
      </c>
      <c r="AP353" s="11">
        <v>0</v>
      </c>
      <c r="AQ353" s="11">
        <v>0</v>
      </c>
      <c r="AR353" s="11">
        <v>0</v>
      </c>
      <c r="AS353" t="s">
        <v>48</v>
      </c>
      <c r="AT353"/>
    </row>
    <row r="354" spans="1:49" hidden="1" x14ac:dyDescent="0.3">
      <c r="A354">
        <v>2024</v>
      </c>
      <c r="B354">
        <v>318</v>
      </c>
      <c r="C354">
        <v>120804001</v>
      </c>
      <c r="D354" s="5" t="s">
        <v>44</v>
      </c>
      <c r="E354" s="8" t="s">
        <v>1883</v>
      </c>
      <c r="F354">
        <v>120804001</v>
      </c>
      <c r="H354" s="8" t="s">
        <v>862</v>
      </c>
      <c r="I354" t="s">
        <v>643</v>
      </c>
      <c r="J354" s="17">
        <v>2166183000</v>
      </c>
      <c r="K354" s="11">
        <v>2166183000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2166183000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541818645</v>
      </c>
      <c r="Y354" s="11">
        <v>0</v>
      </c>
      <c r="Z354" s="12">
        <v>541818645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541818645</v>
      </c>
      <c r="AH354" s="11">
        <v>0</v>
      </c>
      <c r="AI354" s="12">
        <v>541818645</v>
      </c>
      <c r="AJ354" s="11">
        <v>541818645</v>
      </c>
      <c r="AK354" s="11">
        <v>541818645</v>
      </c>
      <c r="AL354" s="11">
        <v>541818645</v>
      </c>
      <c r="AM354" s="11">
        <v>0</v>
      </c>
      <c r="AN354" s="11">
        <v>0</v>
      </c>
      <c r="AO354" s="11">
        <v>0</v>
      </c>
      <c r="AP354" s="11">
        <v>0</v>
      </c>
      <c r="AQ354" s="11">
        <v>0</v>
      </c>
      <c r="AR354" s="11">
        <v>0</v>
      </c>
      <c r="AS354" t="s">
        <v>48</v>
      </c>
      <c r="AT354"/>
    </row>
    <row r="355" spans="1:49" hidden="1" x14ac:dyDescent="0.3">
      <c r="A355">
        <v>2024</v>
      </c>
      <c r="B355">
        <v>318</v>
      </c>
      <c r="C355">
        <v>12080400101</v>
      </c>
      <c r="D355" s="5">
        <v>154</v>
      </c>
      <c r="E355" s="8" t="s">
        <v>863</v>
      </c>
      <c r="F355">
        <v>12080400101</v>
      </c>
      <c r="G355" t="s">
        <v>1908</v>
      </c>
      <c r="H355" s="8" t="s">
        <v>864</v>
      </c>
      <c r="I355" t="s">
        <v>643</v>
      </c>
      <c r="J355" s="17">
        <v>1083091500</v>
      </c>
      <c r="K355" s="11">
        <v>1083091500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1083091500</v>
      </c>
      <c r="R355" s="11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0</v>
      </c>
      <c r="X355" s="11">
        <v>85860449</v>
      </c>
      <c r="Y355" s="11">
        <v>0</v>
      </c>
      <c r="Z355" s="12">
        <v>85860449</v>
      </c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11">
        <v>0</v>
      </c>
      <c r="AG355" s="11">
        <v>85860449</v>
      </c>
      <c r="AH355" s="11">
        <v>0</v>
      </c>
      <c r="AI355" s="12">
        <v>85860449</v>
      </c>
      <c r="AJ355" s="11">
        <v>85860449</v>
      </c>
      <c r="AK355" s="11">
        <v>85860449</v>
      </c>
      <c r="AL355" s="11">
        <v>85860449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s="11">
        <v>0</v>
      </c>
      <c r="AS355" t="s">
        <v>651</v>
      </c>
      <c r="AT355" s="4" t="str">
        <f t="shared" ref="AT355:AT357" si="80">+H355</f>
        <v>Premios de juegos de suerte y azar no reclamados - Juego de Loterias</v>
      </c>
      <c r="AU355" t="str">
        <f t="shared" ref="AU355:AU358" si="81">+D355&amp;AT355&amp;J355</f>
        <v>154Premios de juegos de suerte y azar no reclamados - Juego de Loterias1083091500</v>
      </c>
      <c r="AV355" t="str">
        <f>+_xlfn.XLOOKUP(AU355,CRUCE!L:L,CRUCE!M:M)</f>
        <v>READY</v>
      </c>
      <c r="AW355" t="s">
        <v>1907</v>
      </c>
    </row>
    <row r="356" spans="1:49" hidden="1" x14ac:dyDescent="0.3">
      <c r="A356">
        <v>2024</v>
      </c>
      <c r="B356">
        <v>318</v>
      </c>
      <c r="C356">
        <v>12080400102</v>
      </c>
      <c r="D356" s="5">
        <v>154</v>
      </c>
      <c r="E356" s="8" t="s">
        <v>1884</v>
      </c>
      <c r="F356">
        <v>12080400102</v>
      </c>
      <c r="G356" t="s">
        <v>1908</v>
      </c>
      <c r="H356" s="8" t="s">
        <v>866</v>
      </c>
      <c r="I356" t="s">
        <v>643</v>
      </c>
      <c r="J356" s="17">
        <v>421159920.24000001</v>
      </c>
      <c r="K356" s="11">
        <v>421159920.24000001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421159920.24000001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71467883</v>
      </c>
      <c r="Y356" s="11">
        <v>0</v>
      </c>
      <c r="Z356" s="12">
        <v>71467883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71467883</v>
      </c>
      <c r="AH356" s="11">
        <v>0</v>
      </c>
      <c r="AI356" s="12">
        <v>71467883</v>
      </c>
      <c r="AJ356" s="11">
        <v>71467883</v>
      </c>
      <c r="AK356" s="11">
        <v>71467883</v>
      </c>
      <c r="AL356" s="11">
        <v>71467883</v>
      </c>
      <c r="AM356" s="11">
        <v>0</v>
      </c>
      <c r="AN356" s="11">
        <v>0</v>
      </c>
      <c r="AO356" s="11">
        <v>0</v>
      </c>
      <c r="AP356" s="11">
        <v>0</v>
      </c>
      <c r="AQ356" s="11">
        <v>0</v>
      </c>
      <c r="AR356" s="11">
        <v>0</v>
      </c>
      <c r="AS356" t="s">
        <v>651</v>
      </c>
      <c r="AT356" s="4" t="str">
        <f t="shared" si="80"/>
        <v>Premios de juegos de suerte y azar no reclamados - Juego de apuestas permanentes o chance</v>
      </c>
      <c r="AU356" t="str">
        <f t="shared" si="81"/>
        <v>154Premios de juegos de suerte y azar no reclamados - Juego de apuestas permanentes o chance421159920,24</v>
      </c>
      <c r="AV356" t="str">
        <f>+_xlfn.XLOOKUP(AU356,CRUCE!L:L,CRUCE!M:M)</f>
        <v>READY</v>
      </c>
      <c r="AW356" t="s">
        <v>1907</v>
      </c>
    </row>
    <row r="357" spans="1:49" hidden="1" x14ac:dyDescent="0.3">
      <c r="A357">
        <v>2024</v>
      </c>
      <c r="B357">
        <v>318</v>
      </c>
      <c r="C357">
        <v>12080400103</v>
      </c>
      <c r="D357" s="5">
        <v>154</v>
      </c>
      <c r="E357" s="8" t="s">
        <v>867</v>
      </c>
      <c r="F357">
        <v>12080400103</v>
      </c>
      <c r="G357" t="s">
        <v>1908</v>
      </c>
      <c r="H357" s="8" t="s">
        <v>868</v>
      </c>
      <c r="I357" t="s">
        <v>643</v>
      </c>
      <c r="J357" s="17">
        <v>661931579.75999999</v>
      </c>
      <c r="K357" s="11">
        <v>661931579.75999999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661931579.75999999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0</v>
      </c>
      <c r="X357" s="11">
        <v>384490313</v>
      </c>
      <c r="Y357" s="11">
        <v>0</v>
      </c>
      <c r="Z357" s="12">
        <v>384490313</v>
      </c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11">
        <v>0</v>
      </c>
      <c r="AG357" s="11">
        <v>384490313</v>
      </c>
      <c r="AH357" s="11">
        <v>0</v>
      </c>
      <c r="AI357" s="12">
        <v>384490313</v>
      </c>
      <c r="AJ357" s="11">
        <v>384490313</v>
      </c>
      <c r="AK357" s="11">
        <v>384490313</v>
      </c>
      <c r="AL357" s="11">
        <v>384490313</v>
      </c>
      <c r="AM357" s="11">
        <v>0</v>
      </c>
      <c r="AN357" s="11">
        <v>0</v>
      </c>
      <c r="AO357" s="11">
        <v>0</v>
      </c>
      <c r="AP357" s="11">
        <v>0</v>
      </c>
      <c r="AQ357" s="11">
        <v>0</v>
      </c>
      <c r="AR357" s="11">
        <v>0</v>
      </c>
      <c r="AS357" t="s">
        <v>651</v>
      </c>
      <c r="AT357" s="4" t="str">
        <f t="shared" si="80"/>
        <v>Premios de juegos de suerte y azar no reclamados - Juegos novedosos - superastro</v>
      </c>
      <c r="AU357" t="str">
        <f t="shared" si="81"/>
        <v>154Premios de juegos de suerte y azar no reclamados - Juegos novedosos - superastro661931579,76</v>
      </c>
      <c r="AV357" t="str">
        <f>+_xlfn.XLOOKUP(AU357,CRUCE!L:L,CRUCE!M:M)</f>
        <v>READY</v>
      </c>
      <c r="AW357" t="s">
        <v>1907</v>
      </c>
    </row>
    <row r="358" spans="1:49" hidden="1" x14ac:dyDescent="0.3">
      <c r="A358">
        <v>2024</v>
      </c>
      <c r="B358">
        <v>318</v>
      </c>
      <c r="C358">
        <v>120804004</v>
      </c>
      <c r="D358" s="5">
        <v>154</v>
      </c>
      <c r="E358" s="8" t="s">
        <v>1885</v>
      </c>
      <c r="F358">
        <v>120804004</v>
      </c>
      <c r="G358" t="s">
        <v>1908</v>
      </c>
      <c r="H358" s="8" t="s">
        <v>1886</v>
      </c>
      <c r="I358" t="s">
        <v>643</v>
      </c>
      <c r="J358" s="17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12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2">
        <v>0</v>
      </c>
      <c r="AJ358" s="11">
        <v>0</v>
      </c>
      <c r="AK358" s="11">
        <v>0</v>
      </c>
      <c r="AL358" s="11">
        <v>0</v>
      </c>
      <c r="AM358" s="11">
        <v>0</v>
      </c>
      <c r="AN358" s="11">
        <v>0</v>
      </c>
      <c r="AO358" s="11">
        <v>0</v>
      </c>
      <c r="AP358" s="11">
        <v>0</v>
      </c>
      <c r="AQ358" s="11">
        <v>0</v>
      </c>
      <c r="AR358" s="11">
        <v>0</v>
      </c>
      <c r="AS358" t="s">
        <v>651</v>
      </c>
      <c r="AT358" s="4" t="str">
        <f>+H358</f>
        <v>Premios de juegos novedosos</v>
      </c>
      <c r="AU358" t="str">
        <f t="shared" si="81"/>
        <v>154Premios de juegos novedosos0</v>
      </c>
      <c r="AV358" t="str">
        <f>+_xlfn.XLOOKUP(AU358,CRUCE!L:L,CRUCE!M:M)</f>
        <v>READY</v>
      </c>
      <c r="AW358" t="s">
        <v>1907</v>
      </c>
    </row>
    <row r="359" spans="1:49" hidden="1" x14ac:dyDescent="0.3">
      <c r="A359">
        <v>2024</v>
      </c>
      <c r="B359">
        <v>6</v>
      </c>
      <c r="C359">
        <v>1</v>
      </c>
      <c r="D359" s="5" t="s">
        <v>44</v>
      </c>
      <c r="E359" s="8">
        <v>45297</v>
      </c>
      <c r="F359">
        <v>1</v>
      </c>
      <c r="H359" s="8" t="s">
        <v>46</v>
      </c>
      <c r="I359" t="s">
        <v>909</v>
      </c>
      <c r="J359" s="17">
        <v>0</v>
      </c>
      <c r="K359" s="11">
        <v>81351363468.479996</v>
      </c>
      <c r="L359" s="11">
        <v>82843353967.880005</v>
      </c>
      <c r="M359" s="11">
        <v>1491990499.4000001</v>
      </c>
      <c r="N359" s="11">
        <v>81351363468.479996</v>
      </c>
      <c r="O359" s="11">
        <v>0</v>
      </c>
      <c r="P359" s="11">
        <v>0</v>
      </c>
      <c r="Q359" s="11">
        <v>81351363468.479996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26289558523.720001</v>
      </c>
      <c r="Y359" s="11">
        <v>42914028.990000002</v>
      </c>
      <c r="Z359" s="12">
        <v>26246644494.73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117715.4</v>
      </c>
      <c r="AH359" s="11">
        <v>0</v>
      </c>
      <c r="AI359" s="12">
        <v>117715.4</v>
      </c>
      <c r="AJ359" s="11">
        <v>117715.4</v>
      </c>
      <c r="AK359" s="11">
        <v>26245157678.099998</v>
      </c>
      <c r="AL359" s="11">
        <v>0</v>
      </c>
      <c r="AM359" s="11">
        <v>1486816.63</v>
      </c>
      <c r="AN359" s="11">
        <v>1714344.62</v>
      </c>
      <c r="AO359" s="11">
        <v>227527.99</v>
      </c>
      <c r="AP359" s="11">
        <v>117715.4</v>
      </c>
      <c r="AQ359" s="11">
        <v>0</v>
      </c>
      <c r="AR359" s="11">
        <v>0</v>
      </c>
      <c r="AS359" t="s">
        <v>48</v>
      </c>
      <c r="AT359"/>
    </row>
    <row r="360" spans="1:49" hidden="1" x14ac:dyDescent="0.3">
      <c r="A360">
        <v>2024</v>
      </c>
      <c r="B360">
        <v>6</v>
      </c>
      <c r="C360">
        <v>11</v>
      </c>
      <c r="D360" s="5" t="s">
        <v>44</v>
      </c>
      <c r="E360" s="8" t="s">
        <v>1887</v>
      </c>
      <c r="F360">
        <v>11</v>
      </c>
      <c r="H360" s="8" t="s">
        <v>50</v>
      </c>
      <c r="I360" t="s">
        <v>909</v>
      </c>
      <c r="J360" s="17">
        <v>0</v>
      </c>
      <c r="K360" s="11">
        <v>81351363468.479996</v>
      </c>
      <c r="L360" s="11">
        <v>82843353967.880005</v>
      </c>
      <c r="M360" s="11">
        <v>1491990499.4000001</v>
      </c>
      <c r="N360" s="11">
        <v>81351363468.479996</v>
      </c>
      <c r="O360" s="11">
        <v>0</v>
      </c>
      <c r="P360" s="11">
        <v>0</v>
      </c>
      <c r="Q360" s="11">
        <v>81351363468.479996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26287844179.099998</v>
      </c>
      <c r="Y360" s="11">
        <v>42686501</v>
      </c>
      <c r="Z360" s="12">
        <v>26245157678.099998</v>
      </c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2">
        <v>0</v>
      </c>
      <c r="AJ360" s="11">
        <v>0</v>
      </c>
      <c r="AK360" s="11">
        <v>26245157678.099998</v>
      </c>
      <c r="AL360" s="11">
        <v>0</v>
      </c>
      <c r="AM360" s="11">
        <v>0</v>
      </c>
      <c r="AN360" s="11">
        <v>0</v>
      </c>
      <c r="AO360" s="11">
        <v>0</v>
      </c>
      <c r="AP360" s="11">
        <v>0</v>
      </c>
      <c r="AQ360" s="11">
        <v>0</v>
      </c>
      <c r="AR360" s="11">
        <v>0</v>
      </c>
      <c r="AS360" t="s">
        <v>48</v>
      </c>
      <c r="AT360"/>
    </row>
    <row r="361" spans="1:49" hidden="1" x14ac:dyDescent="0.3">
      <c r="A361">
        <v>2024</v>
      </c>
      <c r="B361">
        <v>6</v>
      </c>
      <c r="C361">
        <v>1102</v>
      </c>
      <c r="D361" s="5" t="s">
        <v>44</v>
      </c>
      <c r="E361" s="8" t="s">
        <v>1888</v>
      </c>
      <c r="F361">
        <v>1102</v>
      </c>
      <c r="H361" s="8" t="s">
        <v>145</v>
      </c>
      <c r="I361" t="s">
        <v>909</v>
      </c>
      <c r="J361" s="17">
        <v>0</v>
      </c>
      <c r="K361" s="11">
        <v>81351363468.479996</v>
      </c>
      <c r="L361" s="11">
        <v>82843353967.880005</v>
      </c>
      <c r="M361" s="11">
        <v>1491990499.4000001</v>
      </c>
      <c r="N361" s="11">
        <v>81351363468.479996</v>
      </c>
      <c r="O361" s="11">
        <v>0</v>
      </c>
      <c r="P361" s="11">
        <v>0</v>
      </c>
      <c r="Q361" s="11">
        <v>81351363468.479996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26287844179.099998</v>
      </c>
      <c r="Y361" s="11">
        <v>42686501</v>
      </c>
      <c r="Z361" s="12">
        <v>26245157678.099998</v>
      </c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2">
        <v>0</v>
      </c>
      <c r="AJ361" s="11">
        <v>0</v>
      </c>
      <c r="AK361" s="11">
        <v>26245157678.099998</v>
      </c>
      <c r="AL361" s="11">
        <v>0</v>
      </c>
      <c r="AM361" s="11">
        <v>0</v>
      </c>
      <c r="AN361" s="11">
        <v>0</v>
      </c>
      <c r="AO361" s="11">
        <v>0</v>
      </c>
      <c r="AP361" s="11">
        <v>0</v>
      </c>
      <c r="AQ361" s="11">
        <v>0</v>
      </c>
      <c r="AR361" s="11">
        <v>0</v>
      </c>
      <c r="AS361" t="s">
        <v>48</v>
      </c>
      <c r="AT361"/>
    </row>
    <row r="362" spans="1:49" hidden="1" x14ac:dyDescent="0.3">
      <c r="A362">
        <v>2024</v>
      </c>
      <c r="B362">
        <v>6</v>
      </c>
      <c r="C362">
        <v>110206</v>
      </c>
      <c r="D362" s="5" t="s">
        <v>44</v>
      </c>
      <c r="E362" s="8" t="s">
        <v>1889</v>
      </c>
      <c r="F362">
        <v>110206</v>
      </c>
      <c r="H362" s="8" t="s">
        <v>242</v>
      </c>
      <c r="I362" t="s">
        <v>909</v>
      </c>
      <c r="J362" s="17">
        <v>0</v>
      </c>
      <c r="K362" s="11">
        <v>81351363468.479996</v>
      </c>
      <c r="L362" s="11">
        <v>82843353967.880005</v>
      </c>
      <c r="M362" s="11">
        <v>1491990499.4000001</v>
      </c>
      <c r="N362" s="11">
        <v>81351363468.479996</v>
      </c>
      <c r="O362" s="11">
        <v>0</v>
      </c>
      <c r="P362" s="11">
        <v>0</v>
      </c>
      <c r="Q362" s="11">
        <v>81351363468.479996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26287844179.099998</v>
      </c>
      <c r="Y362" s="11">
        <v>42686501</v>
      </c>
      <c r="Z362" s="12">
        <v>26245157678.099998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2">
        <v>0</v>
      </c>
      <c r="AJ362" s="11">
        <v>0</v>
      </c>
      <c r="AK362" s="11">
        <v>26245157678.099998</v>
      </c>
      <c r="AL362" s="11">
        <v>0</v>
      </c>
      <c r="AM362" s="11">
        <v>0</v>
      </c>
      <c r="AN362" s="11">
        <v>0</v>
      </c>
      <c r="AO362" s="11">
        <v>0</v>
      </c>
      <c r="AP362" s="11">
        <v>0</v>
      </c>
      <c r="AQ362" s="11">
        <v>0</v>
      </c>
      <c r="AR362" s="11">
        <v>0</v>
      </c>
      <c r="AS362" t="s">
        <v>48</v>
      </c>
      <c r="AT362"/>
    </row>
    <row r="363" spans="1:49" hidden="1" x14ac:dyDescent="0.3">
      <c r="A363">
        <v>2024</v>
      </c>
      <c r="B363">
        <v>6</v>
      </c>
      <c r="C363">
        <v>110206002</v>
      </c>
      <c r="D363" s="5" t="s">
        <v>44</v>
      </c>
      <c r="E363" s="8" t="s">
        <v>912</v>
      </c>
      <c r="F363">
        <v>110206002</v>
      </c>
      <c r="H363" s="8" t="s">
        <v>1447</v>
      </c>
      <c r="I363" t="s">
        <v>909</v>
      </c>
      <c r="J363" s="17">
        <v>0</v>
      </c>
      <c r="K363" s="11">
        <v>81351363468.479996</v>
      </c>
      <c r="L363" s="11">
        <v>82843353967.880005</v>
      </c>
      <c r="M363" s="11">
        <v>1491990499.4000001</v>
      </c>
      <c r="N363" s="11">
        <v>81351363468.479996</v>
      </c>
      <c r="O363" s="11">
        <v>0</v>
      </c>
      <c r="P363" s="11">
        <v>0</v>
      </c>
      <c r="Q363" s="11">
        <v>81351363468.479996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26287844179.099998</v>
      </c>
      <c r="Y363" s="11">
        <v>42686501</v>
      </c>
      <c r="Z363" s="12">
        <v>26245157678.099998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2">
        <v>0</v>
      </c>
      <c r="AJ363" s="11">
        <v>0</v>
      </c>
      <c r="AK363" s="11">
        <v>26245157678.099998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0</v>
      </c>
      <c r="AR363" s="11">
        <v>0</v>
      </c>
      <c r="AS363" t="s">
        <v>48</v>
      </c>
      <c r="AT363"/>
    </row>
    <row r="364" spans="1:49" hidden="1" x14ac:dyDescent="0.3">
      <c r="A364">
        <v>2024</v>
      </c>
      <c r="B364">
        <v>6</v>
      </c>
      <c r="C364">
        <v>11020600201</v>
      </c>
      <c r="D364" s="5" t="s">
        <v>44</v>
      </c>
      <c r="E364" s="8" t="s">
        <v>914</v>
      </c>
      <c r="F364">
        <v>11020600201</v>
      </c>
      <c r="H364" s="8" t="s">
        <v>1448</v>
      </c>
      <c r="I364" t="s">
        <v>909</v>
      </c>
      <c r="J364" s="17">
        <v>0</v>
      </c>
      <c r="K364" s="11">
        <v>81351363468.479996</v>
      </c>
      <c r="L364" s="11">
        <v>82843353967.880005</v>
      </c>
      <c r="M364" s="11">
        <v>1491990499.4000001</v>
      </c>
      <c r="N364" s="11">
        <v>81351363468.479996</v>
      </c>
      <c r="O364" s="11">
        <v>0</v>
      </c>
      <c r="P364" s="11">
        <v>0</v>
      </c>
      <c r="Q364" s="11">
        <v>81351363468.479996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26287844179.099998</v>
      </c>
      <c r="Y364" s="11">
        <v>42686501</v>
      </c>
      <c r="Z364" s="12">
        <v>26245157678.099998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2">
        <v>0</v>
      </c>
      <c r="AJ364" s="11">
        <v>0</v>
      </c>
      <c r="AK364" s="11">
        <v>26245157678.099998</v>
      </c>
      <c r="AL364" s="11">
        <v>0</v>
      </c>
      <c r="AM364" s="11">
        <v>0</v>
      </c>
      <c r="AN364" s="11">
        <v>0</v>
      </c>
      <c r="AO364" s="11">
        <v>0</v>
      </c>
      <c r="AP364" s="11">
        <v>0</v>
      </c>
      <c r="AQ364" s="11">
        <v>0</v>
      </c>
      <c r="AR364" s="11">
        <v>0</v>
      </c>
      <c r="AS364" t="s">
        <v>48</v>
      </c>
      <c r="AT364"/>
    </row>
    <row r="365" spans="1:49" hidden="1" x14ac:dyDescent="0.3">
      <c r="A365">
        <v>2024</v>
      </c>
      <c r="B365">
        <v>6</v>
      </c>
      <c r="C365">
        <v>1102060020101</v>
      </c>
      <c r="D365" s="5" t="s">
        <v>44</v>
      </c>
      <c r="E365" s="8" t="s">
        <v>1449</v>
      </c>
      <c r="F365">
        <v>1102060020101</v>
      </c>
      <c r="H365" s="8" t="s">
        <v>1450</v>
      </c>
      <c r="I365" t="s">
        <v>909</v>
      </c>
      <c r="J365" s="17">
        <v>0</v>
      </c>
      <c r="K365" s="11">
        <v>51105967.200000003</v>
      </c>
      <c r="L365" s="11">
        <v>51105967.200000003</v>
      </c>
      <c r="M365" s="11">
        <v>0</v>
      </c>
      <c r="N365" s="11">
        <v>51105967.200000003</v>
      </c>
      <c r="O365" s="11">
        <v>0</v>
      </c>
      <c r="P365" s="11">
        <v>0</v>
      </c>
      <c r="Q365" s="11">
        <v>51105967.200000003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5648071.2000000002</v>
      </c>
      <c r="Y365" s="11">
        <v>0</v>
      </c>
      <c r="Z365" s="12">
        <v>5648071.2000000002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2">
        <v>0</v>
      </c>
      <c r="AJ365" s="11">
        <v>0</v>
      </c>
      <c r="AK365" s="11">
        <v>5648071.2000000002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t="s">
        <v>48</v>
      </c>
      <c r="AT365"/>
    </row>
    <row r="366" spans="1:49" hidden="1" x14ac:dyDescent="0.3">
      <c r="A366">
        <v>2024</v>
      </c>
      <c r="B366">
        <v>6</v>
      </c>
      <c r="C366">
        <v>110206002010101</v>
      </c>
      <c r="D366" s="5" t="s">
        <v>44</v>
      </c>
      <c r="E366" s="8" t="s">
        <v>1451</v>
      </c>
      <c r="F366">
        <v>110206002010101</v>
      </c>
      <c r="H366" s="8" t="s">
        <v>1452</v>
      </c>
      <c r="I366" t="s">
        <v>909</v>
      </c>
      <c r="J366" s="17">
        <v>0</v>
      </c>
      <c r="K366" s="11">
        <v>51105967.200000003</v>
      </c>
      <c r="L366" s="11">
        <v>51105967.200000003</v>
      </c>
      <c r="M366" s="11">
        <v>0</v>
      </c>
      <c r="N366" s="11">
        <v>51105967.200000003</v>
      </c>
      <c r="O366" s="11">
        <v>0</v>
      </c>
      <c r="P366" s="11">
        <v>0</v>
      </c>
      <c r="Q366" s="11">
        <v>51105967.200000003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5648071.2000000002</v>
      </c>
      <c r="Y366" s="11">
        <v>0</v>
      </c>
      <c r="Z366" s="12">
        <v>5648071.2000000002</v>
      </c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2">
        <v>0</v>
      </c>
      <c r="AJ366" s="11">
        <v>0</v>
      </c>
      <c r="AK366" s="11">
        <v>5648071.2000000002</v>
      </c>
      <c r="AL366" s="11">
        <v>0</v>
      </c>
      <c r="AM366" s="11">
        <v>0</v>
      </c>
      <c r="AN366" s="11">
        <v>0</v>
      </c>
      <c r="AO366" s="11">
        <v>0</v>
      </c>
      <c r="AP366" s="11">
        <v>0</v>
      </c>
      <c r="AQ366" s="11">
        <v>0</v>
      </c>
      <c r="AR366" s="11">
        <v>0</v>
      </c>
      <c r="AS366" t="s">
        <v>48</v>
      </c>
      <c r="AT366"/>
    </row>
    <row r="367" spans="1:49" hidden="1" x14ac:dyDescent="0.3">
      <c r="A367">
        <v>2024</v>
      </c>
      <c r="B367">
        <v>6</v>
      </c>
      <c r="C367">
        <v>1.1020600201010099E+17</v>
      </c>
      <c r="D367" s="5">
        <v>70</v>
      </c>
      <c r="E367" s="8" t="s">
        <v>1453</v>
      </c>
      <c r="F367">
        <v>1.1020600201010099E+17</v>
      </c>
      <c r="G367" t="s">
        <v>1908</v>
      </c>
      <c r="H367" s="8" t="s">
        <v>1454</v>
      </c>
      <c r="I367" t="s">
        <v>909</v>
      </c>
      <c r="J367" s="17">
        <v>0</v>
      </c>
      <c r="K367" s="11">
        <v>51105967.200000003</v>
      </c>
      <c r="L367" s="11">
        <v>51105967.200000003</v>
      </c>
      <c r="M367" s="11">
        <v>0</v>
      </c>
      <c r="N367" s="11">
        <v>51105967.200000003</v>
      </c>
      <c r="O367" s="11">
        <v>0</v>
      </c>
      <c r="P367" s="11">
        <v>0</v>
      </c>
      <c r="Q367" s="11">
        <v>51105967.200000003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5648071.2000000002</v>
      </c>
      <c r="Y367" s="11">
        <v>0</v>
      </c>
      <c r="Z367" s="12">
        <v>5648071.2000000002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2">
        <v>0</v>
      </c>
      <c r="AJ367" s="11">
        <v>0</v>
      </c>
      <c r="AK367" s="11">
        <v>5648071.2000000002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0</v>
      </c>
      <c r="AR367" s="11">
        <v>0</v>
      </c>
      <c r="AS367" t="s">
        <v>918</v>
      </c>
      <c r="AT367" s="4" t="str">
        <f>+H367</f>
        <v>Saldos a 31 de diciembre, para fortalecimiento de las oficinas de planeación y/o las secretarías téc</v>
      </c>
      <c r="AU367" t="str">
        <f>+D367&amp;AT367&amp;J367</f>
        <v>70Saldos a 31 de diciembre, para fortalecimiento de las oficinas de planeación y/o las secretarías téc0</v>
      </c>
      <c r="AV367" t="str">
        <f>+_xlfn.XLOOKUP(AU367,CRUCE!L:L,CRUCE!M:M)</f>
        <v>READY</v>
      </c>
      <c r="AW367" t="s">
        <v>1907</v>
      </c>
    </row>
    <row r="368" spans="1:49" hidden="1" x14ac:dyDescent="0.3">
      <c r="A368">
        <v>2024</v>
      </c>
      <c r="B368">
        <v>6</v>
      </c>
      <c r="C368">
        <v>1102060020103</v>
      </c>
      <c r="D368" s="5" t="s">
        <v>44</v>
      </c>
      <c r="E368" s="8" t="s">
        <v>1455</v>
      </c>
      <c r="F368">
        <v>1102060020103</v>
      </c>
      <c r="H368" s="8" t="s">
        <v>1456</v>
      </c>
      <c r="I368" t="s">
        <v>909</v>
      </c>
      <c r="J368" s="17">
        <v>0</v>
      </c>
      <c r="K368" s="11">
        <v>81300257501.279999</v>
      </c>
      <c r="L368" s="11">
        <v>82792248000.679993</v>
      </c>
      <c r="M368" s="11">
        <v>1491990499.4000001</v>
      </c>
      <c r="N368" s="11">
        <v>81300257501.279999</v>
      </c>
      <c r="O368" s="11">
        <v>0</v>
      </c>
      <c r="P368" s="11">
        <v>0</v>
      </c>
      <c r="Q368" s="11">
        <v>81300257501.279999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26282196107.900002</v>
      </c>
      <c r="Y368" s="11">
        <v>42686501</v>
      </c>
      <c r="Z368" s="12">
        <v>26239509606.900002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2">
        <v>0</v>
      </c>
      <c r="AJ368" s="11">
        <v>0</v>
      </c>
      <c r="AK368" s="11">
        <v>26239509606.900002</v>
      </c>
      <c r="AL368" s="11">
        <v>0</v>
      </c>
      <c r="AM368" s="11">
        <v>0</v>
      </c>
      <c r="AN368" s="11">
        <v>0</v>
      </c>
      <c r="AO368" s="11">
        <v>0</v>
      </c>
      <c r="AP368" s="11">
        <v>0</v>
      </c>
      <c r="AQ368" s="11">
        <v>0</v>
      </c>
      <c r="AR368" s="11">
        <v>0</v>
      </c>
      <c r="AS368" t="s">
        <v>48</v>
      </c>
      <c r="AT368"/>
    </row>
    <row r="369" spans="1:49" hidden="1" x14ac:dyDescent="0.3">
      <c r="A369">
        <v>2024</v>
      </c>
      <c r="B369">
        <v>6</v>
      </c>
      <c r="C369">
        <v>110206002010301</v>
      </c>
      <c r="D369" s="5" t="s">
        <v>44</v>
      </c>
      <c r="E369" s="8" t="s">
        <v>1457</v>
      </c>
      <c r="F369">
        <v>110206002010301</v>
      </c>
      <c r="H369" s="8" t="s">
        <v>1458</v>
      </c>
      <c r="I369" t="s">
        <v>909</v>
      </c>
      <c r="J369" s="17">
        <v>0</v>
      </c>
      <c r="K369" s="11">
        <v>2103830801.5899999</v>
      </c>
      <c r="L369" s="11">
        <v>3595821300.9899998</v>
      </c>
      <c r="M369" s="11">
        <v>1491990499.4000001</v>
      </c>
      <c r="N369" s="11">
        <v>2103830801.5899999</v>
      </c>
      <c r="O369" s="11">
        <v>0</v>
      </c>
      <c r="P369" s="11">
        <v>0</v>
      </c>
      <c r="Q369" s="11">
        <v>2103830801.5899999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609283447.94000006</v>
      </c>
      <c r="Y369" s="11">
        <v>42686501</v>
      </c>
      <c r="Z369" s="12">
        <v>566596946.94000006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2">
        <v>0</v>
      </c>
      <c r="AJ369" s="11">
        <v>0</v>
      </c>
      <c r="AK369" s="11">
        <v>566596946.94000006</v>
      </c>
      <c r="AL369" s="11">
        <v>0</v>
      </c>
      <c r="AM369" s="11">
        <v>0</v>
      </c>
      <c r="AN369" s="11">
        <v>0</v>
      </c>
      <c r="AO369" s="11">
        <v>0</v>
      </c>
      <c r="AP369" s="11">
        <v>0</v>
      </c>
      <c r="AQ369" s="11">
        <v>0</v>
      </c>
      <c r="AR369" s="11">
        <v>0</v>
      </c>
      <c r="AS369" t="s">
        <v>48</v>
      </c>
      <c r="AT369"/>
    </row>
    <row r="370" spans="1:49" hidden="1" x14ac:dyDescent="0.3">
      <c r="A370">
        <v>2024</v>
      </c>
      <c r="B370">
        <v>6</v>
      </c>
      <c r="C370">
        <v>1.1020600201030099E+17</v>
      </c>
      <c r="D370" s="5" t="s">
        <v>44</v>
      </c>
      <c r="E370" s="8" t="s">
        <v>1459</v>
      </c>
      <c r="F370">
        <v>1.1020600201030099E+17</v>
      </c>
      <c r="H370" s="8" t="s">
        <v>1460</v>
      </c>
      <c r="I370" t="s">
        <v>909</v>
      </c>
      <c r="J370" s="17">
        <v>0</v>
      </c>
      <c r="K370" s="11">
        <v>2103830801.5899999</v>
      </c>
      <c r="L370" s="11">
        <v>3595821300.9899998</v>
      </c>
      <c r="M370" s="11">
        <v>1491990499.4000001</v>
      </c>
      <c r="N370" s="11">
        <v>2103830801.5899999</v>
      </c>
      <c r="O370" s="11">
        <v>0</v>
      </c>
      <c r="P370" s="11">
        <v>0</v>
      </c>
      <c r="Q370" s="11">
        <v>2103830801.5899999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609283447.94000006</v>
      </c>
      <c r="Y370" s="11">
        <v>42686501</v>
      </c>
      <c r="Z370" s="12">
        <v>566596946.94000006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2">
        <v>0</v>
      </c>
      <c r="AJ370" s="11">
        <v>0</v>
      </c>
      <c r="AK370" s="11">
        <v>566596946.94000006</v>
      </c>
      <c r="AL370" s="11">
        <v>0</v>
      </c>
      <c r="AM370" s="11">
        <v>0</v>
      </c>
      <c r="AN370" s="11">
        <v>0</v>
      </c>
      <c r="AO370" s="11">
        <v>0</v>
      </c>
      <c r="AP370" s="11">
        <v>0</v>
      </c>
      <c r="AQ370" s="11">
        <v>0</v>
      </c>
      <c r="AR370" s="11">
        <v>0</v>
      </c>
      <c r="AS370" t="s">
        <v>48</v>
      </c>
      <c r="AT370"/>
    </row>
    <row r="371" spans="1:49" hidden="1" x14ac:dyDescent="0.3">
      <c r="A371">
        <v>2024</v>
      </c>
      <c r="B371">
        <v>6</v>
      </c>
      <c r="C371">
        <v>1.1020600201030101E+20</v>
      </c>
      <c r="D371" s="5" t="s">
        <v>44</v>
      </c>
      <c r="E371" s="8" t="s">
        <v>1461</v>
      </c>
      <c r="F371">
        <v>1.1020600201030101E+20</v>
      </c>
      <c r="H371" s="8" t="s">
        <v>1460</v>
      </c>
      <c r="I371" t="s">
        <v>909</v>
      </c>
      <c r="J371" s="17">
        <v>0</v>
      </c>
      <c r="K371" s="11">
        <v>2103830801.5899999</v>
      </c>
      <c r="L371" s="11">
        <v>3595821300.9899998</v>
      </c>
      <c r="M371" s="11">
        <v>1491990499.4000001</v>
      </c>
      <c r="N371" s="11">
        <v>2103830801.5899999</v>
      </c>
      <c r="O371" s="11">
        <v>0</v>
      </c>
      <c r="P371" s="11">
        <v>0</v>
      </c>
      <c r="Q371" s="11">
        <v>2103830801.5899999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609283447.94000006</v>
      </c>
      <c r="Y371" s="11">
        <v>42686501</v>
      </c>
      <c r="Z371" s="12">
        <v>566596946.94000006</v>
      </c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2">
        <v>0</v>
      </c>
      <c r="AJ371" s="11">
        <v>0</v>
      </c>
      <c r="AK371" s="11">
        <v>566596946.94000006</v>
      </c>
      <c r="AL371" s="11">
        <v>0</v>
      </c>
      <c r="AM371" s="11">
        <v>0</v>
      </c>
      <c r="AN371" s="11">
        <v>0</v>
      </c>
      <c r="AO371" s="11">
        <v>0</v>
      </c>
      <c r="AP371" s="11">
        <v>0</v>
      </c>
      <c r="AQ371" s="11">
        <v>0</v>
      </c>
      <c r="AR371" s="11">
        <v>0</v>
      </c>
      <c r="AS371" t="s">
        <v>48</v>
      </c>
      <c r="AT371"/>
    </row>
    <row r="372" spans="1:49" hidden="1" x14ac:dyDescent="0.3">
      <c r="A372">
        <v>2024</v>
      </c>
      <c r="B372">
        <v>6</v>
      </c>
      <c r="C372">
        <v>1.1020600201030101E+35</v>
      </c>
      <c r="D372" s="5">
        <v>70</v>
      </c>
      <c r="E372" s="8" t="s">
        <v>1462</v>
      </c>
      <c r="F372">
        <v>1.1020600201030101E+35</v>
      </c>
      <c r="G372" t="s">
        <v>1908</v>
      </c>
      <c r="H372" s="8" t="s">
        <v>923</v>
      </c>
      <c r="I372" t="s">
        <v>909</v>
      </c>
      <c r="J372" s="17">
        <v>0</v>
      </c>
      <c r="K372" s="11">
        <v>611840302.19000006</v>
      </c>
      <c r="L372" s="11">
        <v>611840302.19000006</v>
      </c>
      <c r="M372" s="11">
        <v>0</v>
      </c>
      <c r="N372" s="11">
        <v>611840302.19000006</v>
      </c>
      <c r="O372" s="11">
        <v>0</v>
      </c>
      <c r="P372" s="11">
        <v>0</v>
      </c>
      <c r="Q372" s="11">
        <v>611840302.19000006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592399447.94000006</v>
      </c>
      <c r="Y372" s="11">
        <v>42686501</v>
      </c>
      <c r="Z372" s="12">
        <v>549712946.94000006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11">
        <v>0</v>
      </c>
      <c r="AI372" s="12">
        <v>0</v>
      </c>
      <c r="AJ372" s="11">
        <v>0</v>
      </c>
      <c r="AK372" s="11">
        <v>549712946.94000006</v>
      </c>
      <c r="AL372" s="11">
        <v>0</v>
      </c>
      <c r="AM372" s="11">
        <v>0</v>
      </c>
      <c r="AN372" s="11">
        <v>0</v>
      </c>
      <c r="AO372" s="11">
        <v>0</v>
      </c>
      <c r="AP372" s="11">
        <v>0</v>
      </c>
      <c r="AQ372" s="11">
        <v>0</v>
      </c>
      <c r="AR372" s="11">
        <v>0</v>
      </c>
      <c r="AS372" t="s">
        <v>918</v>
      </c>
      <c r="AT372" s="4" t="str">
        <f t="shared" ref="AT372:AT374" si="82">+H372</f>
        <v>Fortalecimiento de la prestación de servicios de salud y las acciones de salud pública durante la pa</v>
      </c>
      <c r="AU372" t="str">
        <f t="shared" ref="AU372:AU374" si="83">+D372&amp;AT372&amp;J372</f>
        <v>70Fortalecimiento de la prestación de servicios de salud y las acciones de salud pública durante la pa0</v>
      </c>
      <c r="AV372" t="str">
        <f>+_xlfn.XLOOKUP(AU372,CRUCE!L:L,CRUCE!M:M)</f>
        <v>READY</v>
      </c>
      <c r="AW372" t="s">
        <v>1907</v>
      </c>
    </row>
    <row r="373" spans="1:49" hidden="1" x14ac:dyDescent="0.3">
      <c r="A373">
        <v>2024</v>
      </c>
      <c r="B373">
        <v>6</v>
      </c>
      <c r="C373">
        <v>1.1020600201030101E+35</v>
      </c>
      <c r="D373" s="5">
        <v>70</v>
      </c>
      <c r="E373" s="8" t="s">
        <v>1462</v>
      </c>
      <c r="F373">
        <v>1.1020600201030101E+35</v>
      </c>
      <c r="G373" t="s">
        <v>1908</v>
      </c>
      <c r="H373" s="8" t="s">
        <v>923</v>
      </c>
      <c r="I373" t="s">
        <v>909</v>
      </c>
      <c r="J373" s="17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2">
        <v>0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1">
        <v>0</v>
      </c>
      <c r="AI373" s="12">
        <v>0</v>
      </c>
      <c r="AJ373" s="11">
        <v>0</v>
      </c>
      <c r="AK373" s="11">
        <v>0</v>
      </c>
      <c r="AL373" s="11">
        <v>0</v>
      </c>
      <c r="AM373" s="11">
        <v>0</v>
      </c>
      <c r="AN373" s="11">
        <v>0</v>
      </c>
      <c r="AO373" s="11">
        <v>0</v>
      </c>
      <c r="AP373" s="11">
        <v>0</v>
      </c>
      <c r="AQ373" s="11">
        <v>0</v>
      </c>
      <c r="AR373" s="11">
        <v>0</v>
      </c>
      <c r="AS373" t="s">
        <v>918</v>
      </c>
      <c r="AT373" s="4" t="str">
        <f t="shared" si="82"/>
        <v>Fortalecimiento de la prestación de servicios de salud y las acciones de salud pública durante la pa</v>
      </c>
      <c r="AU373" t="str">
        <f t="shared" si="83"/>
        <v>70Fortalecimiento de la prestación de servicios de salud y las acciones de salud pública durante la pa0</v>
      </c>
      <c r="AV373" t="str">
        <f>+_xlfn.XLOOKUP(AU373,CRUCE!L:L,CRUCE!M:M)</f>
        <v>READY</v>
      </c>
      <c r="AW373" t="s">
        <v>1907</v>
      </c>
    </row>
    <row r="374" spans="1:49" hidden="1" x14ac:dyDescent="0.3">
      <c r="A374">
        <v>2024</v>
      </c>
      <c r="B374">
        <v>6</v>
      </c>
      <c r="C374">
        <v>1.1020600201030101E+35</v>
      </c>
      <c r="D374" s="5">
        <v>70</v>
      </c>
      <c r="E374" s="8" t="s">
        <v>1463</v>
      </c>
      <c r="F374">
        <v>1.1020600201030101E+35</v>
      </c>
      <c r="G374" t="s">
        <v>1908</v>
      </c>
      <c r="H374" s="8" t="s">
        <v>1464</v>
      </c>
      <c r="I374" t="s">
        <v>909</v>
      </c>
      <c r="J374" s="17">
        <v>0</v>
      </c>
      <c r="K374" s="11">
        <v>1491990499.4000001</v>
      </c>
      <c r="L374" s="11">
        <v>2983980998.8000002</v>
      </c>
      <c r="M374" s="11">
        <v>1491990499.4000001</v>
      </c>
      <c r="N374" s="11">
        <v>1491990499.4000001</v>
      </c>
      <c r="O374" s="11">
        <v>0</v>
      </c>
      <c r="P374" s="11">
        <v>0</v>
      </c>
      <c r="Q374" s="11">
        <v>1491990499.4000001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16884000</v>
      </c>
      <c r="Y374" s="11">
        <v>0</v>
      </c>
      <c r="Z374" s="12">
        <v>16884000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11">
        <v>0</v>
      </c>
      <c r="AI374" s="12">
        <v>0</v>
      </c>
      <c r="AJ374" s="11">
        <v>0</v>
      </c>
      <c r="AK374" s="11">
        <v>16884000</v>
      </c>
      <c r="AL374" s="11">
        <v>0</v>
      </c>
      <c r="AM374" s="11">
        <v>0</v>
      </c>
      <c r="AN374" s="11">
        <v>0</v>
      </c>
      <c r="AO374" s="11">
        <v>0</v>
      </c>
      <c r="AP374" s="11">
        <v>0</v>
      </c>
      <c r="AQ374" s="11">
        <v>0</v>
      </c>
      <c r="AR374" s="11">
        <v>0</v>
      </c>
      <c r="AS374" t="s">
        <v>918</v>
      </c>
      <c r="AT374" s="4" t="str">
        <f t="shared" si="82"/>
        <v xml:space="preserve">DESARROLLO DE INSTRUMENTOS Y HERRAMIENTAS PARA LA PLANEACION Y GESTION DEL ORDENAMIENTO TERRITORIAL </v>
      </c>
      <c r="AU374" t="str">
        <f t="shared" si="83"/>
        <v>70DESARROLLO DE INSTRUMENTOS Y HERRAMIENTAS PARA LA PLANEACION Y GESTION DEL ORDENAMIENTO TERRITORIAL 0</v>
      </c>
      <c r="AV374" t="str">
        <f>+_xlfn.XLOOKUP(AU374,CRUCE!L:L,CRUCE!M:M)</f>
        <v>READY</v>
      </c>
      <c r="AW374" t="s">
        <v>1907</v>
      </c>
    </row>
    <row r="375" spans="1:49" hidden="1" x14ac:dyDescent="0.3">
      <c r="A375">
        <v>2024</v>
      </c>
      <c r="B375">
        <v>6</v>
      </c>
      <c r="C375">
        <v>110206002010303</v>
      </c>
      <c r="D375" s="5" t="s">
        <v>44</v>
      </c>
      <c r="E375" s="8" t="s">
        <v>1465</v>
      </c>
      <c r="F375">
        <v>110206002010303</v>
      </c>
      <c r="H375" s="8" t="s">
        <v>1466</v>
      </c>
      <c r="I375" t="s">
        <v>909</v>
      </c>
      <c r="J375" s="17">
        <v>0</v>
      </c>
      <c r="K375" s="11">
        <v>78101655124.690002</v>
      </c>
      <c r="L375" s="11">
        <v>78101655124.690002</v>
      </c>
      <c r="M375" s="11">
        <v>0</v>
      </c>
      <c r="N375" s="11">
        <v>78101655124.690002</v>
      </c>
      <c r="O375" s="11">
        <v>0</v>
      </c>
      <c r="P375" s="11">
        <v>0</v>
      </c>
      <c r="Q375" s="11">
        <v>78101655124.690002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25122436909.060001</v>
      </c>
      <c r="Y375" s="11">
        <v>0</v>
      </c>
      <c r="Z375" s="12">
        <v>25122436909.060001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2">
        <v>0</v>
      </c>
      <c r="AJ375" s="11">
        <v>0</v>
      </c>
      <c r="AK375" s="11">
        <v>25122436909.060001</v>
      </c>
      <c r="AL375" s="11">
        <v>0</v>
      </c>
      <c r="AM375" s="11">
        <v>0</v>
      </c>
      <c r="AN375" s="11">
        <v>0</v>
      </c>
      <c r="AO375" s="11">
        <v>0</v>
      </c>
      <c r="AP375" s="11">
        <v>0</v>
      </c>
      <c r="AQ375" s="11">
        <v>0</v>
      </c>
      <c r="AR375" s="11">
        <v>0</v>
      </c>
      <c r="AS375" t="s">
        <v>48</v>
      </c>
      <c r="AT375"/>
    </row>
    <row r="376" spans="1:49" hidden="1" x14ac:dyDescent="0.3">
      <c r="A376">
        <v>2024</v>
      </c>
      <c r="B376">
        <v>6</v>
      </c>
      <c r="C376">
        <v>1.1020600201030301E+17</v>
      </c>
      <c r="D376" s="5" t="s">
        <v>44</v>
      </c>
      <c r="E376" s="8" t="s">
        <v>1467</v>
      </c>
      <c r="F376">
        <v>1.1020600201030301E+17</v>
      </c>
      <c r="H376" s="8" t="s">
        <v>1468</v>
      </c>
      <c r="I376" t="s">
        <v>909</v>
      </c>
      <c r="J376" s="17">
        <v>0</v>
      </c>
      <c r="K376" s="11">
        <v>78101655124.690002</v>
      </c>
      <c r="L376" s="11">
        <v>78101655124.690002</v>
      </c>
      <c r="M376" s="11">
        <v>0</v>
      </c>
      <c r="N376" s="11">
        <v>78101655124.690002</v>
      </c>
      <c r="O376" s="11">
        <v>0</v>
      </c>
      <c r="P376" s="11">
        <v>0</v>
      </c>
      <c r="Q376" s="11">
        <v>78101655124.690002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25122436909.060001</v>
      </c>
      <c r="Y376" s="11">
        <v>0</v>
      </c>
      <c r="Z376" s="12">
        <v>25122436909.060001</v>
      </c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0</v>
      </c>
      <c r="AI376" s="12">
        <v>0</v>
      </c>
      <c r="AJ376" s="11">
        <v>0</v>
      </c>
      <c r="AK376" s="11">
        <v>25122436909.060001</v>
      </c>
      <c r="AL376" s="11">
        <v>0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t="s">
        <v>48</v>
      </c>
      <c r="AT376"/>
    </row>
    <row r="377" spans="1:49" hidden="1" x14ac:dyDescent="0.3">
      <c r="A377">
        <v>2024</v>
      </c>
      <c r="B377">
        <v>6</v>
      </c>
      <c r="C377">
        <v>1.10206002010303E+20</v>
      </c>
      <c r="D377" s="5" t="s">
        <v>44</v>
      </c>
      <c r="E377" s="8" t="s">
        <v>1469</v>
      </c>
      <c r="F377">
        <v>1.10206002010303E+20</v>
      </c>
      <c r="H377" s="8" t="s">
        <v>1468</v>
      </c>
      <c r="I377" t="s">
        <v>909</v>
      </c>
      <c r="J377" s="17">
        <v>0</v>
      </c>
      <c r="K377" s="11">
        <v>78101655124.690002</v>
      </c>
      <c r="L377" s="11">
        <v>78101655124.690002</v>
      </c>
      <c r="M377" s="11">
        <v>0</v>
      </c>
      <c r="N377" s="11">
        <v>78101655124.690002</v>
      </c>
      <c r="O377" s="11">
        <v>0</v>
      </c>
      <c r="P377" s="11">
        <v>0</v>
      </c>
      <c r="Q377" s="11">
        <v>78101655124.690002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25122436909.060001</v>
      </c>
      <c r="Y377" s="11">
        <v>0</v>
      </c>
      <c r="Z377" s="12">
        <v>25122436909.060001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2">
        <v>0</v>
      </c>
      <c r="AJ377" s="11">
        <v>0</v>
      </c>
      <c r="AK377" s="11">
        <v>25122436909.060001</v>
      </c>
      <c r="AL377" s="11">
        <v>0</v>
      </c>
      <c r="AM377" s="11">
        <v>0</v>
      </c>
      <c r="AN377" s="11">
        <v>0</v>
      </c>
      <c r="AO377" s="11">
        <v>0</v>
      </c>
      <c r="AP377" s="11">
        <v>0</v>
      </c>
      <c r="AQ377" s="11">
        <v>0</v>
      </c>
      <c r="AR377" s="11">
        <v>0</v>
      </c>
      <c r="AS377" t="s">
        <v>48</v>
      </c>
      <c r="AT377"/>
    </row>
    <row r="378" spans="1:49" hidden="1" x14ac:dyDescent="0.3">
      <c r="A378">
        <v>2024</v>
      </c>
      <c r="B378">
        <v>6</v>
      </c>
      <c r="C378">
        <v>1.10206002010303E+35</v>
      </c>
      <c r="D378" s="5">
        <v>70</v>
      </c>
      <c r="E378" s="8" t="s">
        <v>1470</v>
      </c>
      <c r="F378">
        <v>1.10206002010303E+35</v>
      </c>
      <c r="G378" t="s">
        <v>1908</v>
      </c>
      <c r="H378" s="8" t="s">
        <v>1471</v>
      </c>
      <c r="I378" t="s">
        <v>909</v>
      </c>
      <c r="J378" s="17">
        <v>0</v>
      </c>
      <c r="K378" s="11">
        <v>4205222353.3200002</v>
      </c>
      <c r="L378" s="11">
        <v>4205222353.3200002</v>
      </c>
      <c r="M378" s="11">
        <v>0</v>
      </c>
      <c r="N378" s="11">
        <v>4205222353.3200002</v>
      </c>
      <c r="O378" s="11">
        <v>0</v>
      </c>
      <c r="P378" s="11">
        <v>0</v>
      </c>
      <c r="Q378" s="11">
        <v>4205222353.3200002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2860757248</v>
      </c>
      <c r="Y378" s="11">
        <v>0</v>
      </c>
      <c r="Z378" s="12">
        <v>2860757248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2">
        <v>0</v>
      </c>
      <c r="AJ378" s="11">
        <v>0</v>
      </c>
      <c r="AK378" s="11">
        <v>2860757248</v>
      </c>
      <c r="AL378" s="11">
        <v>0</v>
      </c>
      <c r="AM378" s="11">
        <v>0</v>
      </c>
      <c r="AN378" s="11">
        <v>0</v>
      </c>
      <c r="AO378" s="11">
        <v>0</v>
      </c>
      <c r="AP378" s="11">
        <v>0</v>
      </c>
      <c r="AQ378" s="11">
        <v>0</v>
      </c>
      <c r="AR378" s="11">
        <v>0</v>
      </c>
      <c r="AS378" t="s">
        <v>918</v>
      </c>
      <c r="AT378" s="4" t="str">
        <f t="shared" ref="AT378:AT389" si="84">+H378</f>
        <v>Implementación del programa integral de bilingüismo Quindío bilingüe y competitivo en el departamen"</v>
      </c>
      <c r="AU378" t="str">
        <f t="shared" ref="AU378:AU389" si="85">+D378&amp;AT378&amp;J378</f>
        <v>70Implementación del programa integral de bilingüismo Quindío bilingüe y competitivo en el departamen"0</v>
      </c>
      <c r="AV378" t="str">
        <f>+_xlfn.XLOOKUP(AU378,CRUCE!L:L,CRUCE!M:M)</f>
        <v>READY</v>
      </c>
      <c r="AW378" t="s">
        <v>1907</v>
      </c>
    </row>
    <row r="379" spans="1:49" hidden="1" x14ac:dyDescent="0.3">
      <c r="A379">
        <v>2024</v>
      </c>
      <c r="B379">
        <v>6</v>
      </c>
      <c r="C379">
        <v>1.10206002010303E+35</v>
      </c>
      <c r="D379" s="5">
        <v>70</v>
      </c>
      <c r="E379" s="8" t="s">
        <v>1472</v>
      </c>
      <c r="F379">
        <v>1.10206002010303E+35</v>
      </c>
      <c r="G379" t="s">
        <v>1908</v>
      </c>
      <c r="H379" s="8" t="s">
        <v>1473</v>
      </c>
      <c r="I379" t="s">
        <v>909</v>
      </c>
      <c r="J379" s="17">
        <v>0</v>
      </c>
      <c r="K379" s="11">
        <v>87533753.769999996</v>
      </c>
      <c r="L379" s="11">
        <v>87533753.769999996</v>
      </c>
      <c r="M379" s="11">
        <v>0</v>
      </c>
      <c r="N379" s="11">
        <v>87533753.769999996</v>
      </c>
      <c r="O379" s="11">
        <v>0</v>
      </c>
      <c r="P379" s="11">
        <v>0</v>
      </c>
      <c r="Q379" s="11">
        <v>87533753.769999996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2">
        <v>0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0</v>
      </c>
      <c r="AG379" s="11">
        <v>0</v>
      </c>
      <c r="AH379" s="11">
        <v>0</v>
      </c>
      <c r="AI379" s="12">
        <v>0</v>
      </c>
      <c r="AJ379" s="11">
        <v>0</v>
      </c>
      <c r="AK379" s="11">
        <v>0</v>
      </c>
      <c r="AL379" s="11">
        <v>0</v>
      </c>
      <c r="AM379" s="11">
        <v>0</v>
      </c>
      <c r="AN379" s="11">
        <v>0</v>
      </c>
      <c r="AO379" s="11">
        <v>0</v>
      </c>
      <c r="AP379" s="11">
        <v>0</v>
      </c>
      <c r="AQ379" s="11">
        <v>0</v>
      </c>
      <c r="AR379" s="11">
        <v>0</v>
      </c>
      <c r="AS379" t="s">
        <v>918</v>
      </c>
      <c r="AT379" s="4" t="str">
        <f t="shared" si="84"/>
        <v>Construcción de pavimento en concreto asfaltico para el desarrollo regional y la conectividad en los</v>
      </c>
      <c r="AU379" t="str">
        <f t="shared" si="85"/>
        <v>70Construcción de pavimento en concreto asfaltico para el desarrollo regional y la conectividad en los0</v>
      </c>
      <c r="AV379" t="str">
        <f>+_xlfn.XLOOKUP(AU379,CRUCE!L:L,CRUCE!M:M)</f>
        <v>READY</v>
      </c>
      <c r="AW379" t="s">
        <v>1907</v>
      </c>
    </row>
    <row r="380" spans="1:49" hidden="1" x14ac:dyDescent="0.3">
      <c r="A380">
        <v>2024</v>
      </c>
      <c r="B380">
        <v>6</v>
      </c>
      <c r="C380">
        <v>1.10206002010303E+35</v>
      </c>
      <c r="D380" s="5">
        <v>70</v>
      </c>
      <c r="E380" s="8" t="s">
        <v>1474</v>
      </c>
      <c r="F380">
        <v>1.10206002010303E+35</v>
      </c>
      <c r="G380" t="s">
        <v>1908</v>
      </c>
      <c r="H380" s="8" t="s">
        <v>927</v>
      </c>
      <c r="I380" t="s">
        <v>909</v>
      </c>
      <c r="J380" s="17">
        <v>0</v>
      </c>
      <c r="K380" s="11">
        <v>1202955908.3299999</v>
      </c>
      <c r="L380" s="11">
        <v>1202955908.3299999</v>
      </c>
      <c r="M380" s="11">
        <v>0</v>
      </c>
      <c r="N380" s="11">
        <v>1202955908.3299999</v>
      </c>
      <c r="O380" s="11">
        <v>0</v>
      </c>
      <c r="P380" s="11">
        <v>0</v>
      </c>
      <c r="Q380" s="11">
        <v>1202955908.3299999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950198669.01999998</v>
      </c>
      <c r="Y380" s="11">
        <v>0</v>
      </c>
      <c r="Z380" s="12">
        <v>950198669.01999998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2">
        <v>0</v>
      </c>
      <c r="AJ380" s="11">
        <v>0</v>
      </c>
      <c r="AK380" s="11">
        <v>950198669.01999998</v>
      </c>
      <c r="AL380" s="11">
        <v>0</v>
      </c>
      <c r="AM380" s="11">
        <v>0</v>
      </c>
      <c r="AN380" s="11">
        <v>0</v>
      </c>
      <c r="AO380" s="11">
        <v>0</v>
      </c>
      <c r="AP380" s="11">
        <v>0</v>
      </c>
      <c r="AQ380" s="11">
        <v>0</v>
      </c>
      <c r="AR380" s="11">
        <v>0</v>
      </c>
      <c r="AS380" t="s">
        <v>918</v>
      </c>
      <c r="AT380" s="4" t="str">
        <f t="shared" si="84"/>
        <v xml:space="preserve">Remodelación, modernización y equipamiento de áreas resultantes del reforzamiento estructural y del </v>
      </c>
      <c r="AU380" t="str">
        <f t="shared" si="85"/>
        <v>70Remodelación, modernización y equipamiento de áreas resultantes del reforzamiento estructural y del 0</v>
      </c>
      <c r="AV380" t="str">
        <f>+_xlfn.XLOOKUP(AU380,CRUCE!L:L,CRUCE!M:M)</f>
        <v>READY</v>
      </c>
      <c r="AW380" t="s">
        <v>1907</v>
      </c>
    </row>
    <row r="381" spans="1:49" hidden="1" x14ac:dyDescent="0.3">
      <c r="A381">
        <v>2024</v>
      </c>
      <c r="B381">
        <v>6</v>
      </c>
      <c r="C381">
        <v>1.10206002010303E+35</v>
      </c>
      <c r="D381" s="5">
        <v>70</v>
      </c>
      <c r="E381" s="8" t="s">
        <v>1475</v>
      </c>
      <c r="F381">
        <v>1.10206002010303E+35</v>
      </c>
      <c r="G381" t="s">
        <v>1908</v>
      </c>
      <c r="H381" s="8" t="s">
        <v>1476</v>
      </c>
      <c r="I381" t="s">
        <v>909</v>
      </c>
      <c r="J381" s="17">
        <v>0</v>
      </c>
      <c r="K381" s="11">
        <v>78482636.319999993</v>
      </c>
      <c r="L381" s="11">
        <v>78482636.319999993</v>
      </c>
      <c r="M381" s="11">
        <v>0</v>
      </c>
      <c r="N381" s="11">
        <v>78482636.319999993</v>
      </c>
      <c r="O381" s="11">
        <v>0</v>
      </c>
      <c r="P381" s="11">
        <v>0</v>
      </c>
      <c r="Q381" s="11">
        <v>78482636.319999993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78456441.030000001</v>
      </c>
      <c r="Y381" s="11">
        <v>0</v>
      </c>
      <c r="Z381" s="12">
        <v>78456441.030000001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2">
        <v>0</v>
      </c>
      <c r="AJ381" s="11">
        <v>0</v>
      </c>
      <c r="AK381" s="11">
        <v>78456441.030000001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t="s">
        <v>918</v>
      </c>
      <c r="AT381" s="4" t="str">
        <f t="shared" si="84"/>
        <v>Remodelación Y optimización DE escenarios deportivos, obras DE urbanismo complementarias y movilidad</v>
      </c>
      <c r="AU381" t="str">
        <f t="shared" si="85"/>
        <v>70Remodelación Y optimización DE escenarios deportivos, obras DE urbanismo complementarias y movilidad0</v>
      </c>
      <c r="AV381" t="str">
        <f>+_xlfn.XLOOKUP(AU381,CRUCE!L:L,CRUCE!M:M)</f>
        <v>READY</v>
      </c>
      <c r="AW381" t="s">
        <v>1907</v>
      </c>
    </row>
    <row r="382" spans="1:49" hidden="1" x14ac:dyDescent="0.3">
      <c r="A382">
        <v>2024</v>
      </c>
      <c r="B382">
        <v>6</v>
      </c>
      <c r="C382">
        <v>1.10206002010303E+35</v>
      </c>
      <c r="D382" s="5">
        <v>70</v>
      </c>
      <c r="E382" s="8" t="s">
        <v>1477</v>
      </c>
      <c r="F382">
        <v>1.10206002010303E+35</v>
      </c>
      <c r="G382" t="s">
        <v>1908</v>
      </c>
      <c r="H382" s="8" t="s">
        <v>1478</v>
      </c>
      <c r="I382" t="s">
        <v>909</v>
      </c>
      <c r="J382" s="17">
        <v>0</v>
      </c>
      <c r="K382" s="11">
        <v>5437701350.6999998</v>
      </c>
      <c r="L382" s="11">
        <v>5437701350.6999998</v>
      </c>
      <c r="M382" s="11">
        <v>0</v>
      </c>
      <c r="N382" s="11">
        <v>5437701350.6999998</v>
      </c>
      <c r="O382" s="11">
        <v>0</v>
      </c>
      <c r="P382" s="11">
        <v>0</v>
      </c>
      <c r="Q382" s="11">
        <v>5437701350.6999998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590023688</v>
      </c>
      <c r="Y382" s="11">
        <v>0</v>
      </c>
      <c r="Z382" s="12">
        <v>590023688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2">
        <v>0</v>
      </c>
      <c r="AJ382" s="11">
        <v>0</v>
      </c>
      <c r="AK382" s="11">
        <v>590023688</v>
      </c>
      <c r="AL382" s="11">
        <v>0</v>
      </c>
      <c r="AM382" s="11">
        <v>0</v>
      </c>
      <c r="AN382" s="11">
        <v>0</v>
      </c>
      <c r="AO382" s="11">
        <v>0</v>
      </c>
      <c r="AP382" s="11">
        <v>0</v>
      </c>
      <c r="AQ382" s="11">
        <v>0</v>
      </c>
      <c r="AR382" s="11">
        <v>0</v>
      </c>
      <c r="AS382" t="s">
        <v>918</v>
      </c>
      <c r="AT382" s="4" t="str">
        <f t="shared" si="84"/>
        <v>Generación DE INSTRUMENTOS DE VALORACIÓN DE LA AMENAZA SÍSMICA PARA EL DESARROLLO DE PROCESOS DE RED</v>
      </c>
      <c r="AU382" t="str">
        <f t="shared" si="85"/>
        <v>70Generación DE INSTRUMENTOS DE VALORACIÓN DE LA AMENAZA SÍSMICA PARA EL DESARROLLO DE PROCESOS DE RED0</v>
      </c>
      <c r="AV382" t="str">
        <f>+_xlfn.XLOOKUP(AU382,CRUCE!L:L,CRUCE!M:M)</f>
        <v>READY</v>
      </c>
      <c r="AW382" t="s">
        <v>1907</v>
      </c>
    </row>
    <row r="383" spans="1:49" hidden="1" x14ac:dyDescent="0.3">
      <c r="A383">
        <v>2024</v>
      </c>
      <c r="B383">
        <v>6</v>
      </c>
      <c r="C383">
        <v>1.10206002010303E+35</v>
      </c>
      <c r="D383" s="5">
        <v>70</v>
      </c>
      <c r="E383" s="8" t="s">
        <v>1479</v>
      </c>
      <c r="F383">
        <v>1.10206002010303E+35</v>
      </c>
      <c r="G383" t="s">
        <v>1908</v>
      </c>
      <c r="H383" s="8" t="s">
        <v>1480</v>
      </c>
      <c r="I383" t="s">
        <v>909</v>
      </c>
      <c r="J383" s="17">
        <v>0</v>
      </c>
      <c r="K383" s="11">
        <v>13569353481</v>
      </c>
      <c r="L383" s="11">
        <v>13569353481</v>
      </c>
      <c r="M383" s="11">
        <v>0</v>
      </c>
      <c r="N383" s="11">
        <v>13569353481</v>
      </c>
      <c r="O383" s="11">
        <v>0</v>
      </c>
      <c r="P383" s="11">
        <v>0</v>
      </c>
      <c r="Q383" s="11">
        <v>13569353481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7080731234</v>
      </c>
      <c r="Y383" s="11">
        <v>0</v>
      </c>
      <c r="Z383" s="12">
        <v>7080731234</v>
      </c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0</v>
      </c>
      <c r="AI383" s="12">
        <v>0</v>
      </c>
      <c r="AJ383" s="11">
        <v>0</v>
      </c>
      <c r="AK383" s="11">
        <v>7080731234</v>
      </c>
      <c r="AL383" s="11">
        <v>0</v>
      </c>
      <c r="AM383" s="11">
        <v>0</v>
      </c>
      <c r="AN383" s="11">
        <v>0</v>
      </c>
      <c r="AO383" s="11">
        <v>0</v>
      </c>
      <c r="AP383" s="11">
        <v>0</v>
      </c>
      <c r="AQ383" s="11">
        <v>0</v>
      </c>
      <c r="AR383" s="11">
        <v>0</v>
      </c>
      <c r="AS383" t="s">
        <v>918</v>
      </c>
      <c r="AT383" s="4" t="str">
        <f t="shared" si="84"/>
        <v>Implementación de acciones de adaptación etapa i del plan de gestión integral del cambio climático (</v>
      </c>
      <c r="AU383" t="str">
        <f t="shared" si="85"/>
        <v>70Implementación de acciones de adaptación etapa i del plan de gestión integral del cambio climático (0</v>
      </c>
      <c r="AV383" t="str">
        <f>+_xlfn.XLOOKUP(AU383,CRUCE!L:L,CRUCE!M:M)</f>
        <v>READY</v>
      </c>
      <c r="AW383" t="s">
        <v>1907</v>
      </c>
    </row>
    <row r="384" spans="1:49" hidden="1" x14ac:dyDescent="0.3">
      <c r="A384">
        <v>2024</v>
      </c>
      <c r="B384">
        <v>6</v>
      </c>
      <c r="C384">
        <v>1.10206002010303E+35</v>
      </c>
      <c r="D384" s="5">
        <v>70</v>
      </c>
      <c r="E384" s="8" t="s">
        <v>1481</v>
      </c>
      <c r="F384">
        <v>1.10206002010303E+35</v>
      </c>
      <c r="G384" t="s">
        <v>1908</v>
      </c>
      <c r="H384" s="8" t="s">
        <v>1482</v>
      </c>
      <c r="I384" t="s">
        <v>909</v>
      </c>
      <c r="J384" s="17">
        <v>0</v>
      </c>
      <c r="K384" s="11">
        <v>8021290382.5299997</v>
      </c>
      <c r="L384" s="11">
        <v>8021290382.5299997</v>
      </c>
      <c r="M384" s="11">
        <v>0</v>
      </c>
      <c r="N384" s="11">
        <v>8021290382.5299997</v>
      </c>
      <c r="O384" s="11">
        <v>0</v>
      </c>
      <c r="P384" s="11">
        <v>0</v>
      </c>
      <c r="Q384" s="11">
        <v>8021290382.5299997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7560254069.0100002</v>
      </c>
      <c r="Y384" s="11">
        <v>0</v>
      </c>
      <c r="Z384" s="12">
        <v>7560254069.0100002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2">
        <v>0</v>
      </c>
      <c r="AJ384" s="11">
        <v>0</v>
      </c>
      <c r="AK384" s="11">
        <v>7560254069.0100002</v>
      </c>
      <c r="AL384" s="11">
        <v>0</v>
      </c>
      <c r="AM384" s="11">
        <v>0</v>
      </c>
      <c r="AN384" s="11">
        <v>0</v>
      </c>
      <c r="AO384" s="11">
        <v>0</v>
      </c>
      <c r="AP384" s="11">
        <v>0</v>
      </c>
      <c r="AQ384" s="11">
        <v>0</v>
      </c>
      <c r="AR384" s="11">
        <v>0</v>
      </c>
      <c r="AS384" t="s">
        <v>918</v>
      </c>
      <c r="AT384" s="4" t="str">
        <f t="shared" si="84"/>
        <v>Mejoramiento DE LA VÍA circasia - Montenegro CON CÓDIGO 29bqn03, EN LOS MUNICIPIOS DE circasia Y Mon</v>
      </c>
      <c r="AU384" t="str">
        <f t="shared" si="85"/>
        <v>70Mejoramiento DE LA VÍA circasia - Montenegro CON CÓDIGO 29bqn03, EN LOS MUNICIPIOS DE circasia Y Mon0</v>
      </c>
      <c r="AV384" t="str">
        <f>+_xlfn.XLOOKUP(AU384,CRUCE!L:L,CRUCE!M:M)</f>
        <v>READY</v>
      </c>
      <c r="AW384" t="s">
        <v>1907</v>
      </c>
    </row>
    <row r="385" spans="1:49" hidden="1" x14ac:dyDescent="0.3">
      <c r="A385">
        <v>2024</v>
      </c>
      <c r="B385">
        <v>6</v>
      </c>
      <c r="C385">
        <v>1.10206002010303E+35</v>
      </c>
      <c r="D385" s="5">
        <v>70</v>
      </c>
      <c r="E385" s="8" t="s">
        <v>1483</v>
      </c>
      <c r="F385">
        <v>1.10206002010303E+35</v>
      </c>
      <c r="G385" t="s">
        <v>1908</v>
      </c>
      <c r="H385" s="8" t="s">
        <v>1484</v>
      </c>
      <c r="I385" t="s">
        <v>909</v>
      </c>
      <c r="J385" s="17">
        <v>0</v>
      </c>
      <c r="K385" s="11">
        <v>6900730032.8900003</v>
      </c>
      <c r="L385" s="11">
        <v>6900730032.8900003</v>
      </c>
      <c r="M385" s="11">
        <v>0</v>
      </c>
      <c r="N385" s="11">
        <v>6900730032.8900003</v>
      </c>
      <c r="O385" s="11">
        <v>0</v>
      </c>
      <c r="P385" s="11">
        <v>0</v>
      </c>
      <c r="Q385" s="11">
        <v>6900730032.8900003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1114055102</v>
      </c>
      <c r="Y385" s="11">
        <v>0</v>
      </c>
      <c r="Z385" s="12">
        <v>1114055102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2">
        <v>0</v>
      </c>
      <c r="AJ385" s="11">
        <v>0</v>
      </c>
      <c r="AK385" s="11">
        <v>1114055102</v>
      </c>
      <c r="AL385" s="11">
        <v>0</v>
      </c>
      <c r="AM385" s="11">
        <v>0</v>
      </c>
      <c r="AN385" s="11">
        <v>0</v>
      </c>
      <c r="AO385" s="11">
        <v>0</v>
      </c>
      <c r="AP385" s="11">
        <v>0</v>
      </c>
      <c r="AQ385" s="11">
        <v>0</v>
      </c>
      <c r="AR385" s="11">
        <v>0</v>
      </c>
      <c r="AS385" t="s">
        <v>918</v>
      </c>
      <c r="AT385" s="4" t="str">
        <f t="shared" si="84"/>
        <v xml:space="preserve">Desarrollo DE instrumentos Y herramientas PARA LA PLANEACIÓN Y GESTIÓN DEL ORDENAMIENTO TERRITORIAL </v>
      </c>
      <c r="AU385" t="str">
        <f t="shared" si="85"/>
        <v>70Desarrollo DE instrumentos Y herramientas PARA LA PLANEACIÓN Y GESTIÓN DEL ORDENAMIENTO TERRITORIAL 0</v>
      </c>
      <c r="AV385" t="str">
        <f>+_xlfn.XLOOKUP(AU385,CRUCE!L:L,CRUCE!M:M)</f>
        <v>READY</v>
      </c>
      <c r="AW385" t="s">
        <v>1907</v>
      </c>
    </row>
    <row r="386" spans="1:49" hidden="1" x14ac:dyDescent="0.3">
      <c r="A386">
        <v>2024</v>
      </c>
      <c r="B386">
        <v>6</v>
      </c>
      <c r="C386">
        <v>1.10206002010303E+35</v>
      </c>
      <c r="D386" s="5">
        <v>70</v>
      </c>
      <c r="E386" s="8" t="s">
        <v>1485</v>
      </c>
      <c r="F386">
        <v>1.10206002010303E+35</v>
      </c>
      <c r="G386" t="s">
        <v>1908</v>
      </c>
      <c r="H386" s="8" t="s">
        <v>1486</v>
      </c>
      <c r="I386" t="s">
        <v>909</v>
      </c>
      <c r="J386" s="17">
        <v>0</v>
      </c>
      <c r="K386" s="11">
        <v>3121938369</v>
      </c>
      <c r="L386" s="11">
        <v>3121938369</v>
      </c>
      <c r="M386" s="11">
        <v>0</v>
      </c>
      <c r="N386" s="11">
        <v>3121938369</v>
      </c>
      <c r="O386" s="11">
        <v>0</v>
      </c>
      <c r="P386" s="11">
        <v>0</v>
      </c>
      <c r="Q386" s="11">
        <v>3121938369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771174080</v>
      </c>
      <c r="Y386" s="11">
        <v>0</v>
      </c>
      <c r="Z386" s="12">
        <v>771174080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2">
        <v>0</v>
      </c>
      <c r="AJ386" s="11">
        <v>0</v>
      </c>
      <c r="AK386" s="11">
        <v>771174080</v>
      </c>
      <c r="AL386" s="11">
        <v>0</v>
      </c>
      <c r="AM386" s="11">
        <v>0</v>
      </c>
      <c r="AN386" s="11">
        <v>0</v>
      </c>
      <c r="AO386" s="11">
        <v>0</v>
      </c>
      <c r="AP386" s="11">
        <v>0</v>
      </c>
      <c r="AQ386" s="11">
        <v>0</v>
      </c>
      <c r="AR386" s="11">
        <v>0</v>
      </c>
      <c r="AS386" t="s">
        <v>918</v>
      </c>
      <c r="AT386" s="4" t="str">
        <f t="shared" si="84"/>
        <v>Implementación DE UN PROGRAMA DE EDUCACIÓN SUPERIOR PARA LA PROFESIONALIZACIÓN DE LOS ARTISTAS, COMO</v>
      </c>
      <c r="AU386" t="str">
        <f t="shared" si="85"/>
        <v>70Implementación DE UN PROGRAMA DE EDUCACIÓN SUPERIOR PARA LA PROFESIONALIZACIÓN DE LOS ARTISTAS, COMO0</v>
      </c>
      <c r="AV386" t="str">
        <f>+_xlfn.XLOOKUP(AU386,CRUCE!L:L,CRUCE!M:M)</f>
        <v>READY</v>
      </c>
      <c r="AW386" t="s">
        <v>1907</v>
      </c>
    </row>
    <row r="387" spans="1:49" hidden="1" x14ac:dyDescent="0.3">
      <c r="A387">
        <v>2024</v>
      </c>
      <c r="B387">
        <v>6</v>
      </c>
      <c r="C387">
        <v>1.10206002010303E+35</v>
      </c>
      <c r="D387" s="5">
        <v>70</v>
      </c>
      <c r="E387" s="8" t="s">
        <v>1487</v>
      </c>
      <c r="F387">
        <v>1.10206002010303E+35</v>
      </c>
      <c r="G387" t="s">
        <v>1908</v>
      </c>
      <c r="H387" s="8" t="s">
        <v>1488</v>
      </c>
      <c r="I387" t="s">
        <v>909</v>
      </c>
      <c r="J387" s="17">
        <v>0</v>
      </c>
      <c r="K387" s="11">
        <v>736376434</v>
      </c>
      <c r="L387" s="11">
        <v>736376434</v>
      </c>
      <c r="M387" s="11">
        <v>0</v>
      </c>
      <c r="N387" s="11">
        <v>736376434</v>
      </c>
      <c r="O387" s="11">
        <v>0</v>
      </c>
      <c r="P387" s="11">
        <v>0</v>
      </c>
      <c r="Q387" s="11">
        <v>736376434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734147338</v>
      </c>
      <c r="Y387" s="11">
        <v>0</v>
      </c>
      <c r="Z387" s="12">
        <v>734147338</v>
      </c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11">
        <v>0</v>
      </c>
      <c r="AG387" s="11">
        <v>0</v>
      </c>
      <c r="AH387" s="11">
        <v>0</v>
      </c>
      <c r="AI387" s="12">
        <v>0</v>
      </c>
      <c r="AJ387" s="11">
        <v>0</v>
      </c>
      <c r="AK387" s="11">
        <v>734147338</v>
      </c>
      <c r="AL387" s="11">
        <v>0</v>
      </c>
      <c r="AM387" s="11">
        <v>0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t="s">
        <v>918</v>
      </c>
      <c r="AT387" s="4" t="str">
        <f t="shared" si="84"/>
        <v>Fortalecimiento del ecosistema de emprendimiento mediante el acompañamiento técnico y servicio de ap</v>
      </c>
      <c r="AU387" t="str">
        <f t="shared" si="85"/>
        <v>70Fortalecimiento del ecosistema de emprendimiento mediante el acompañamiento técnico y servicio de ap0</v>
      </c>
      <c r="AV387" t="str">
        <f>+_xlfn.XLOOKUP(AU387,CRUCE!L:L,CRUCE!M:M)</f>
        <v>READY</v>
      </c>
      <c r="AW387" t="s">
        <v>1907</v>
      </c>
    </row>
    <row r="388" spans="1:49" hidden="1" x14ac:dyDescent="0.3">
      <c r="A388">
        <v>2024</v>
      </c>
      <c r="B388">
        <v>6</v>
      </c>
      <c r="C388">
        <v>1.10206002010303E+35</v>
      </c>
      <c r="D388" s="5">
        <v>70</v>
      </c>
      <c r="E388" s="8" t="s">
        <v>1489</v>
      </c>
      <c r="F388">
        <v>1.10206002010303E+35</v>
      </c>
      <c r="G388" t="s">
        <v>1908</v>
      </c>
      <c r="H388" s="8" t="s">
        <v>1490</v>
      </c>
      <c r="I388" t="s">
        <v>909</v>
      </c>
      <c r="J388" s="17">
        <v>0</v>
      </c>
      <c r="K388" s="11">
        <v>14236983783</v>
      </c>
      <c r="L388" s="11">
        <v>14236983783</v>
      </c>
      <c r="M388" s="11">
        <v>0</v>
      </c>
      <c r="N388" s="11">
        <v>14236983783</v>
      </c>
      <c r="O388" s="11">
        <v>0</v>
      </c>
      <c r="P388" s="11">
        <v>0</v>
      </c>
      <c r="Q388" s="11">
        <v>14236983783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82500000</v>
      </c>
      <c r="Y388" s="11">
        <v>0</v>
      </c>
      <c r="Z388" s="12">
        <v>82500000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2">
        <v>0</v>
      </c>
      <c r="AJ388" s="11">
        <v>0</v>
      </c>
      <c r="AK388" s="11">
        <v>82500000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t="s">
        <v>918</v>
      </c>
      <c r="AT388" s="4" t="str">
        <f t="shared" si="84"/>
        <v>MODERNIZACION DEL LABORATORIO DE SALUD PUBLICA DEPARTAMENTAL QUINDIO</v>
      </c>
      <c r="AU388" t="str">
        <f t="shared" si="85"/>
        <v>70MODERNIZACION DEL LABORATORIO DE SALUD PUBLICA DEPARTAMENTAL QUINDIO0</v>
      </c>
      <c r="AV388" t="str">
        <f>+_xlfn.XLOOKUP(AU388,CRUCE!L:L,CRUCE!M:M)</f>
        <v>READY</v>
      </c>
      <c r="AW388" t="s">
        <v>1907</v>
      </c>
    </row>
    <row r="389" spans="1:49" hidden="1" x14ac:dyDescent="0.3">
      <c r="A389">
        <v>2024</v>
      </c>
      <c r="B389">
        <v>6</v>
      </c>
      <c r="C389">
        <v>1.10206002010303E+35</v>
      </c>
      <c r="D389" s="5">
        <v>70</v>
      </c>
      <c r="E389" s="8" t="s">
        <v>1491</v>
      </c>
      <c r="F389">
        <v>1.10206002010303E+35</v>
      </c>
      <c r="G389" t="s">
        <v>1908</v>
      </c>
      <c r="H389" s="8" t="s">
        <v>1492</v>
      </c>
      <c r="I389" t="s">
        <v>909</v>
      </c>
      <c r="J389" s="17">
        <v>0</v>
      </c>
      <c r="K389" s="11">
        <v>20503086639.830002</v>
      </c>
      <c r="L389" s="11">
        <v>20503086639.830002</v>
      </c>
      <c r="M389" s="11">
        <v>0</v>
      </c>
      <c r="N389" s="11">
        <v>20503086639.830002</v>
      </c>
      <c r="O389" s="11">
        <v>0</v>
      </c>
      <c r="P389" s="11">
        <v>0</v>
      </c>
      <c r="Q389" s="11">
        <v>20503086639.830002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3300139040</v>
      </c>
      <c r="Y389" s="11">
        <v>0</v>
      </c>
      <c r="Z389" s="12">
        <v>3300139040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2">
        <v>0</v>
      </c>
      <c r="AJ389" s="11">
        <v>0</v>
      </c>
      <c r="AK389" s="11">
        <v>3300139040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t="s">
        <v>918</v>
      </c>
      <c r="AT389" s="4" t="str">
        <f t="shared" si="84"/>
        <v>Construcción obras DE ESTABILIZACIÓN Y REHABILITACIÓN DE LA VÍA rio verde-pijao (COD.40QN03), ESTABI</v>
      </c>
      <c r="AU389" t="str">
        <f t="shared" si="85"/>
        <v>70Construcción obras DE ESTABILIZACIÓN Y REHABILITACIÓN DE LA VÍA rio verde-pijao (COD.40QN03), ESTABI0</v>
      </c>
      <c r="AV389" t="str">
        <f>+_xlfn.XLOOKUP(AU389,CRUCE!L:L,CRUCE!M:M)</f>
        <v>READY</v>
      </c>
      <c r="AW389" t="s">
        <v>1907</v>
      </c>
    </row>
    <row r="390" spans="1:49" hidden="1" x14ac:dyDescent="0.3">
      <c r="A390">
        <v>2024</v>
      </c>
      <c r="B390">
        <v>6</v>
      </c>
      <c r="C390">
        <v>110206002010306</v>
      </c>
      <c r="D390" s="5" t="s">
        <v>44</v>
      </c>
      <c r="E390" s="8" t="s">
        <v>1493</v>
      </c>
      <c r="F390">
        <v>110206002010306</v>
      </c>
      <c r="H390" s="8" t="s">
        <v>1494</v>
      </c>
      <c r="I390" t="s">
        <v>909</v>
      </c>
      <c r="J390" s="17">
        <v>0</v>
      </c>
      <c r="K390" s="11">
        <v>1094771575</v>
      </c>
      <c r="L390" s="11">
        <v>1094771575</v>
      </c>
      <c r="M390" s="11">
        <v>0</v>
      </c>
      <c r="N390" s="11">
        <v>1094771575</v>
      </c>
      <c r="O390" s="11">
        <v>0</v>
      </c>
      <c r="P390" s="11">
        <v>0</v>
      </c>
      <c r="Q390" s="11">
        <v>1094771575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550475750.89999998</v>
      </c>
      <c r="Y390" s="11">
        <v>0</v>
      </c>
      <c r="Z390" s="12">
        <v>550475750.89999998</v>
      </c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2">
        <v>0</v>
      </c>
      <c r="AJ390" s="11">
        <v>0</v>
      </c>
      <c r="AK390" s="11">
        <v>550475750.89999998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t="s">
        <v>48</v>
      </c>
      <c r="AT390"/>
    </row>
    <row r="391" spans="1:49" hidden="1" x14ac:dyDescent="0.3">
      <c r="A391">
        <v>2024</v>
      </c>
      <c r="B391">
        <v>6</v>
      </c>
      <c r="C391">
        <v>1.10206002010306E+17</v>
      </c>
      <c r="D391" s="5" t="s">
        <v>44</v>
      </c>
      <c r="E391" s="8" t="s">
        <v>1495</v>
      </c>
      <c r="F391">
        <v>1.10206002010306E+17</v>
      </c>
      <c r="H391" s="8" t="s">
        <v>1496</v>
      </c>
      <c r="I391" t="s">
        <v>909</v>
      </c>
      <c r="J391" s="17">
        <v>0</v>
      </c>
      <c r="K391" s="11">
        <v>1094771575</v>
      </c>
      <c r="L391" s="11">
        <v>1094771575</v>
      </c>
      <c r="M391" s="11">
        <v>0</v>
      </c>
      <c r="N391" s="11">
        <v>1094771575</v>
      </c>
      <c r="O391" s="11">
        <v>0</v>
      </c>
      <c r="P391" s="11">
        <v>0</v>
      </c>
      <c r="Q391" s="11">
        <v>1094771575</v>
      </c>
      <c r="R391" s="11">
        <v>0</v>
      </c>
      <c r="S391" s="11">
        <v>0</v>
      </c>
      <c r="T391" s="11">
        <v>0</v>
      </c>
      <c r="U391" s="11">
        <v>0</v>
      </c>
      <c r="V391" s="11">
        <v>0</v>
      </c>
      <c r="W391" s="11">
        <v>0</v>
      </c>
      <c r="X391" s="11">
        <v>550475750.89999998</v>
      </c>
      <c r="Y391" s="11">
        <v>0</v>
      </c>
      <c r="Z391" s="12">
        <v>550475750.89999998</v>
      </c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2">
        <v>0</v>
      </c>
      <c r="AJ391" s="11">
        <v>0</v>
      </c>
      <c r="AK391" s="11">
        <v>550475750.89999998</v>
      </c>
      <c r="AL391" s="11">
        <v>0</v>
      </c>
      <c r="AM391" s="11">
        <v>0</v>
      </c>
      <c r="AN391" s="11">
        <v>0</v>
      </c>
      <c r="AO391" s="11">
        <v>0</v>
      </c>
      <c r="AP391" s="11">
        <v>0</v>
      </c>
      <c r="AQ391" s="11">
        <v>0</v>
      </c>
      <c r="AR391" s="11">
        <v>0</v>
      </c>
      <c r="AS391" t="s">
        <v>48</v>
      </c>
      <c r="AT391"/>
    </row>
    <row r="392" spans="1:49" hidden="1" x14ac:dyDescent="0.3">
      <c r="A392">
        <v>2024</v>
      </c>
      <c r="B392">
        <v>6</v>
      </c>
      <c r="C392">
        <v>1.10206002010306E+20</v>
      </c>
      <c r="D392" s="5" t="s">
        <v>44</v>
      </c>
      <c r="E392" s="8" t="s">
        <v>1497</v>
      </c>
      <c r="F392">
        <v>1.10206002010306E+20</v>
      </c>
      <c r="H392" s="8" t="s">
        <v>1496</v>
      </c>
      <c r="I392" t="s">
        <v>909</v>
      </c>
      <c r="J392" s="17">
        <v>0</v>
      </c>
      <c r="K392" s="11">
        <v>1094771575</v>
      </c>
      <c r="L392" s="11">
        <v>1094771575</v>
      </c>
      <c r="M392" s="11">
        <v>0</v>
      </c>
      <c r="N392" s="11">
        <v>1094771575</v>
      </c>
      <c r="O392" s="11">
        <v>0</v>
      </c>
      <c r="P392" s="11">
        <v>0</v>
      </c>
      <c r="Q392" s="11">
        <v>1094771575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550475750.89999998</v>
      </c>
      <c r="Y392" s="11">
        <v>0</v>
      </c>
      <c r="Z392" s="12">
        <v>550475750.89999998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2">
        <v>0</v>
      </c>
      <c r="AJ392" s="11">
        <v>0</v>
      </c>
      <c r="AK392" s="11">
        <v>550475750.89999998</v>
      </c>
      <c r="AL392" s="11">
        <v>0</v>
      </c>
      <c r="AM392" s="11">
        <v>0</v>
      </c>
      <c r="AN392" s="11">
        <v>0</v>
      </c>
      <c r="AO392" s="11">
        <v>0</v>
      </c>
      <c r="AP392" s="11">
        <v>0</v>
      </c>
      <c r="AQ392" s="11">
        <v>0</v>
      </c>
      <c r="AR392" s="11">
        <v>0</v>
      </c>
      <c r="AS392" t="s">
        <v>48</v>
      </c>
      <c r="AT392"/>
    </row>
    <row r="393" spans="1:49" hidden="1" x14ac:dyDescent="0.3">
      <c r="A393">
        <v>2024</v>
      </c>
      <c r="B393">
        <v>6</v>
      </c>
      <c r="C393">
        <v>1.1020600201030601E+35</v>
      </c>
      <c r="D393" s="5">
        <v>70</v>
      </c>
      <c r="E393" s="8" t="s">
        <v>1498</v>
      </c>
      <c r="F393">
        <v>1.1020600201030601E+35</v>
      </c>
      <c r="G393" t="s">
        <v>1908</v>
      </c>
      <c r="H393" s="8" t="s">
        <v>1499</v>
      </c>
      <c r="I393" t="s">
        <v>909</v>
      </c>
      <c r="J393" s="17">
        <v>0</v>
      </c>
      <c r="K393" s="11">
        <v>916743849</v>
      </c>
      <c r="L393" s="11">
        <v>916743849</v>
      </c>
      <c r="M393" s="11">
        <v>0</v>
      </c>
      <c r="N393" s="11">
        <v>916743849</v>
      </c>
      <c r="O393" s="11">
        <v>0</v>
      </c>
      <c r="P393" s="11">
        <v>0</v>
      </c>
      <c r="Q393" s="11">
        <v>916743849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420804176</v>
      </c>
      <c r="Y393" s="11">
        <v>0</v>
      </c>
      <c r="Z393" s="12">
        <v>420804176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2">
        <v>0</v>
      </c>
      <c r="AJ393" s="11">
        <v>0</v>
      </c>
      <c r="AK393" s="11">
        <v>420804176</v>
      </c>
      <c r="AL393" s="11">
        <v>0</v>
      </c>
      <c r="AM393" s="11">
        <v>0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  <c r="AS393" t="s">
        <v>918</v>
      </c>
      <c r="AT393" s="4" t="str">
        <f t="shared" ref="AT393:AT395" si="86">+H393</f>
        <v>Implementación de un programa de innovación social para el fomento de una cultura ciudadana y empren</v>
      </c>
      <c r="AU393" t="str">
        <f t="shared" ref="AU393:AU395" si="87">+D393&amp;AT393&amp;J393</f>
        <v>70Implementación de un programa de innovación social para el fomento de una cultura ciudadana y empren0</v>
      </c>
      <c r="AV393" t="str">
        <f>+_xlfn.XLOOKUP(AU393,CRUCE!L:L,CRUCE!M:M)</f>
        <v>READY</v>
      </c>
      <c r="AW393" t="s">
        <v>1907</v>
      </c>
    </row>
    <row r="394" spans="1:49" hidden="1" x14ac:dyDescent="0.3">
      <c r="A394">
        <v>2024</v>
      </c>
      <c r="B394">
        <v>6</v>
      </c>
      <c r="C394">
        <v>1.1020600201030601E+35</v>
      </c>
      <c r="D394" s="5">
        <v>70</v>
      </c>
      <c r="E394" s="8" t="s">
        <v>1500</v>
      </c>
      <c r="F394">
        <v>1.1020600201030601E+35</v>
      </c>
      <c r="G394" t="s">
        <v>1908</v>
      </c>
      <c r="H394" s="8" t="s">
        <v>1501</v>
      </c>
      <c r="I394" t="s">
        <v>909</v>
      </c>
      <c r="J394" s="17">
        <v>0</v>
      </c>
      <c r="K394" s="11">
        <v>162072969</v>
      </c>
      <c r="L394" s="11">
        <v>162072969</v>
      </c>
      <c r="M394" s="11">
        <v>0</v>
      </c>
      <c r="N394" s="11">
        <v>162072969</v>
      </c>
      <c r="O394" s="11">
        <v>0</v>
      </c>
      <c r="P394" s="11">
        <v>0</v>
      </c>
      <c r="Q394" s="11">
        <v>162072969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129671574.90000001</v>
      </c>
      <c r="Y394" s="11">
        <v>0</v>
      </c>
      <c r="Z394" s="12">
        <v>129671574.90000001</v>
      </c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2">
        <v>0</v>
      </c>
      <c r="AJ394" s="11">
        <v>0</v>
      </c>
      <c r="AK394" s="11">
        <v>129671574.90000001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t="s">
        <v>918</v>
      </c>
      <c r="AT394" s="4" t="str">
        <f t="shared" si="86"/>
        <v>Desarrollo experimental para la competitividad del sector cafetero DEL departamento DEL Quindío.</v>
      </c>
      <c r="AU394" t="str">
        <f t="shared" si="87"/>
        <v>70Desarrollo experimental para la competitividad del sector cafetero DEL departamento DEL Quindío.0</v>
      </c>
      <c r="AV394" t="str">
        <f>+_xlfn.XLOOKUP(AU394,CRUCE!L:L,CRUCE!M:M)</f>
        <v>READY</v>
      </c>
      <c r="AW394" t="s">
        <v>1907</v>
      </c>
    </row>
    <row r="395" spans="1:49" hidden="1" x14ac:dyDescent="0.3">
      <c r="A395">
        <v>2024</v>
      </c>
      <c r="B395">
        <v>6</v>
      </c>
      <c r="C395">
        <v>1.1020600201030601E+35</v>
      </c>
      <c r="D395" s="5">
        <v>70</v>
      </c>
      <c r="E395" s="8" t="s">
        <v>1502</v>
      </c>
      <c r="F395">
        <v>1.1020600201030601E+35</v>
      </c>
      <c r="G395" t="s">
        <v>1908</v>
      </c>
      <c r="H395" s="8" t="s">
        <v>1503</v>
      </c>
      <c r="I395" t="s">
        <v>909</v>
      </c>
      <c r="J395" s="17">
        <v>0</v>
      </c>
      <c r="K395" s="11">
        <v>15954757</v>
      </c>
      <c r="L395" s="11">
        <v>15954757</v>
      </c>
      <c r="M395" s="11">
        <v>0</v>
      </c>
      <c r="N395" s="11">
        <v>15954757</v>
      </c>
      <c r="O395" s="11">
        <v>0</v>
      </c>
      <c r="P395" s="11">
        <v>0</v>
      </c>
      <c r="Q395" s="11">
        <v>15954757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2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2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t="s">
        <v>918</v>
      </c>
      <c r="AT395" s="4" t="str">
        <f t="shared" si="86"/>
        <v>Fortalecimiento de un centro de innovación y productividad agrario adecuando una infraestructura tec</v>
      </c>
      <c r="AU395" t="str">
        <f t="shared" si="87"/>
        <v>70Fortalecimiento de un centro de innovación y productividad agrario adecuando una infraestructura tec0</v>
      </c>
      <c r="AV395" t="str">
        <f>+_xlfn.XLOOKUP(AU395,CRUCE!L:L,CRUCE!M:M)</f>
        <v>READY</v>
      </c>
      <c r="AW395" t="s">
        <v>1907</v>
      </c>
    </row>
    <row r="396" spans="1:49" hidden="1" x14ac:dyDescent="0.3">
      <c r="A396">
        <v>2024</v>
      </c>
      <c r="B396">
        <v>6</v>
      </c>
      <c r="C396">
        <v>12</v>
      </c>
      <c r="D396" s="5" t="s">
        <v>44</v>
      </c>
      <c r="E396" s="8" t="s">
        <v>1504</v>
      </c>
      <c r="F396">
        <v>12</v>
      </c>
      <c r="H396" s="8" t="s">
        <v>367</v>
      </c>
      <c r="I396" t="s">
        <v>909</v>
      </c>
      <c r="J396" s="17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1714344.62</v>
      </c>
      <c r="Y396" s="11">
        <v>227527.99</v>
      </c>
      <c r="Z396" s="12">
        <v>1486816.63</v>
      </c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11">
        <v>0</v>
      </c>
      <c r="AG396" s="11">
        <v>117715.4</v>
      </c>
      <c r="AH396" s="11">
        <v>0</v>
      </c>
      <c r="AI396" s="12">
        <v>117715.4</v>
      </c>
      <c r="AJ396" s="11">
        <v>117715.4</v>
      </c>
      <c r="AK396" s="11">
        <v>0</v>
      </c>
      <c r="AL396" s="11">
        <v>0</v>
      </c>
      <c r="AM396" s="11">
        <v>1486816.63</v>
      </c>
      <c r="AN396" s="11">
        <v>1714344.62</v>
      </c>
      <c r="AO396" s="11">
        <v>227527.99</v>
      </c>
      <c r="AP396" s="11">
        <v>117715.4</v>
      </c>
      <c r="AQ396" s="11">
        <v>0</v>
      </c>
      <c r="AR396" s="11">
        <v>0</v>
      </c>
      <c r="AS396" t="s">
        <v>48</v>
      </c>
      <c r="AT396"/>
    </row>
    <row r="397" spans="1:49" hidden="1" x14ac:dyDescent="0.3">
      <c r="A397">
        <v>2024</v>
      </c>
      <c r="B397">
        <v>6</v>
      </c>
      <c r="C397">
        <v>1205</v>
      </c>
      <c r="D397" s="5" t="s">
        <v>44</v>
      </c>
      <c r="E397" s="8" t="s">
        <v>1890</v>
      </c>
      <c r="F397">
        <v>1205</v>
      </c>
      <c r="H397" s="8" t="s">
        <v>379</v>
      </c>
      <c r="I397" t="s">
        <v>909</v>
      </c>
      <c r="J397" s="17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1714344.62</v>
      </c>
      <c r="Y397" s="11">
        <v>227527.99</v>
      </c>
      <c r="Z397" s="12">
        <v>1486816.63</v>
      </c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11">
        <v>0</v>
      </c>
      <c r="AG397" s="11">
        <v>117715.4</v>
      </c>
      <c r="AH397" s="11">
        <v>0</v>
      </c>
      <c r="AI397" s="12">
        <v>117715.4</v>
      </c>
      <c r="AJ397" s="11">
        <v>117715.4</v>
      </c>
      <c r="AK397" s="11">
        <v>0</v>
      </c>
      <c r="AL397" s="11">
        <v>0</v>
      </c>
      <c r="AM397" s="11">
        <v>1486816.63</v>
      </c>
      <c r="AN397" s="11">
        <v>1714344.62</v>
      </c>
      <c r="AO397" s="11">
        <v>227527.99</v>
      </c>
      <c r="AP397" s="11">
        <v>117715.4</v>
      </c>
      <c r="AQ397" s="11">
        <v>0</v>
      </c>
      <c r="AR397" s="11">
        <v>0</v>
      </c>
      <c r="AS397" t="s">
        <v>48</v>
      </c>
      <c r="AT397"/>
    </row>
    <row r="398" spans="1:49" hidden="1" x14ac:dyDescent="0.3">
      <c r="A398">
        <v>2024</v>
      </c>
      <c r="B398">
        <v>6</v>
      </c>
      <c r="C398">
        <v>120502</v>
      </c>
      <c r="D398" s="5" t="s">
        <v>44</v>
      </c>
      <c r="E398" s="8" t="s">
        <v>1891</v>
      </c>
      <c r="F398">
        <v>120502</v>
      </c>
      <c r="H398" s="8" t="s">
        <v>381</v>
      </c>
      <c r="I398" t="s">
        <v>909</v>
      </c>
      <c r="J398" s="17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1714344.62</v>
      </c>
      <c r="Y398" s="11">
        <v>227527.99</v>
      </c>
      <c r="Z398" s="12">
        <v>1486816.63</v>
      </c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11">
        <v>0</v>
      </c>
      <c r="AG398" s="11">
        <v>117715.4</v>
      </c>
      <c r="AH398" s="11">
        <v>0</v>
      </c>
      <c r="AI398" s="12">
        <v>117715.4</v>
      </c>
      <c r="AJ398" s="11">
        <v>117715.4</v>
      </c>
      <c r="AK398" s="11">
        <v>0</v>
      </c>
      <c r="AL398" s="11">
        <v>0</v>
      </c>
      <c r="AM398" s="11">
        <v>1486816.63</v>
      </c>
      <c r="AN398" s="11">
        <v>1714344.62</v>
      </c>
      <c r="AO398" s="11">
        <v>227527.99</v>
      </c>
      <c r="AP398" s="11">
        <v>117715.4</v>
      </c>
      <c r="AQ398" s="11">
        <v>0</v>
      </c>
      <c r="AR398" s="11">
        <v>0</v>
      </c>
      <c r="AS398" t="s">
        <v>48</v>
      </c>
      <c r="AT398"/>
    </row>
    <row r="399" spans="1:49" hidden="1" x14ac:dyDescent="0.3">
      <c r="A399">
        <v>2024</v>
      </c>
      <c r="B399">
        <v>6</v>
      </c>
      <c r="C399">
        <v>120502001</v>
      </c>
      <c r="D399" s="5" t="s">
        <v>44</v>
      </c>
      <c r="E399" s="8" t="s">
        <v>986</v>
      </c>
      <c r="F399">
        <v>120502001</v>
      </c>
      <c r="H399" s="8" t="s">
        <v>46</v>
      </c>
      <c r="I399" t="s">
        <v>909</v>
      </c>
      <c r="J399" s="17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  <c r="V399" s="11">
        <v>0</v>
      </c>
      <c r="W399" s="11">
        <v>0</v>
      </c>
      <c r="X399" s="11">
        <v>1714344.62</v>
      </c>
      <c r="Y399" s="11">
        <v>227527.99</v>
      </c>
      <c r="Z399" s="12">
        <v>1486816.63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117715.4</v>
      </c>
      <c r="AH399" s="11">
        <v>0</v>
      </c>
      <c r="AI399" s="12">
        <v>117715.4</v>
      </c>
      <c r="AJ399" s="11">
        <v>117715.4</v>
      </c>
      <c r="AK399" s="11">
        <v>0</v>
      </c>
      <c r="AL399" s="11">
        <v>0</v>
      </c>
      <c r="AM399" s="11">
        <v>1486816.63</v>
      </c>
      <c r="AN399" s="11">
        <v>1714344.62</v>
      </c>
      <c r="AO399" s="11">
        <v>227527.99</v>
      </c>
      <c r="AP399" s="11">
        <v>117715.4</v>
      </c>
      <c r="AQ399" s="11">
        <v>0</v>
      </c>
      <c r="AR399" s="11">
        <v>0</v>
      </c>
      <c r="AS399" t="s">
        <v>48</v>
      </c>
      <c r="AT399"/>
    </row>
    <row r="400" spans="1:49" hidden="1" x14ac:dyDescent="0.3">
      <c r="A400">
        <v>2024</v>
      </c>
      <c r="B400">
        <v>6</v>
      </c>
      <c r="C400">
        <v>12050200101</v>
      </c>
      <c r="D400" s="5" t="s">
        <v>44</v>
      </c>
      <c r="E400" s="8" t="s">
        <v>987</v>
      </c>
      <c r="F400">
        <v>12050200101</v>
      </c>
      <c r="H400" s="8" t="s">
        <v>50</v>
      </c>
      <c r="I400" t="s">
        <v>909</v>
      </c>
      <c r="J400" s="17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1714344.62</v>
      </c>
      <c r="Y400" s="11">
        <v>227527.99</v>
      </c>
      <c r="Z400" s="12">
        <v>1486816.63</v>
      </c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11">
        <v>0</v>
      </c>
      <c r="AG400" s="11">
        <v>117715.4</v>
      </c>
      <c r="AH400" s="11">
        <v>0</v>
      </c>
      <c r="AI400" s="12">
        <v>117715.4</v>
      </c>
      <c r="AJ400" s="11">
        <v>117715.4</v>
      </c>
      <c r="AK400" s="11">
        <v>0</v>
      </c>
      <c r="AL400" s="11">
        <v>0</v>
      </c>
      <c r="AM400" s="11">
        <v>1486816.63</v>
      </c>
      <c r="AN400" s="11">
        <v>1714344.62</v>
      </c>
      <c r="AO400" s="11">
        <v>227527.99</v>
      </c>
      <c r="AP400" s="11">
        <v>117715.4</v>
      </c>
      <c r="AQ400" s="11">
        <v>0</v>
      </c>
      <c r="AR400" s="11">
        <v>0</v>
      </c>
      <c r="AS400" t="s">
        <v>48</v>
      </c>
      <c r="AT400"/>
    </row>
    <row r="401" spans="1:49" hidden="1" x14ac:dyDescent="0.3">
      <c r="A401">
        <v>2024</v>
      </c>
      <c r="B401">
        <v>6</v>
      </c>
      <c r="C401">
        <v>1205020010102</v>
      </c>
      <c r="D401" s="5" t="s">
        <v>44</v>
      </c>
      <c r="E401" s="8" t="s">
        <v>988</v>
      </c>
      <c r="F401">
        <v>1205020010102</v>
      </c>
      <c r="H401" s="8" t="s">
        <v>145</v>
      </c>
      <c r="I401" t="s">
        <v>909</v>
      </c>
      <c r="J401" s="17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1714344.62</v>
      </c>
      <c r="Y401" s="11">
        <v>227527.99</v>
      </c>
      <c r="Z401" s="12">
        <v>1486816.63</v>
      </c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0</v>
      </c>
      <c r="AG401" s="11">
        <v>117715.4</v>
      </c>
      <c r="AH401" s="11">
        <v>0</v>
      </c>
      <c r="AI401" s="12">
        <v>117715.4</v>
      </c>
      <c r="AJ401" s="11">
        <v>117715.4</v>
      </c>
      <c r="AK401" s="11">
        <v>0</v>
      </c>
      <c r="AL401" s="11">
        <v>0</v>
      </c>
      <c r="AM401" s="11">
        <v>1486816.63</v>
      </c>
      <c r="AN401" s="11">
        <v>1714344.62</v>
      </c>
      <c r="AO401" s="11">
        <v>227527.99</v>
      </c>
      <c r="AP401" s="11">
        <v>117715.4</v>
      </c>
      <c r="AQ401" s="11">
        <v>0</v>
      </c>
      <c r="AR401" s="11">
        <v>0</v>
      </c>
      <c r="AS401" t="s">
        <v>48</v>
      </c>
      <c r="AT401"/>
    </row>
    <row r="402" spans="1:49" hidden="1" x14ac:dyDescent="0.3">
      <c r="A402">
        <v>2024</v>
      </c>
      <c r="B402">
        <v>6</v>
      </c>
      <c r="C402">
        <v>120502001010206</v>
      </c>
      <c r="D402" s="5" t="s">
        <v>44</v>
      </c>
      <c r="E402" s="8" t="s">
        <v>989</v>
      </c>
      <c r="F402">
        <v>120502001010206</v>
      </c>
      <c r="H402" s="8" t="s">
        <v>242</v>
      </c>
      <c r="I402" t="s">
        <v>909</v>
      </c>
      <c r="J402" s="17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1714344.62</v>
      </c>
      <c r="Y402" s="11">
        <v>227527.99</v>
      </c>
      <c r="Z402" s="12">
        <v>1486816.63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117715.4</v>
      </c>
      <c r="AH402" s="11">
        <v>0</v>
      </c>
      <c r="AI402" s="12">
        <v>117715.4</v>
      </c>
      <c r="AJ402" s="11">
        <v>117715.4</v>
      </c>
      <c r="AK402" s="11">
        <v>0</v>
      </c>
      <c r="AL402" s="11">
        <v>0</v>
      </c>
      <c r="AM402" s="11">
        <v>1486816.63</v>
      </c>
      <c r="AN402" s="11">
        <v>1714344.62</v>
      </c>
      <c r="AO402" s="11">
        <v>227527.99</v>
      </c>
      <c r="AP402" s="11">
        <v>117715.4</v>
      </c>
      <c r="AQ402" s="11">
        <v>0</v>
      </c>
      <c r="AR402" s="11">
        <v>0</v>
      </c>
      <c r="AS402" t="s">
        <v>48</v>
      </c>
      <c r="AT402"/>
    </row>
    <row r="403" spans="1:49" hidden="1" x14ac:dyDescent="0.3">
      <c r="A403">
        <v>2024</v>
      </c>
      <c r="B403">
        <v>6</v>
      </c>
      <c r="C403">
        <v>1.20502001010206E+17</v>
      </c>
      <c r="D403" s="5">
        <v>70</v>
      </c>
      <c r="E403" s="8" t="s">
        <v>990</v>
      </c>
      <c r="F403">
        <v>1.20502001010206E+17</v>
      </c>
      <c r="G403" t="s">
        <v>1909</v>
      </c>
      <c r="H403" s="8" t="s">
        <v>991</v>
      </c>
      <c r="I403" t="s">
        <v>909</v>
      </c>
      <c r="J403" s="17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1714344.62</v>
      </c>
      <c r="Y403" s="11">
        <v>227527.99</v>
      </c>
      <c r="Z403" s="12">
        <v>1486816.63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0</v>
      </c>
      <c r="AG403" s="11">
        <v>117715.4</v>
      </c>
      <c r="AH403" s="11">
        <v>0</v>
      </c>
      <c r="AI403" s="12">
        <v>117715.4</v>
      </c>
      <c r="AJ403" s="11">
        <v>117715.4</v>
      </c>
      <c r="AK403" s="11">
        <v>0</v>
      </c>
      <c r="AL403" s="11">
        <v>0</v>
      </c>
      <c r="AM403" s="11">
        <v>1486816.63</v>
      </c>
      <c r="AN403" s="11">
        <v>1714344.62</v>
      </c>
      <c r="AO403" s="11">
        <v>227527.99</v>
      </c>
      <c r="AP403" s="11">
        <v>117715.4</v>
      </c>
      <c r="AQ403" s="11">
        <v>0</v>
      </c>
      <c r="AR403" s="11">
        <v>0</v>
      </c>
      <c r="AS403" t="s">
        <v>918</v>
      </c>
      <c r="AT403" s="4" t="str">
        <f>+H403</f>
        <v>Sistema General de Regalias</v>
      </c>
      <c r="AU403" t="str">
        <f>+D403&amp;AT403&amp;J403</f>
        <v>70Sistema General de Regalias0</v>
      </c>
      <c r="AV403" t="str">
        <f>+_xlfn.XLOOKUP(AU403,CRUCE!L:L,CRUCE!M:M)</f>
        <v>READY</v>
      </c>
      <c r="AW403" t="s">
        <v>1907</v>
      </c>
    </row>
    <row r="404" spans="1:49" hidden="1" x14ac:dyDescent="0.3">
      <c r="A404">
        <v>2024</v>
      </c>
      <c r="B404">
        <v>8</v>
      </c>
      <c r="C404">
        <v>1</v>
      </c>
      <c r="D404" s="5" t="s">
        <v>44</v>
      </c>
      <c r="E404" s="8">
        <v>45299</v>
      </c>
      <c r="F404">
        <v>1</v>
      </c>
      <c r="H404" s="8" t="s">
        <v>46</v>
      </c>
      <c r="I404" t="s">
        <v>992</v>
      </c>
      <c r="J404" s="17">
        <v>0</v>
      </c>
      <c r="K404" s="11">
        <v>0</v>
      </c>
      <c r="L404" s="11">
        <v>11583333</v>
      </c>
      <c r="M404" s="11">
        <v>0</v>
      </c>
      <c r="N404" s="11">
        <v>11583333</v>
      </c>
      <c r="O404" s="11">
        <v>11583333</v>
      </c>
      <c r="P404" s="11">
        <v>0</v>
      </c>
      <c r="Q404" s="11">
        <v>11583333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2">
        <v>0</v>
      </c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2">
        <v>0</v>
      </c>
      <c r="AJ404" s="11">
        <v>0</v>
      </c>
      <c r="AK404" s="11">
        <v>0</v>
      </c>
      <c r="AL404" s="11">
        <v>0</v>
      </c>
      <c r="AM404" s="11">
        <v>0</v>
      </c>
      <c r="AN404" s="11">
        <v>0</v>
      </c>
      <c r="AO404" s="11">
        <v>0</v>
      </c>
      <c r="AP404" s="11">
        <v>0</v>
      </c>
      <c r="AQ404" s="11">
        <v>0</v>
      </c>
      <c r="AR404" s="11">
        <v>0</v>
      </c>
      <c r="AS404" t="s">
        <v>48</v>
      </c>
      <c r="AT404"/>
    </row>
    <row r="405" spans="1:49" hidden="1" x14ac:dyDescent="0.3">
      <c r="A405">
        <v>2024</v>
      </c>
      <c r="B405">
        <v>8</v>
      </c>
      <c r="C405">
        <v>12</v>
      </c>
      <c r="D405" s="5" t="s">
        <v>44</v>
      </c>
      <c r="E405" s="8" t="s">
        <v>1892</v>
      </c>
      <c r="F405">
        <v>12</v>
      </c>
      <c r="H405" s="8" t="s">
        <v>367</v>
      </c>
      <c r="I405" t="s">
        <v>992</v>
      </c>
      <c r="J405" s="17">
        <v>0</v>
      </c>
      <c r="K405" s="11">
        <v>0</v>
      </c>
      <c r="L405" s="11">
        <v>11583333</v>
      </c>
      <c r="M405" s="11">
        <v>0</v>
      </c>
      <c r="N405" s="11">
        <v>11583333</v>
      </c>
      <c r="O405" s="11">
        <v>11583333</v>
      </c>
      <c r="P405" s="11">
        <v>0</v>
      </c>
      <c r="Q405" s="11">
        <v>11583333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2">
        <v>0</v>
      </c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11">
        <v>0</v>
      </c>
      <c r="AI405" s="12">
        <v>0</v>
      </c>
      <c r="AJ405" s="11">
        <v>0</v>
      </c>
      <c r="AK405" s="11">
        <v>0</v>
      </c>
      <c r="AL405" s="11">
        <v>0</v>
      </c>
      <c r="AM405" s="11">
        <v>0</v>
      </c>
      <c r="AN405" s="11">
        <v>0</v>
      </c>
      <c r="AO405" s="11">
        <v>0</v>
      </c>
      <c r="AP405" s="11">
        <v>0</v>
      </c>
      <c r="AQ405" s="11">
        <v>0</v>
      </c>
      <c r="AR405" s="11">
        <v>0</v>
      </c>
      <c r="AS405" t="s">
        <v>48</v>
      </c>
      <c r="AT405"/>
    </row>
    <row r="406" spans="1:49" hidden="1" x14ac:dyDescent="0.3">
      <c r="A406">
        <v>2024</v>
      </c>
      <c r="B406">
        <v>8</v>
      </c>
      <c r="C406">
        <v>1210</v>
      </c>
      <c r="D406" s="5" t="s">
        <v>44</v>
      </c>
      <c r="E406" s="8" t="s">
        <v>993</v>
      </c>
      <c r="F406">
        <v>1210</v>
      </c>
      <c r="H406" s="8" t="s">
        <v>474</v>
      </c>
      <c r="I406" t="s">
        <v>992</v>
      </c>
      <c r="J406" s="17">
        <v>0</v>
      </c>
      <c r="K406" s="11">
        <v>0</v>
      </c>
      <c r="L406" s="11">
        <v>11583333</v>
      </c>
      <c r="M406" s="11">
        <v>0</v>
      </c>
      <c r="N406" s="11">
        <v>11583333</v>
      </c>
      <c r="O406" s="11">
        <v>11583333</v>
      </c>
      <c r="P406" s="11">
        <v>0</v>
      </c>
      <c r="Q406" s="11">
        <v>11583333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2">
        <v>0</v>
      </c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11">
        <v>0</v>
      </c>
      <c r="AG406" s="11">
        <v>0</v>
      </c>
      <c r="AH406" s="11">
        <v>0</v>
      </c>
      <c r="AI406" s="12">
        <v>0</v>
      </c>
      <c r="AJ406" s="11">
        <v>0</v>
      </c>
      <c r="AK406" s="11">
        <v>0</v>
      </c>
      <c r="AL406" s="11">
        <v>0</v>
      </c>
      <c r="AM406" s="11">
        <v>0</v>
      </c>
      <c r="AN406" s="11">
        <v>0</v>
      </c>
      <c r="AO406" s="11">
        <v>0</v>
      </c>
      <c r="AP406" s="11">
        <v>0</v>
      </c>
      <c r="AQ406" s="11">
        <v>0</v>
      </c>
      <c r="AR406" s="11">
        <v>0</v>
      </c>
      <c r="AS406" t="s">
        <v>48</v>
      </c>
      <c r="AT406"/>
    </row>
    <row r="407" spans="1:49" hidden="1" x14ac:dyDescent="0.3">
      <c r="A407">
        <v>2024</v>
      </c>
      <c r="B407">
        <v>8</v>
      </c>
      <c r="C407">
        <v>121002</v>
      </c>
      <c r="D407" s="5" t="s">
        <v>44</v>
      </c>
      <c r="E407" s="8" t="s">
        <v>994</v>
      </c>
      <c r="F407">
        <v>121002</v>
      </c>
      <c r="H407" s="8" t="s">
        <v>476</v>
      </c>
      <c r="I407" t="s">
        <v>992</v>
      </c>
      <c r="J407" s="17">
        <v>0</v>
      </c>
      <c r="K407" s="11">
        <v>0</v>
      </c>
      <c r="L407" s="11">
        <v>11583333</v>
      </c>
      <c r="M407" s="11">
        <v>0</v>
      </c>
      <c r="N407" s="11">
        <v>11583333</v>
      </c>
      <c r="O407" s="11">
        <v>11583333</v>
      </c>
      <c r="P407" s="11">
        <v>0</v>
      </c>
      <c r="Q407" s="11">
        <v>11583333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2">
        <v>0</v>
      </c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0</v>
      </c>
      <c r="AG407" s="11">
        <v>0</v>
      </c>
      <c r="AH407" s="11">
        <v>0</v>
      </c>
      <c r="AI407" s="12">
        <v>0</v>
      </c>
      <c r="AJ407" s="11">
        <v>0</v>
      </c>
      <c r="AK407" s="11">
        <v>0</v>
      </c>
      <c r="AL407" s="11">
        <v>0</v>
      </c>
      <c r="AM407" s="11">
        <v>0</v>
      </c>
      <c r="AN407" s="11">
        <v>0</v>
      </c>
      <c r="AO407" s="11">
        <v>0</v>
      </c>
      <c r="AP407" s="11">
        <v>0</v>
      </c>
      <c r="AQ407" s="11">
        <v>0</v>
      </c>
      <c r="AR407" s="11">
        <v>0</v>
      </c>
      <c r="AS407" t="s">
        <v>48</v>
      </c>
      <c r="AT407"/>
    </row>
    <row r="408" spans="1:49" hidden="1" x14ac:dyDescent="0.3">
      <c r="A408">
        <v>2024</v>
      </c>
      <c r="B408">
        <v>8</v>
      </c>
      <c r="C408">
        <v>121002001</v>
      </c>
      <c r="D408" s="5" t="s">
        <v>44</v>
      </c>
      <c r="E408" s="8" t="s">
        <v>995</v>
      </c>
      <c r="F408">
        <v>121002001</v>
      </c>
      <c r="H408" s="8" t="s">
        <v>478</v>
      </c>
      <c r="I408" t="s">
        <v>992</v>
      </c>
      <c r="J408" s="17">
        <v>0</v>
      </c>
      <c r="K408" s="11">
        <v>0</v>
      </c>
      <c r="L408" s="11">
        <v>9850000</v>
      </c>
      <c r="M408" s="11">
        <v>0</v>
      </c>
      <c r="N408" s="11">
        <v>9850000</v>
      </c>
      <c r="O408" s="11">
        <v>9850000</v>
      </c>
      <c r="P408" s="11">
        <v>0</v>
      </c>
      <c r="Q408" s="11">
        <v>9850000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2">
        <v>0</v>
      </c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0</v>
      </c>
      <c r="AG408" s="11">
        <v>0</v>
      </c>
      <c r="AH408" s="11">
        <v>0</v>
      </c>
      <c r="AI408" s="12">
        <v>0</v>
      </c>
      <c r="AJ408" s="11">
        <v>0</v>
      </c>
      <c r="AK408" s="11">
        <v>0</v>
      </c>
      <c r="AL408" s="11">
        <v>0</v>
      </c>
      <c r="AM408" s="11">
        <v>0</v>
      </c>
      <c r="AN408" s="11">
        <v>0</v>
      </c>
      <c r="AO408" s="11">
        <v>0</v>
      </c>
      <c r="AP408" s="11">
        <v>0</v>
      </c>
      <c r="AQ408" s="11">
        <v>0</v>
      </c>
      <c r="AR408" s="11">
        <v>0</v>
      </c>
      <c r="AS408" t="s">
        <v>48</v>
      </c>
      <c r="AT408"/>
    </row>
    <row r="409" spans="1:49" hidden="1" x14ac:dyDescent="0.3">
      <c r="A409">
        <v>2024</v>
      </c>
      <c r="B409">
        <v>8</v>
      </c>
      <c r="C409">
        <v>12100200101</v>
      </c>
      <c r="D409" s="5">
        <v>88</v>
      </c>
      <c r="E409" s="8" t="s">
        <v>996</v>
      </c>
      <c r="F409">
        <v>12100200101</v>
      </c>
      <c r="G409" t="s">
        <v>1910</v>
      </c>
      <c r="H409" s="8" t="s">
        <v>480</v>
      </c>
      <c r="I409" t="s">
        <v>992</v>
      </c>
      <c r="J409" s="17">
        <v>0</v>
      </c>
      <c r="K409" s="11">
        <v>0</v>
      </c>
      <c r="L409" s="11">
        <v>9850000</v>
      </c>
      <c r="M409" s="11">
        <v>0</v>
      </c>
      <c r="N409" s="11">
        <v>9850000</v>
      </c>
      <c r="O409" s="11">
        <v>9850000</v>
      </c>
      <c r="P409" s="11">
        <v>0</v>
      </c>
      <c r="Q409" s="11">
        <v>9850000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0</v>
      </c>
      <c r="Z409" s="12">
        <v>0</v>
      </c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0</v>
      </c>
      <c r="AG409" s="11">
        <v>0</v>
      </c>
      <c r="AH409" s="11">
        <v>0</v>
      </c>
      <c r="AI409" s="12">
        <v>0</v>
      </c>
      <c r="AJ409" s="11">
        <v>0</v>
      </c>
      <c r="AK409" s="11">
        <v>0</v>
      </c>
      <c r="AL409" s="11">
        <v>0</v>
      </c>
      <c r="AM409" s="11">
        <v>0</v>
      </c>
      <c r="AN409" s="11">
        <v>0</v>
      </c>
      <c r="AO409" s="11">
        <v>0</v>
      </c>
      <c r="AP409" s="11">
        <v>0</v>
      </c>
      <c r="AQ409" s="11">
        <v>0</v>
      </c>
      <c r="AR409" s="11">
        <v>0</v>
      </c>
      <c r="AS409" t="s">
        <v>471</v>
      </c>
      <c r="AT409" s="4" t="str">
        <f>+H409</f>
        <v xml:space="preserve">Superávit Recurso Ordinario </v>
      </c>
      <c r="AU409" t="str">
        <f>+D409&amp;AT409&amp;J409</f>
        <v>88Superávit Recurso Ordinario 0</v>
      </c>
      <c r="AV409" t="str">
        <f>+_xlfn.XLOOKUP(AU409,CRUCE!L:L,CRUCE!M:M)</f>
        <v>READY</v>
      </c>
      <c r="AW409" t="s">
        <v>1907</v>
      </c>
    </row>
    <row r="410" spans="1:49" hidden="1" x14ac:dyDescent="0.3">
      <c r="A410">
        <v>2024</v>
      </c>
      <c r="B410">
        <v>8</v>
      </c>
      <c r="C410">
        <v>121002002</v>
      </c>
      <c r="D410" s="5" t="s">
        <v>44</v>
      </c>
      <c r="E410" s="8" t="s">
        <v>997</v>
      </c>
      <c r="F410">
        <v>121002002</v>
      </c>
      <c r="H410" s="8" t="s">
        <v>482</v>
      </c>
      <c r="I410" t="s">
        <v>992</v>
      </c>
      <c r="J410" s="17">
        <v>0</v>
      </c>
      <c r="K410" s="11">
        <v>0</v>
      </c>
      <c r="L410" s="11">
        <v>1733333</v>
      </c>
      <c r="M410" s="11">
        <v>0</v>
      </c>
      <c r="N410" s="11">
        <v>1733333</v>
      </c>
      <c r="O410" s="11">
        <v>1733333</v>
      </c>
      <c r="P410" s="11">
        <v>0</v>
      </c>
      <c r="Q410" s="11">
        <v>1733333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2">
        <v>0</v>
      </c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11">
        <v>0</v>
      </c>
      <c r="AG410" s="11">
        <v>0</v>
      </c>
      <c r="AH410" s="11">
        <v>0</v>
      </c>
      <c r="AI410" s="12">
        <v>0</v>
      </c>
      <c r="AJ410" s="11">
        <v>0</v>
      </c>
      <c r="AK410" s="11">
        <v>0</v>
      </c>
      <c r="AL410" s="11">
        <v>0</v>
      </c>
      <c r="AM410" s="11">
        <v>0</v>
      </c>
      <c r="AN410" s="11">
        <v>0</v>
      </c>
      <c r="AO410" s="11">
        <v>0</v>
      </c>
      <c r="AP410" s="11">
        <v>0</v>
      </c>
      <c r="AQ410" s="11">
        <v>0</v>
      </c>
      <c r="AR410" s="11">
        <v>0</v>
      </c>
      <c r="AS410" t="s">
        <v>48</v>
      </c>
      <c r="AT410"/>
    </row>
    <row r="411" spans="1:49" hidden="1" x14ac:dyDescent="0.3">
      <c r="A411">
        <v>2024</v>
      </c>
      <c r="B411">
        <v>8</v>
      </c>
      <c r="C411">
        <v>12100200206</v>
      </c>
      <c r="D411" s="5">
        <v>89</v>
      </c>
      <c r="E411" s="8" t="s">
        <v>1893</v>
      </c>
      <c r="F411">
        <v>12100200206</v>
      </c>
      <c r="G411" t="s">
        <v>1910</v>
      </c>
      <c r="H411" s="8" t="s">
        <v>487</v>
      </c>
      <c r="I411" t="s">
        <v>992</v>
      </c>
      <c r="J411" s="17">
        <v>0</v>
      </c>
      <c r="K411" s="11">
        <v>0</v>
      </c>
      <c r="L411" s="11">
        <v>1733333</v>
      </c>
      <c r="M411" s="11">
        <v>0</v>
      </c>
      <c r="N411" s="11">
        <v>1733333</v>
      </c>
      <c r="O411" s="11">
        <v>1733333</v>
      </c>
      <c r="P411" s="11">
        <v>0</v>
      </c>
      <c r="Q411" s="11">
        <v>1733333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2">
        <v>0</v>
      </c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11">
        <v>0</v>
      </c>
      <c r="AI411" s="12">
        <v>0</v>
      </c>
      <c r="AJ411" s="11">
        <v>0</v>
      </c>
      <c r="AK411" s="11">
        <v>0</v>
      </c>
      <c r="AL411" s="11">
        <v>0</v>
      </c>
      <c r="AM411" s="11">
        <v>0</v>
      </c>
      <c r="AN411" s="11">
        <v>0</v>
      </c>
      <c r="AO411" s="11">
        <v>0</v>
      </c>
      <c r="AP411" s="11">
        <v>0</v>
      </c>
      <c r="AQ411" s="11">
        <v>0</v>
      </c>
      <c r="AR411" s="11">
        <v>0</v>
      </c>
      <c r="AS411" t="s">
        <v>488</v>
      </c>
      <c r="AT411" s="4" t="str">
        <f>+H411</f>
        <v xml:space="preserve">Superávit Sobretasa ACPM  </v>
      </c>
      <c r="AU411" t="str">
        <f>+D411&amp;AT411&amp;J411</f>
        <v>89Superávit Sobretasa ACPM  0</v>
      </c>
      <c r="AV411" t="str">
        <f>+_xlfn.XLOOKUP(AU411,CRUCE!L:L,CRUCE!M:M)</f>
        <v>READY</v>
      </c>
      <c r="AW411" t="s">
        <v>1907</v>
      </c>
    </row>
    <row r="412" spans="1:49" hidden="1" x14ac:dyDescent="0.3">
      <c r="A412">
        <v>2024</v>
      </c>
      <c r="B412">
        <v>9</v>
      </c>
      <c r="C412">
        <v>1</v>
      </c>
      <c r="D412" s="5" t="s">
        <v>44</v>
      </c>
      <c r="E412" s="8">
        <v>45300</v>
      </c>
      <c r="F412">
        <v>1</v>
      </c>
      <c r="H412" s="8" t="s">
        <v>46</v>
      </c>
      <c r="I412" t="s">
        <v>1006</v>
      </c>
      <c r="J412" s="17">
        <v>0</v>
      </c>
      <c r="K412" s="11">
        <v>0</v>
      </c>
      <c r="L412" s="11">
        <v>30408152244.77</v>
      </c>
      <c r="M412" s="11">
        <v>0</v>
      </c>
      <c r="N412" s="11">
        <v>30408152244.77</v>
      </c>
      <c r="O412" s="11">
        <v>30408152244.77</v>
      </c>
      <c r="P412" s="11">
        <v>0</v>
      </c>
      <c r="Q412" s="11">
        <v>30408152244.77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2085085978</v>
      </c>
      <c r="Y412" s="11">
        <v>0</v>
      </c>
      <c r="Z412" s="12">
        <v>2085085978</v>
      </c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0</v>
      </c>
      <c r="AG412" s="11">
        <v>2085085978</v>
      </c>
      <c r="AH412" s="11">
        <v>0</v>
      </c>
      <c r="AI412" s="12">
        <v>2085085978</v>
      </c>
      <c r="AJ412" s="11">
        <v>2085085978</v>
      </c>
      <c r="AK412" s="11">
        <v>0</v>
      </c>
      <c r="AL412" s="11">
        <v>0</v>
      </c>
      <c r="AM412" s="11">
        <v>2085085978</v>
      </c>
      <c r="AN412" s="11">
        <v>2085085978</v>
      </c>
      <c r="AO412" s="11">
        <v>0</v>
      </c>
      <c r="AP412" s="11">
        <v>2085085978</v>
      </c>
      <c r="AQ412" s="11">
        <v>0</v>
      </c>
      <c r="AR412" s="11">
        <v>0</v>
      </c>
      <c r="AS412" t="s">
        <v>48</v>
      </c>
      <c r="AT412"/>
    </row>
    <row r="413" spans="1:49" hidden="1" x14ac:dyDescent="0.3">
      <c r="A413">
        <v>2024</v>
      </c>
      <c r="B413">
        <v>9</v>
      </c>
      <c r="C413">
        <v>12</v>
      </c>
      <c r="D413" s="5" t="s">
        <v>44</v>
      </c>
      <c r="E413" s="8" t="s">
        <v>1894</v>
      </c>
      <c r="F413">
        <v>12</v>
      </c>
      <c r="H413" s="8" t="s">
        <v>367</v>
      </c>
      <c r="I413" t="s">
        <v>1006</v>
      </c>
      <c r="J413" s="17">
        <v>0</v>
      </c>
      <c r="K413" s="11">
        <v>0</v>
      </c>
      <c r="L413" s="11">
        <v>30408152244.77</v>
      </c>
      <c r="M413" s="11">
        <v>0</v>
      </c>
      <c r="N413" s="11">
        <v>30408152244.77</v>
      </c>
      <c r="O413" s="11">
        <v>30408152244.77</v>
      </c>
      <c r="P413" s="11">
        <v>0</v>
      </c>
      <c r="Q413" s="11">
        <v>30408152244.77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2085085978</v>
      </c>
      <c r="Y413" s="11">
        <v>0</v>
      </c>
      <c r="Z413" s="12">
        <v>2085085978</v>
      </c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11">
        <v>0</v>
      </c>
      <c r="AG413" s="11">
        <v>2085085978</v>
      </c>
      <c r="AH413" s="11">
        <v>0</v>
      </c>
      <c r="AI413" s="12">
        <v>2085085978</v>
      </c>
      <c r="AJ413" s="11">
        <v>2085085978</v>
      </c>
      <c r="AK413" s="11">
        <v>0</v>
      </c>
      <c r="AL413" s="11">
        <v>0</v>
      </c>
      <c r="AM413" s="11">
        <v>2085085978</v>
      </c>
      <c r="AN413" s="11">
        <v>2085085978</v>
      </c>
      <c r="AO413" s="11">
        <v>0</v>
      </c>
      <c r="AP413" s="11">
        <v>2085085978</v>
      </c>
      <c r="AQ413" s="11">
        <v>0</v>
      </c>
      <c r="AR413" s="11">
        <v>0</v>
      </c>
      <c r="AS413" t="s">
        <v>48</v>
      </c>
      <c r="AT413"/>
    </row>
    <row r="414" spans="1:49" hidden="1" x14ac:dyDescent="0.3">
      <c r="A414">
        <v>2024</v>
      </c>
      <c r="B414">
        <v>9</v>
      </c>
      <c r="C414">
        <v>1210</v>
      </c>
      <c r="D414" s="5" t="s">
        <v>44</v>
      </c>
      <c r="E414" s="8" t="s">
        <v>1007</v>
      </c>
      <c r="F414">
        <v>1210</v>
      </c>
      <c r="H414" s="8" t="s">
        <v>474</v>
      </c>
      <c r="I414" t="s">
        <v>1006</v>
      </c>
      <c r="J414" s="17">
        <v>0</v>
      </c>
      <c r="K414" s="11">
        <v>0</v>
      </c>
      <c r="L414" s="11">
        <v>30408152244.77</v>
      </c>
      <c r="M414" s="11">
        <v>0</v>
      </c>
      <c r="N414" s="11">
        <v>30408152244.77</v>
      </c>
      <c r="O414" s="11">
        <v>30408152244.77</v>
      </c>
      <c r="P414" s="11">
        <v>0</v>
      </c>
      <c r="Q414" s="11">
        <v>30408152244.77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2085085978</v>
      </c>
      <c r="Y414" s="11">
        <v>0</v>
      </c>
      <c r="Z414" s="12">
        <v>2085085978</v>
      </c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11">
        <v>0</v>
      </c>
      <c r="AG414" s="11">
        <v>2085085978</v>
      </c>
      <c r="AH414" s="11">
        <v>0</v>
      </c>
      <c r="AI414" s="12">
        <v>2085085978</v>
      </c>
      <c r="AJ414" s="11">
        <v>2085085978</v>
      </c>
      <c r="AK414" s="11">
        <v>0</v>
      </c>
      <c r="AL414" s="11">
        <v>0</v>
      </c>
      <c r="AM414" s="11">
        <v>2085085978</v>
      </c>
      <c r="AN414" s="11">
        <v>2085085978</v>
      </c>
      <c r="AO414" s="11">
        <v>0</v>
      </c>
      <c r="AP414" s="11">
        <v>2085085978</v>
      </c>
      <c r="AQ414" s="11">
        <v>0</v>
      </c>
      <c r="AR414" s="11">
        <v>0</v>
      </c>
      <c r="AS414" t="s">
        <v>48</v>
      </c>
      <c r="AT414"/>
    </row>
    <row r="415" spans="1:49" hidden="1" x14ac:dyDescent="0.3">
      <c r="A415">
        <v>2024</v>
      </c>
      <c r="B415">
        <v>9</v>
      </c>
      <c r="C415">
        <v>121002</v>
      </c>
      <c r="D415" s="5" t="s">
        <v>44</v>
      </c>
      <c r="E415" s="8" t="s">
        <v>1008</v>
      </c>
      <c r="F415">
        <v>121002</v>
      </c>
      <c r="H415" s="8" t="s">
        <v>476</v>
      </c>
      <c r="I415" t="s">
        <v>1006</v>
      </c>
      <c r="J415" s="17">
        <v>0</v>
      </c>
      <c r="K415" s="11">
        <v>0</v>
      </c>
      <c r="L415" s="11">
        <v>30408152244.77</v>
      </c>
      <c r="M415" s="11">
        <v>0</v>
      </c>
      <c r="N415" s="11">
        <v>30408152244.77</v>
      </c>
      <c r="O415" s="11">
        <v>30408152244.77</v>
      </c>
      <c r="P415" s="11">
        <v>0</v>
      </c>
      <c r="Q415" s="11">
        <v>30408152244.77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2085085978</v>
      </c>
      <c r="Y415" s="11">
        <v>0</v>
      </c>
      <c r="Z415" s="12">
        <v>2085085978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2085085978</v>
      </c>
      <c r="AH415" s="11">
        <v>0</v>
      </c>
      <c r="AI415" s="12">
        <v>2085085978</v>
      </c>
      <c r="AJ415" s="11">
        <v>2085085978</v>
      </c>
      <c r="AK415" s="11">
        <v>0</v>
      </c>
      <c r="AL415" s="11">
        <v>0</v>
      </c>
      <c r="AM415" s="11">
        <v>2085085978</v>
      </c>
      <c r="AN415" s="11">
        <v>2085085978</v>
      </c>
      <c r="AO415" s="11">
        <v>0</v>
      </c>
      <c r="AP415" s="11">
        <v>2085085978</v>
      </c>
      <c r="AQ415" s="11">
        <v>0</v>
      </c>
      <c r="AR415" s="11">
        <v>0</v>
      </c>
      <c r="AS415" t="s">
        <v>48</v>
      </c>
      <c r="AT415"/>
    </row>
    <row r="416" spans="1:49" hidden="1" x14ac:dyDescent="0.3">
      <c r="A416">
        <v>2024</v>
      </c>
      <c r="B416">
        <v>9</v>
      </c>
      <c r="C416">
        <v>121002001</v>
      </c>
      <c r="D416" s="5" t="s">
        <v>44</v>
      </c>
      <c r="E416" s="8" t="s">
        <v>1009</v>
      </c>
      <c r="F416">
        <v>121002001</v>
      </c>
      <c r="H416" s="8" t="s">
        <v>478</v>
      </c>
      <c r="I416" t="s">
        <v>1006</v>
      </c>
      <c r="J416" s="17">
        <v>0</v>
      </c>
      <c r="K416" s="11">
        <v>0</v>
      </c>
      <c r="L416" s="11">
        <v>828562852.35000002</v>
      </c>
      <c r="M416" s="11">
        <v>0</v>
      </c>
      <c r="N416" s="11">
        <v>828562852.35000002</v>
      </c>
      <c r="O416" s="11">
        <v>828562852.35000002</v>
      </c>
      <c r="P416" s="11">
        <v>0</v>
      </c>
      <c r="Q416" s="11">
        <v>828562852.35000002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2">
        <v>0</v>
      </c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11">
        <v>0</v>
      </c>
      <c r="AI416" s="12">
        <v>0</v>
      </c>
      <c r="AJ416" s="11">
        <v>0</v>
      </c>
      <c r="AK416" s="11">
        <v>0</v>
      </c>
      <c r="AL416" s="11">
        <v>0</v>
      </c>
      <c r="AM416" s="11">
        <v>0</v>
      </c>
      <c r="AN416" s="11">
        <v>0</v>
      </c>
      <c r="AO416" s="11">
        <v>0</v>
      </c>
      <c r="AP416" s="11">
        <v>0</v>
      </c>
      <c r="AQ416" s="11">
        <v>0</v>
      </c>
      <c r="AR416" s="11">
        <v>0</v>
      </c>
      <c r="AS416" t="s">
        <v>48</v>
      </c>
      <c r="AT416"/>
    </row>
    <row r="417" spans="1:49" hidden="1" x14ac:dyDescent="0.3">
      <c r="A417">
        <v>2024</v>
      </c>
      <c r="B417">
        <v>9</v>
      </c>
      <c r="C417">
        <v>12100200101</v>
      </c>
      <c r="D417" s="5">
        <v>88</v>
      </c>
      <c r="E417" s="8" t="s">
        <v>1010</v>
      </c>
      <c r="F417">
        <v>12100200101</v>
      </c>
      <c r="G417" t="s">
        <v>1910</v>
      </c>
      <c r="H417" s="8" t="s">
        <v>480</v>
      </c>
      <c r="I417" t="s">
        <v>1006</v>
      </c>
      <c r="J417" s="17">
        <v>0</v>
      </c>
      <c r="K417" s="11">
        <v>0</v>
      </c>
      <c r="L417" s="11">
        <v>828562852.35000002</v>
      </c>
      <c r="M417" s="11">
        <v>0</v>
      </c>
      <c r="N417" s="11">
        <v>828562852.35000002</v>
      </c>
      <c r="O417" s="11">
        <v>828562852.35000002</v>
      </c>
      <c r="P417" s="11">
        <v>0</v>
      </c>
      <c r="Q417" s="11">
        <v>828562852.35000002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2">
        <v>0</v>
      </c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11">
        <v>0</v>
      </c>
      <c r="AI417" s="12">
        <v>0</v>
      </c>
      <c r="AJ417" s="11">
        <v>0</v>
      </c>
      <c r="AK417" s="11">
        <v>0</v>
      </c>
      <c r="AL417" s="11">
        <v>0</v>
      </c>
      <c r="AM417" s="11">
        <v>0</v>
      </c>
      <c r="AN417" s="11">
        <v>0</v>
      </c>
      <c r="AO417" s="11">
        <v>0</v>
      </c>
      <c r="AP417" s="11">
        <v>0</v>
      </c>
      <c r="AQ417" s="11">
        <v>0</v>
      </c>
      <c r="AR417" s="11">
        <v>0</v>
      </c>
      <c r="AS417" t="s">
        <v>471</v>
      </c>
      <c r="AT417" s="4" t="str">
        <f>+H417</f>
        <v xml:space="preserve">Superávit Recurso Ordinario </v>
      </c>
      <c r="AU417" t="str">
        <f>+D417&amp;AT417&amp;J417</f>
        <v>88Superávit Recurso Ordinario 0</v>
      </c>
      <c r="AV417" t="str">
        <f>+_xlfn.XLOOKUP(AU417,CRUCE!L:L,CRUCE!M:M)</f>
        <v>READY</v>
      </c>
      <c r="AW417" t="s">
        <v>1907</v>
      </c>
    </row>
    <row r="418" spans="1:49" hidden="1" x14ac:dyDescent="0.3">
      <c r="A418">
        <v>2024</v>
      </c>
      <c r="B418">
        <v>9</v>
      </c>
      <c r="C418">
        <v>121002002</v>
      </c>
      <c r="D418" s="5" t="s">
        <v>44</v>
      </c>
      <c r="E418" s="8" t="s">
        <v>1011</v>
      </c>
      <c r="F418">
        <v>121002002</v>
      </c>
      <c r="H418" s="8" t="s">
        <v>482</v>
      </c>
      <c r="I418" t="s">
        <v>1006</v>
      </c>
      <c r="J418" s="17">
        <v>0</v>
      </c>
      <c r="K418" s="11">
        <v>0</v>
      </c>
      <c r="L418" s="11">
        <v>29579589392.419998</v>
      </c>
      <c r="M418" s="11">
        <v>0</v>
      </c>
      <c r="N418" s="11">
        <v>29579589392.419998</v>
      </c>
      <c r="O418" s="11">
        <v>29579589392.419998</v>
      </c>
      <c r="P418" s="11">
        <v>0</v>
      </c>
      <c r="Q418" s="11">
        <v>29579589392.419998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2085085978</v>
      </c>
      <c r="Y418" s="11">
        <v>0</v>
      </c>
      <c r="Z418" s="12">
        <v>2085085978</v>
      </c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11">
        <v>0</v>
      </c>
      <c r="AG418" s="11">
        <v>2085085978</v>
      </c>
      <c r="AH418" s="11">
        <v>0</v>
      </c>
      <c r="AI418" s="12">
        <v>2085085978</v>
      </c>
      <c r="AJ418" s="11">
        <v>2085085978</v>
      </c>
      <c r="AK418" s="11">
        <v>0</v>
      </c>
      <c r="AL418" s="11">
        <v>0</v>
      </c>
      <c r="AM418" s="11">
        <v>2085085978</v>
      </c>
      <c r="AN418" s="11">
        <v>2085085978</v>
      </c>
      <c r="AO418" s="11">
        <v>0</v>
      </c>
      <c r="AP418" s="11">
        <v>2085085978</v>
      </c>
      <c r="AQ418" s="11">
        <v>0</v>
      </c>
      <c r="AR418" s="11">
        <v>0</v>
      </c>
      <c r="AS418" t="s">
        <v>48</v>
      </c>
      <c r="AT418"/>
    </row>
    <row r="419" spans="1:49" hidden="1" x14ac:dyDescent="0.3">
      <c r="A419">
        <v>2024</v>
      </c>
      <c r="B419">
        <v>9</v>
      </c>
      <c r="C419">
        <v>12100200201</v>
      </c>
      <c r="D419" s="5">
        <v>82</v>
      </c>
      <c r="E419" s="8" t="s">
        <v>1012</v>
      </c>
      <c r="F419">
        <v>12100200201</v>
      </c>
      <c r="G419" t="s">
        <v>1910</v>
      </c>
      <c r="H419" s="8" t="s">
        <v>484</v>
      </c>
      <c r="I419" t="s">
        <v>1006</v>
      </c>
      <c r="J419" s="17">
        <v>0</v>
      </c>
      <c r="K419" s="11">
        <v>0</v>
      </c>
      <c r="L419" s="11">
        <v>926233675.39999998</v>
      </c>
      <c r="M419" s="11">
        <v>0</v>
      </c>
      <c r="N419" s="11">
        <v>926233675.39999998</v>
      </c>
      <c r="O419" s="11">
        <v>926233675.39999998</v>
      </c>
      <c r="P419" s="11">
        <v>0</v>
      </c>
      <c r="Q419" s="11">
        <v>926233675.39999998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  <c r="Z419" s="12">
        <v>0</v>
      </c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11">
        <v>0</v>
      </c>
      <c r="AG419" s="11">
        <v>0</v>
      </c>
      <c r="AH419" s="11">
        <v>0</v>
      </c>
      <c r="AI419" s="12">
        <v>0</v>
      </c>
      <c r="AJ419" s="11">
        <v>0</v>
      </c>
      <c r="AK419" s="11">
        <v>0</v>
      </c>
      <c r="AL419" s="11">
        <v>0</v>
      </c>
      <c r="AM419" s="11">
        <v>0</v>
      </c>
      <c r="AN419" s="11">
        <v>0</v>
      </c>
      <c r="AO419" s="11">
        <v>0</v>
      </c>
      <c r="AP419" s="11">
        <v>0</v>
      </c>
      <c r="AQ419" s="11">
        <v>0</v>
      </c>
      <c r="AR419" s="11">
        <v>0</v>
      </c>
      <c r="AS419" t="s">
        <v>485</v>
      </c>
      <c r="AT419" s="4" t="str">
        <f t="shared" ref="AT419:AT423" si="88">+H419</f>
        <v>Superávit Estampilla Pro-Desarrollo</v>
      </c>
      <c r="AU419" t="str">
        <f t="shared" ref="AU419:AU431" si="89">+D419&amp;AT419&amp;J419</f>
        <v>82Superávit Estampilla Pro-Desarrollo0</v>
      </c>
      <c r="AV419" t="str">
        <f>+_xlfn.XLOOKUP(AU419,CRUCE!L:L,CRUCE!M:M)</f>
        <v>READY</v>
      </c>
      <c r="AW419" t="s">
        <v>1907</v>
      </c>
    </row>
    <row r="420" spans="1:49" hidden="1" x14ac:dyDescent="0.3">
      <c r="A420">
        <v>2024</v>
      </c>
      <c r="B420">
        <v>9</v>
      </c>
      <c r="C420">
        <v>12100200204</v>
      </c>
      <c r="D420" s="5">
        <v>98</v>
      </c>
      <c r="E420" s="8" t="s">
        <v>1013</v>
      </c>
      <c r="F420">
        <v>12100200204</v>
      </c>
      <c r="G420" t="s">
        <v>1910</v>
      </c>
      <c r="H420" s="8" t="s">
        <v>873</v>
      </c>
      <c r="I420" t="s">
        <v>1006</v>
      </c>
      <c r="J420" s="17">
        <v>0</v>
      </c>
      <c r="K420" s="11">
        <v>0</v>
      </c>
      <c r="L420" s="11">
        <v>12430406</v>
      </c>
      <c r="M420" s="11">
        <v>0</v>
      </c>
      <c r="N420" s="11">
        <v>12430406</v>
      </c>
      <c r="O420" s="11">
        <v>12430406</v>
      </c>
      <c r="P420" s="11">
        <v>0</v>
      </c>
      <c r="Q420" s="11">
        <v>12430406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2">
        <v>0</v>
      </c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2">
        <v>0</v>
      </c>
      <c r="AJ420" s="11">
        <v>0</v>
      </c>
      <c r="AK420" s="11">
        <v>0</v>
      </c>
      <c r="AL420" s="11">
        <v>0</v>
      </c>
      <c r="AM420" s="11">
        <v>0</v>
      </c>
      <c r="AN420" s="11">
        <v>0</v>
      </c>
      <c r="AO420" s="11">
        <v>0</v>
      </c>
      <c r="AP420" s="11">
        <v>0</v>
      </c>
      <c r="AQ420" s="11">
        <v>0</v>
      </c>
      <c r="AR420" s="11">
        <v>0</v>
      </c>
      <c r="AS420" t="s">
        <v>874</v>
      </c>
      <c r="AT420" s="4" t="str">
        <f t="shared" si="88"/>
        <v>Superávit SGP Salud Pública</v>
      </c>
      <c r="AU420" t="str">
        <f t="shared" si="89"/>
        <v>98Superávit SGP Salud Pública0</v>
      </c>
      <c r="AV420" t="str">
        <f>+_xlfn.XLOOKUP(AU420,CRUCE!L:L,CRUCE!M:M)</f>
        <v>READY</v>
      </c>
      <c r="AW420" t="s">
        <v>1907</v>
      </c>
    </row>
    <row r="421" spans="1:49" hidden="1" x14ac:dyDescent="0.3">
      <c r="A421">
        <v>2024</v>
      </c>
      <c r="B421">
        <v>9</v>
      </c>
      <c r="C421">
        <v>12100200205</v>
      </c>
      <c r="D421" s="5">
        <v>9</v>
      </c>
      <c r="E421" s="8" t="s">
        <v>1895</v>
      </c>
      <c r="F421">
        <v>12100200205</v>
      </c>
      <c r="G421" t="s">
        <v>1910</v>
      </c>
      <c r="H421" s="8" t="s">
        <v>624</v>
      </c>
      <c r="I421" t="s">
        <v>1006</v>
      </c>
      <c r="J421" s="17">
        <v>0</v>
      </c>
      <c r="K421" s="11">
        <v>0</v>
      </c>
      <c r="L421" s="11">
        <v>6192000</v>
      </c>
      <c r="M421" s="11">
        <v>0</v>
      </c>
      <c r="N421" s="11">
        <v>6192000</v>
      </c>
      <c r="O421" s="11">
        <v>6192000</v>
      </c>
      <c r="P421" s="11">
        <v>0</v>
      </c>
      <c r="Q421" s="11">
        <v>6192000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2">
        <v>0</v>
      </c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11">
        <v>0</v>
      </c>
      <c r="AG421" s="11">
        <v>0</v>
      </c>
      <c r="AH421" s="11">
        <v>0</v>
      </c>
      <c r="AI421" s="12">
        <v>0</v>
      </c>
      <c r="AJ421" s="11">
        <v>0</v>
      </c>
      <c r="AK421" s="11">
        <v>0</v>
      </c>
      <c r="AL421" s="11">
        <v>0</v>
      </c>
      <c r="AM421" s="11">
        <v>0</v>
      </c>
      <c r="AN421" s="11">
        <v>0</v>
      </c>
      <c r="AO421" s="11">
        <v>0</v>
      </c>
      <c r="AP421" s="11">
        <v>0</v>
      </c>
      <c r="AQ421" s="11">
        <v>0</v>
      </c>
      <c r="AR421" s="11">
        <v>0</v>
      </c>
      <c r="AS421" t="s">
        <v>625</v>
      </c>
      <c r="AT421" s="4" t="str">
        <f t="shared" si="88"/>
        <v>Superávit S.G.P. Educación</v>
      </c>
      <c r="AU421" t="str">
        <f t="shared" si="89"/>
        <v>9Superávit S.G.P. Educación0</v>
      </c>
      <c r="AV421" t="str">
        <f>+_xlfn.XLOOKUP(AU421,CRUCE!L:L,CRUCE!M:M)</f>
        <v>READY</v>
      </c>
      <c r="AW421" t="s">
        <v>1907</v>
      </c>
    </row>
    <row r="422" spans="1:49" hidden="1" x14ac:dyDescent="0.3">
      <c r="A422">
        <v>2024</v>
      </c>
      <c r="B422">
        <v>9</v>
      </c>
      <c r="C422">
        <v>12100200206</v>
      </c>
      <c r="D422" s="5">
        <v>89</v>
      </c>
      <c r="E422" s="8" t="s">
        <v>1896</v>
      </c>
      <c r="F422">
        <v>12100200206</v>
      </c>
      <c r="G422" t="s">
        <v>1910</v>
      </c>
      <c r="H422" s="8" t="s">
        <v>487</v>
      </c>
      <c r="I422" t="s">
        <v>1006</v>
      </c>
      <c r="J422" s="17">
        <v>0</v>
      </c>
      <c r="K422" s="11">
        <v>0</v>
      </c>
      <c r="L422" s="11">
        <v>647742438.41999996</v>
      </c>
      <c r="M422" s="11">
        <v>0</v>
      </c>
      <c r="N422" s="11">
        <v>647742438.41999996</v>
      </c>
      <c r="O422" s="11">
        <v>647742438.41999996</v>
      </c>
      <c r="P422" s="11">
        <v>0</v>
      </c>
      <c r="Q422" s="11">
        <v>647742438.41999996</v>
      </c>
      <c r="R422" s="11">
        <v>0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  <c r="Z422" s="12">
        <v>0</v>
      </c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11">
        <v>0</v>
      </c>
      <c r="AG422" s="11">
        <v>0</v>
      </c>
      <c r="AH422" s="11">
        <v>0</v>
      </c>
      <c r="AI422" s="12">
        <v>0</v>
      </c>
      <c r="AJ422" s="11">
        <v>0</v>
      </c>
      <c r="AK422" s="11">
        <v>0</v>
      </c>
      <c r="AL422" s="11">
        <v>0</v>
      </c>
      <c r="AM422" s="11">
        <v>0</v>
      </c>
      <c r="AN422" s="11">
        <v>0</v>
      </c>
      <c r="AO422" s="11">
        <v>0</v>
      </c>
      <c r="AP422" s="11">
        <v>0</v>
      </c>
      <c r="AQ422" s="11">
        <v>0</v>
      </c>
      <c r="AR422" s="11">
        <v>0</v>
      </c>
      <c r="AS422" t="s">
        <v>488</v>
      </c>
      <c r="AT422" s="4" t="str">
        <f t="shared" si="88"/>
        <v xml:space="preserve">Superávit Sobretasa ACPM  </v>
      </c>
      <c r="AU422" t="str">
        <f t="shared" si="89"/>
        <v>89Superávit Sobretasa ACPM  0</v>
      </c>
      <c r="AV422" t="str">
        <f>+_xlfn.XLOOKUP(AU422,CRUCE!L:L,CRUCE!M:M)</f>
        <v>READY</v>
      </c>
      <c r="AW422" t="s">
        <v>1907</v>
      </c>
    </row>
    <row r="423" spans="1:49" hidden="1" x14ac:dyDescent="0.3">
      <c r="A423">
        <v>2024</v>
      </c>
      <c r="B423">
        <v>9</v>
      </c>
      <c r="C423">
        <v>12100200207</v>
      </c>
      <c r="D423" s="5">
        <v>91</v>
      </c>
      <c r="E423" s="8" t="s">
        <v>1014</v>
      </c>
      <c r="F423">
        <v>12100200207</v>
      </c>
      <c r="G423" t="s">
        <v>1910</v>
      </c>
      <c r="H423" s="8" t="s">
        <v>490</v>
      </c>
      <c r="I423" t="s">
        <v>1006</v>
      </c>
      <c r="J423" s="17">
        <v>0</v>
      </c>
      <c r="K423" s="11">
        <v>0</v>
      </c>
      <c r="L423" s="11">
        <v>334763132.37</v>
      </c>
      <c r="M423" s="11">
        <v>0</v>
      </c>
      <c r="N423" s="11">
        <v>334763132.37</v>
      </c>
      <c r="O423" s="11">
        <v>334763132.37</v>
      </c>
      <c r="P423" s="11">
        <v>0</v>
      </c>
      <c r="Q423" s="11">
        <v>334763132.37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  <c r="Z423" s="12">
        <v>0</v>
      </c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11">
        <v>0</v>
      </c>
      <c r="AI423" s="12">
        <v>0</v>
      </c>
      <c r="AJ423" s="11">
        <v>0</v>
      </c>
      <c r="AK423" s="11">
        <v>0</v>
      </c>
      <c r="AL423" s="11">
        <v>0</v>
      </c>
      <c r="AM423" s="11">
        <v>0</v>
      </c>
      <c r="AN423" s="11">
        <v>0</v>
      </c>
      <c r="AO423" s="11">
        <v>0</v>
      </c>
      <c r="AP423" s="11">
        <v>0</v>
      </c>
      <c r="AQ423" s="11">
        <v>0</v>
      </c>
      <c r="AR423" s="11">
        <v>0</v>
      </c>
      <c r="AS423" t="s">
        <v>491</v>
      </c>
      <c r="AT423" s="4" t="str">
        <f t="shared" si="88"/>
        <v xml:space="preserve">Superávit Recurso Destinado del Monopolio </v>
      </c>
      <c r="AU423" t="str">
        <f t="shared" si="89"/>
        <v>91Superávit Recurso Destinado del Monopolio 0</v>
      </c>
      <c r="AV423" t="str">
        <f>+_xlfn.XLOOKUP(AU423,CRUCE!L:L,CRUCE!M:M)</f>
        <v>READY</v>
      </c>
      <c r="AW423" t="s">
        <v>1907</v>
      </c>
    </row>
    <row r="424" spans="1:49" hidden="1" x14ac:dyDescent="0.3">
      <c r="A424">
        <v>2024</v>
      </c>
      <c r="B424">
        <v>9</v>
      </c>
      <c r="C424">
        <v>12100200218</v>
      </c>
      <c r="D424" s="5">
        <v>157</v>
      </c>
      <c r="E424" s="8" t="s">
        <v>1897</v>
      </c>
      <c r="F424">
        <v>12100200218</v>
      </c>
      <c r="G424" t="s">
        <v>1910</v>
      </c>
      <c r="H424" s="8" t="s">
        <v>499</v>
      </c>
      <c r="I424" t="s">
        <v>1006</v>
      </c>
      <c r="J424" s="17">
        <v>0</v>
      </c>
      <c r="K424" s="11">
        <v>0</v>
      </c>
      <c r="L424" s="11">
        <v>7929562709.9899998</v>
      </c>
      <c r="M424" s="11">
        <v>0</v>
      </c>
      <c r="N424" s="11">
        <v>7929562709.9899998</v>
      </c>
      <c r="O424" s="11">
        <v>7929562709.9899998</v>
      </c>
      <c r="P424" s="11">
        <v>0</v>
      </c>
      <c r="Q424" s="11">
        <v>7929562709.9899998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2085085978</v>
      </c>
      <c r="Y424" s="11">
        <v>0</v>
      </c>
      <c r="Z424" s="12">
        <v>2085085978</v>
      </c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11">
        <v>0</v>
      </c>
      <c r="AG424" s="11">
        <v>2085085978</v>
      </c>
      <c r="AH424" s="11">
        <v>0</v>
      </c>
      <c r="AI424" s="12">
        <v>2085085978</v>
      </c>
      <c r="AJ424" s="11">
        <v>2085085978</v>
      </c>
      <c r="AK424" s="11">
        <v>0</v>
      </c>
      <c r="AL424" s="11">
        <v>0</v>
      </c>
      <c r="AM424" s="11">
        <v>2085085978</v>
      </c>
      <c r="AN424" s="11">
        <v>2085085978</v>
      </c>
      <c r="AO424" s="11">
        <v>0</v>
      </c>
      <c r="AP424" s="11">
        <v>2085085978</v>
      </c>
      <c r="AQ424" s="11">
        <v>0</v>
      </c>
      <c r="AR424" s="11">
        <v>0</v>
      </c>
      <c r="AS424" t="s">
        <v>1001</v>
      </c>
      <c r="AT424" s="4" t="s">
        <v>1000</v>
      </c>
      <c r="AU424" t="str">
        <f t="shared" si="89"/>
        <v>157Superávit Recursos del Crédito0</v>
      </c>
      <c r="AV424" t="str">
        <f>+_xlfn.XLOOKUP(AU424,CRUCE!L:L,CRUCE!M:M)</f>
        <v>READY</v>
      </c>
      <c r="AW424" t="s">
        <v>1907</v>
      </c>
    </row>
    <row r="425" spans="1:49" hidden="1" x14ac:dyDescent="0.3">
      <c r="A425">
        <v>2024</v>
      </c>
      <c r="B425">
        <v>9</v>
      </c>
      <c r="C425">
        <v>12100200221</v>
      </c>
      <c r="D425" s="5">
        <v>95</v>
      </c>
      <c r="E425" s="8" t="s">
        <v>1898</v>
      </c>
      <c r="F425">
        <v>12100200221</v>
      </c>
      <c r="G425" t="s">
        <v>1910</v>
      </c>
      <c r="H425" s="8" t="s">
        <v>1166</v>
      </c>
      <c r="I425" t="s">
        <v>1006</v>
      </c>
      <c r="J425" s="17">
        <v>0</v>
      </c>
      <c r="K425" s="11">
        <v>0</v>
      </c>
      <c r="L425" s="11">
        <v>291095533.24000001</v>
      </c>
      <c r="M425" s="11">
        <v>0</v>
      </c>
      <c r="N425" s="11">
        <v>291095533.24000001</v>
      </c>
      <c r="O425" s="11">
        <v>291095533.24000001</v>
      </c>
      <c r="P425" s="11">
        <v>0</v>
      </c>
      <c r="Q425" s="11">
        <v>291095533.24000001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2">
        <v>0</v>
      </c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2">
        <v>0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t="s">
        <v>509</v>
      </c>
      <c r="AT425" s="4" t="str">
        <f t="shared" ref="AT425:AT430" si="90">+H425</f>
        <v xml:space="preserve">Superavít Convenios Interadministrativos </v>
      </c>
      <c r="AU425" t="str">
        <f t="shared" si="89"/>
        <v>95Superavít Convenios Interadministrativos 0</v>
      </c>
      <c r="AV425" t="str">
        <f>+_xlfn.XLOOKUP(AU425,CRUCE!L:L,CRUCE!M:M)</f>
        <v>READY</v>
      </c>
      <c r="AW425" t="s">
        <v>1907</v>
      </c>
    </row>
    <row r="426" spans="1:49" hidden="1" x14ac:dyDescent="0.3">
      <c r="A426">
        <v>2024</v>
      </c>
      <c r="B426">
        <v>9</v>
      </c>
      <c r="C426">
        <v>12100200226</v>
      </c>
      <c r="D426" s="5">
        <v>199</v>
      </c>
      <c r="E426" s="8" t="s">
        <v>1899</v>
      </c>
      <c r="F426">
        <v>12100200226</v>
      </c>
      <c r="G426" t="s">
        <v>1910</v>
      </c>
      <c r="H426" s="8" t="s">
        <v>884</v>
      </c>
      <c r="I426" t="s">
        <v>1006</v>
      </c>
      <c r="J426" s="17">
        <v>0</v>
      </c>
      <c r="K426" s="11">
        <v>0</v>
      </c>
      <c r="L426" s="11">
        <v>9500000</v>
      </c>
      <c r="M426" s="11">
        <v>0</v>
      </c>
      <c r="N426" s="11">
        <v>9500000</v>
      </c>
      <c r="O426" s="11">
        <v>9500000</v>
      </c>
      <c r="P426" s="11">
        <v>0</v>
      </c>
      <c r="Q426" s="11">
        <v>9500000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12">
        <v>0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2">
        <v>0</v>
      </c>
      <c r="AJ426" s="11">
        <v>0</v>
      </c>
      <c r="AK426" s="11">
        <v>0</v>
      </c>
      <c r="AL426" s="11">
        <v>0</v>
      </c>
      <c r="AM426" s="11">
        <v>0</v>
      </c>
      <c r="AN426" s="11">
        <v>0</v>
      </c>
      <c r="AO426" s="11">
        <v>0</v>
      </c>
      <c r="AP426" s="11">
        <v>0</v>
      </c>
      <c r="AQ426" s="11">
        <v>0</v>
      </c>
      <c r="AR426" s="11">
        <v>0</v>
      </c>
      <c r="AS426" t="s">
        <v>885</v>
      </c>
      <c r="AT426" s="4" t="str">
        <f t="shared" si="90"/>
        <v>Superávit Rentas Cedidas Subcuenta Otros Gastos en Salud</v>
      </c>
      <c r="AU426" t="str">
        <f t="shared" si="89"/>
        <v>199Superávit Rentas Cedidas Subcuenta Otros Gastos en Salud0</v>
      </c>
      <c r="AV426" t="str">
        <f>+_xlfn.XLOOKUP(AU426,CRUCE!L:L,CRUCE!M:M)</f>
        <v>READY</v>
      </c>
      <c r="AW426" t="s">
        <v>1907</v>
      </c>
    </row>
    <row r="427" spans="1:49" hidden="1" x14ac:dyDescent="0.3">
      <c r="A427">
        <v>2024</v>
      </c>
      <c r="B427">
        <v>9</v>
      </c>
      <c r="C427">
        <v>12100200241</v>
      </c>
      <c r="D427" s="5">
        <v>206</v>
      </c>
      <c r="E427" s="8" t="s">
        <v>1314</v>
      </c>
      <c r="F427">
        <v>12100200241</v>
      </c>
      <c r="G427" t="s">
        <v>1910</v>
      </c>
      <c r="H427" s="8" t="s">
        <v>1315</v>
      </c>
      <c r="I427" t="s">
        <v>1006</v>
      </c>
      <c r="J427" s="17">
        <v>0</v>
      </c>
      <c r="K427" s="11">
        <v>0</v>
      </c>
      <c r="L427" s="11">
        <v>521692572</v>
      </c>
      <c r="M427" s="11">
        <v>0</v>
      </c>
      <c r="N427" s="11">
        <v>521692572</v>
      </c>
      <c r="O427" s="11">
        <v>521692572</v>
      </c>
      <c r="P427" s="11">
        <v>0</v>
      </c>
      <c r="Q427" s="11">
        <v>521692572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  <c r="Z427" s="12">
        <v>0</v>
      </c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11">
        <v>0</v>
      </c>
      <c r="AG427" s="11">
        <v>0</v>
      </c>
      <c r="AH427" s="11">
        <v>0</v>
      </c>
      <c r="AI427" s="12">
        <v>0</v>
      </c>
      <c r="AJ427" s="11">
        <v>0</v>
      </c>
      <c r="AK427" s="11">
        <v>0</v>
      </c>
      <c r="AL427" s="11">
        <v>0</v>
      </c>
      <c r="AM427" s="11">
        <v>0</v>
      </c>
      <c r="AN427" s="11">
        <v>0</v>
      </c>
      <c r="AO427" s="11">
        <v>0</v>
      </c>
      <c r="AP427" s="11">
        <v>0</v>
      </c>
      <c r="AQ427" s="11">
        <v>0</v>
      </c>
      <c r="AR427" s="11">
        <v>0</v>
      </c>
      <c r="AS427" t="s">
        <v>1316</v>
      </c>
      <c r="AT427" s="4" t="str">
        <f t="shared" si="90"/>
        <v>Superávit Resoluciones Programa Inimputables</v>
      </c>
      <c r="AU427" t="str">
        <f t="shared" si="89"/>
        <v>206Superávit Resoluciones Programa Inimputables0</v>
      </c>
      <c r="AV427" t="str">
        <f>+_xlfn.XLOOKUP(AU427,CRUCE!L:L,CRUCE!M:M)</f>
        <v>READY</v>
      </c>
      <c r="AW427" t="s">
        <v>1907</v>
      </c>
    </row>
    <row r="428" spans="1:49" hidden="1" x14ac:dyDescent="0.3">
      <c r="A428">
        <v>2024</v>
      </c>
      <c r="B428">
        <v>9</v>
      </c>
      <c r="C428">
        <v>12100200258</v>
      </c>
      <c r="D428" s="5">
        <v>227</v>
      </c>
      <c r="E428" s="8" t="s">
        <v>1900</v>
      </c>
      <c r="F428">
        <v>12100200258</v>
      </c>
      <c r="G428" t="s">
        <v>1910</v>
      </c>
      <c r="H428" s="8" t="s">
        <v>1389</v>
      </c>
      <c r="I428" t="s">
        <v>1006</v>
      </c>
      <c r="J428" s="17">
        <v>0</v>
      </c>
      <c r="K428" s="11">
        <v>0</v>
      </c>
      <c r="L428" s="11">
        <v>12152781882</v>
      </c>
      <c r="M428" s="11">
        <v>0</v>
      </c>
      <c r="N428" s="11">
        <v>12152781882</v>
      </c>
      <c r="O428" s="11">
        <v>12152781882</v>
      </c>
      <c r="P428" s="11">
        <v>0</v>
      </c>
      <c r="Q428" s="11">
        <v>12152781882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2">
        <v>0</v>
      </c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11">
        <v>0</v>
      </c>
      <c r="AG428" s="11">
        <v>0</v>
      </c>
      <c r="AH428" s="11">
        <v>0</v>
      </c>
      <c r="AI428" s="12">
        <v>0</v>
      </c>
      <c r="AJ428" s="11">
        <v>0</v>
      </c>
      <c r="AK428" s="11">
        <v>0</v>
      </c>
      <c r="AL428" s="11">
        <v>0</v>
      </c>
      <c r="AM428" s="11">
        <v>0</v>
      </c>
      <c r="AN428" s="11">
        <v>0</v>
      </c>
      <c r="AO428" s="11">
        <v>0</v>
      </c>
      <c r="AP428" s="11">
        <v>0</v>
      </c>
      <c r="AQ428" s="11">
        <v>0</v>
      </c>
      <c r="AR428" s="11">
        <v>0</v>
      </c>
      <c r="AS428" t="s">
        <v>1390</v>
      </c>
      <c r="AT428" s="4" t="str">
        <f t="shared" si="90"/>
        <v>Superávit Convenio Invias 1274/22 Puntos Críticos</v>
      </c>
      <c r="AU428" t="str">
        <f t="shared" si="89"/>
        <v>227Superávit Convenio Invias 1274/22 Puntos Críticos0</v>
      </c>
      <c r="AV428" t="str">
        <f>+_xlfn.XLOOKUP(AU428,CRUCE!L:L,CRUCE!M:M)</f>
        <v>READY</v>
      </c>
      <c r="AW428" t="s">
        <v>1907</v>
      </c>
    </row>
    <row r="429" spans="1:49" hidden="1" x14ac:dyDescent="0.3">
      <c r="A429">
        <v>2024</v>
      </c>
      <c r="B429">
        <v>9</v>
      </c>
      <c r="C429">
        <v>12100200260</v>
      </c>
      <c r="D429" s="5">
        <v>230</v>
      </c>
      <c r="E429" s="8" t="s">
        <v>1901</v>
      </c>
      <c r="F429">
        <v>12100200260</v>
      </c>
      <c r="G429" t="s">
        <v>1910</v>
      </c>
      <c r="H429" s="8" t="s">
        <v>1395</v>
      </c>
      <c r="I429" t="s">
        <v>1006</v>
      </c>
      <c r="J429" s="17">
        <v>0</v>
      </c>
      <c r="K429" s="11">
        <v>0</v>
      </c>
      <c r="L429" s="11">
        <v>6550576969</v>
      </c>
      <c r="M429" s="11">
        <v>0</v>
      </c>
      <c r="N429" s="11">
        <v>6550576969</v>
      </c>
      <c r="O429" s="11">
        <v>6550576969</v>
      </c>
      <c r="P429" s="11">
        <v>0</v>
      </c>
      <c r="Q429" s="11">
        <v>6550576969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  <c r="Z429" s="12">
        <v>0</v>
      </c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2">
        <v>0</v>
      </c>
      <c r="AJ429" s="11">
        <v>0</v>
      </c>
      <c r="AK429" s="11">
        <v>0</v>
      </c>
      <c r="AL429" s="11">
        <v>0</v>
      </c>
      <c r="AM429" s="11">
        <v>0</v>
      </c>
      <c r="AN429" s="11">
        <v>0</v>
      </c>
      <c r="AO429" s="11">
        <v>0</v>
      </c>
      <c r="AP429" s="11">
        <v>0</v>
      </c>
      <c r="AQ429" s="11">
        <v>0</v>
      </c>
      <c r="AR429" s="11">
        <v>0</v>
      </c>
      <c r="AS429" t="s">
        <v>1396</v>
      </c>
      <c r="AT429" s="4" t="str">
        <f t="shared" si="90"/>
        <v>Superávit Resolucion 1293 de 2022 Minsalud Laboratorio de Salud Pública</v>
      </c>
      <c r="AU429" t="str">
        <f t="shared" si="89"/>
        <v>230Superávit Resolucion 1293 de 2022 Minsalud Laboratorio de Salud Pública0</v>
      </c>
      <c r="AV429" t="str">
        <f>+_xlfn.XLOOKUP(AU429,CRUCE!L:L,CRUCE!M:M)</f>
        <v>READY</v>
      </c>
      <c r="AW429" t="s">
        <v>1907</v>
      </c>
    </row>
    <row r="430" spans="1:49" hidden="1" x14ac:dyDescent="0.3">
      <c r="A430">
        <v>2024</v>
      </c>
      <c r="B430">
        <v>9</v>
      </c>
      <c r="C430">
        <v>12100200261</v>
      </c>
      <c r="D430" s="5">
        <v>229</v>
      </c>
      <c r="E430" s="8" t="s">
        <v>1902</v>
      </c>
      <c r="F430">
        <v>12100200261</v>
      </c>
      <c r="G430" t="s">
        <v>1910</v>
      </c>
      <c r="H430" s="8" t="s">
        <v>1398</v>
      </c>
      <c r="I430" t="s">
        <v>1006</v>
      </c>
      <c r="J430" s="17">
        <v>0</v>
      </c>
      <c r="K430" s="11">
        <v>0</v>
      </c>
      <c r="L430" s="11">
        <v>190392852</v>
      </c>
      <c r="M430" s="11">
        <v>0</v>
      </c>
      <c r="N430" s="11">
        <v>190392852</v>
      </c>
      <c r="O430" s="11">
        <v>190392852</v>
      </c>
      <c r="P430" s="11">
        <v>0</v>
      </c>
      <c r="Q430" s="11">
        <v>190392852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2">
        <v>0</v>
      </c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2">
        <v>0</v>
      </c>
      <c r="AJ430" s="11">
        <v>0</v>
      </c>
      <c r="AK430" s="11">
        <v>0</v>
      </c>
      <c r="AL430" s="11">
        <v>0</v>
      </c>
      <c r="AM430" s="11">
        <v>0</v>
      </c>
      <c r="AN430" s="11">
        <v>0</v>
      </c>
      <c r="AO430" s="11">
        <v>0</v>
      </c>
      <c r="AP430" s="11">
        <v>0</v>
      </c>
      <c r="AQ430" s="11">
        <v>0</v>
      </c>
      <c r="AR430" s="11">
        <v>0</v>
      </c>
      <c r="AS430" t="s">
        <v>1399</v>
      </c>
      <c r="AT430" s="4" t="str">
        <f t="shared" si="90"/>
        <v>Superávit convenio Invias 1645 de 2021 Salento Arrayanel</v>
      </c>
      <c r="AU430" t="str">
        <f t="shared" si="89"/>
        <v>229Superávit convenio Invias 1645 de 2021 Salento Arrayanel0</v>
      </c>
      <c r="AV430" t="str">
        <f>+_xlfn.XLOOKUP(AU430,CRUCE!L:L,CRUCE!M:M)</f>
        <v>READY</v>
      </c>
      <c r="AW430" t="s">
        <v>1907</v>
      </c>
    </row>
    <row r="431" spans="1:49" hidden="1" x14ac:dyDescent="0.3">
      <c r="A431">
        <v>2024</v>
      </c>
      <c r="B431">
        <v>9</v>
      </c>
      <c r="C431">
        <v>12100200268</v>
      </c>
      <c r="D431" s="5">
        <v>256</v>
      </c>
      <c r="E431" s="8" t="s">
        <v>1903</v>
      </c>
      <c r="F431">
        <v>12100200268</v>
      </c>
      <c r="G431" t="s">
        <v>1910</v>
      </c>
      <c r="H431" s="8" t="s">
        <v>1705</v>
      </c>
      <c r="I431" t="s">
        <v>1006</v>
      </c>
      <c r="J431" s="17">
        <v>0</v>
      </c>
      <c r="K431" s="11">
        <v>0</v>
      </c>
      <c r="L431" s="11">
        <v>6625222</v>
      </c>
      <c r="M431" s="11">
        <v>0</v>
      </c>
      <c r="N431" s="11">
        <v>6625222</v>
      </c>
      <c r="O431" s="11">
        <v>6625222</v>
      </c>
      <c r="P431" s="11">
        <v>0</v>
      </c>
      <c r="Q431" s="11">
        <v>6625222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2">
        <v>0</v>
      </c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2">
        <v>0</v>
      </c>
      <c r="AJ431" s="11">
        <v>0</v>
      </c>
      <c r="AK431" s="11">
        <v>0</v>
      </c>
      <c r="AL431" s="11">
        <v>0</v>
      </c>
      <c r="AM431" s="11">
        <v>0</v>
      </c>
      <c r="AN431" s="11">
        <v>0</v>
      </c>
      <c r="AO431" s="11">
        <v>0</v>
      </c>
      <c r="AP431" s="11">
        <v>0</v>
      </c>
      <c r="AQ431" s="11">
        <v>0</v>
      </c>
      <c r="AR431" s="11">
        <v>0</v>
      </c>
      <c r="AS431" t="s">
        <v>1904</v>
      </c>
      <c r="AT431" s="4" t="str">
        <f>+H431</f>
        <v xml:space="preserve">SUPERAVIT CONVENIO 047/22 RESGUARDO INDIGENA KARABIJUA </v>
      </c>
      <c r="AU431" t="str">
        <f t="shared" si="89"/>
        <v>256SUPERAVIT CONVENIO 047/22 RESGUARDO INDIGENA KARABIJUA 0</v>
      </c>
      <c r="AV431" t="str">
        <f>+_xlfn.XLOOKUP(AU431,CRUCE!L:L,CRUCE!M:M)</f>
        <v>READY</v>
      </c>
      <c r="AW431" t="s">
        <v>1907</v>
      </c>
    </row>
    <row r="432" spans="1:49" x14ac:dyDescent="0.3">
      <c r="J432" s="17">
        <f>SUBTOTAL(9,J2:J431)</f>
        <v>130220175000.00998</v>
      </c>
    </row>
    <row r="491" spans="5:5" x14ac:dyDescent="0.3">
      <c r="E491" s="14"/>
    </row>
    <row r="492" spans="5:5" x14ac:dyDescent="0.3">
      <c r="E492" s="14"/>
    </row>
    <row r="531" spans="5:5" x14ac:dyDescent="0.3">
      <c r="E531" s="14"/>
    </row>
    <row r="539" spans="5:5" x14ac:dyDescent="0.3">
      <c r="E539" s="14"/>
    </row>
    <row r="540" spans="5:5" x14ac:dyDescent="0.3">
      <c r="E540" s="14"/>
    </row>
    <row r="550" spans="5:5" x14ac:dyDescent="0.3">
      <c r="E550" s="14"/>
    </row>
    <row r="551" spans="5:5" x14ac:dyDescent="0.3">
      <c r="E551" s="14"/>
    </row>
  </sheetData>
  <autoFilter ref="A1:AW431" xr:uid="{2E225A11-D006-483F-A784-8943F12DB7BC}">
    <filterColumn colId="3">
      <filters>
        <filter val="2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DDC7B-F844-4F5F-8D3E-553F4F78BB2B}">
  <dimension ref="A1:G180"/>
  <sheetViews>
    <sheetView workbookViewId="0">
      <pane xSplit="3" ySplit="1" topLeftCell="D112" activePane="bottomRight" state="frozen"/>
      <selection pane="topRight" activeCell="D1" sqref="D1"/>
      <selection pane="bottomLeft" activeCell="A2" sqref="A2"/>
      <selection pane="bottomRight" activeCell="B119" sqref="B119"/>
    </sheetView>
  </sheetViews>
  <sheetFormatPr baseColWidth="10" defaultRowHeight="14.4" x14ac:dyDescent="0.3"/>
  <cols>
    <col min="1" max="1" width="13.33203125" bestFit="1" customWidth="1"/>
    <col min="2" max="2" width="57.5546875" customWidth="1"/>
    <col min="3" max="3" width="4.109375" customWidth="1"/>
    <col min="4" max="4" width="24.77734375" customWidth="1"/>
    <col min="5" max="5" width="21.6640625" customWidth="1"/>
    <col min="6" max="6" width="22.77734375" customWidth="1"/>
    <col min="7" max="7" width="21.33203125" customWidth="1"/>
  </cols>
  <sheetData>
    <row r="1" spans="1:7" x14ac:dyDescent="0.3">
      <c r="A1" s="16" t="s">
        <v>3</v>
      </c>
      <c r="B1" s="2" t="s">
        <v>43</v>
      </c>
      <c r="D1" s="3">
        <v>2021</v>
      </c>
      <c r="E1" s="3">
        <v>2022</v>
      </c>
      <c r="F1" s="3">
        <v>2023</v>
      </c>
      <c r="G1" s="3">
        <v>2024</v>
      </c>
    </row>
    <row r="2" spans="1:7" ht="27.6" x14ac:dyDescent="0.3">
      <c r="A2" s="10">
        <v>1</v>
      </c>
      <c r="B2" s="18" t="s">
        <v>64</v>
      </c>
      <c r="C2">
        <f t="shared" ref="C2:C33" si="0">+COUNTIF(A:A,A2)</f>
        <v>1</v>
      </c>
      <c r="D2" s="15" t="s">
        <v>64</v>
      </c>
      <c r="E2" s="15" t="s">
        <v>64</v>
      </c>
      <c r="F2" s="15" t="s">
        <v>64</v>
      </c>
      <c r="G2" s="15" t="s">
        <v>64</v>
      </c>
    </row>
    <row r="3" spans="1:7" ht="27.6" x14ac:dyDescent="0.3">
      <c r="A3" s="10">
        <v>4</v>
      </c>
      <c r="B3" s="18" t="s">
        <v>125</v>
      </c>
      <c r="C3">
        <f t="shared" si="0"/>
        <v>1</v>
      </c>
      <c r="D3" s="15" t="s">
        <v>125</v>
      </c>
      <c r="E3" s="15" t="s">
        <v>125</v>
      </c>
      <c r="F3" s="15" t="s">
        <v>125</v>
      </c>
      <c r="G3" s="15" t="s">
        <v>125</v>
      </c>
    </row>
    <row r="4" spans="1:7" ht="27.6" x14ac:dyDescent="0.3">
      <c r="A4" s="10">
        <v>5</v>
      </c>
      <c r="B4" s="18" t="s">
        <v>135</v>
      </c>
      <c r="C4">
        <f t="shared" si="0"/>
        <v>1</v>
      </c>
      <c r="D4" s="15" t="s">
        <v>135</v>
      </c>
      <c r="E4" s="15" t="s">
        <v>135</v>
      </c>
      <c r="F4" s="15" t="s">
        <v>135</v>
      </c>
      <c r="G4" s="15" t="s">
        <v>135</v>
      </c>
    </row>
    <row r="5" spans="1:7" ht="27.6" x14ac:dyDescent="0.3">
      <c r="A5" s="10">
        <v>6</v>
      </c>
      <c r="B5" s="18" t="s">
        <v>120</v>
      </c>
      <c r="C5">
        <f t="shared" si="0"/>
        <v>1</v>
      </c>
      <c r="D5" s="15" t="s">
        <v>120</v>
      </c>
      <c r="E5" s="15" t="s">
        <v>120</v>
      </c>
      <c r="F5" s="15" t="s">
        <v>120</v>
      </c>
      <c r="G5" s="15" t="s">
        <v>120</v>
      </c>
    </row>
    <row r="6" spans="1:7" ht="27.6" x14ac:dyDescent="0.3">
      <c r="A6" s="10">
        <v>7</v>
      </c>
      <c r="B6" s="18" t="s">
        <v>1323</v>
      </c>
      <c r="C6">
        <f t="shared" si="0"/>
        <v>1</v>
      </c>
      <c r="D6" s="15" t="e">
        <v>#N/A</v>
      </c>
      <c r="E6" s="15" t="e">
        <v>#N/A</v>
      </c>
      <c r="F6" s="15" t="s">
        <v>1323</v>
      </c>
      <c r="G6" s="15" t="e">
        <v>#N/A</v>
      </c>
    </row>
    <row r="7" spans="1:7" ht="41.4" x14ac:dyDescent="0.3">
      <c r="A7" s="10">
        <v>8</v>
      </c>
      <c r="B7" s="18" t="s">
        <v>132</v>
      </c>
      <c r="C7">
        <f t="shared" si="0"/>
        <v>1</v>
      </c>
      <c r="D7" s="15" t="s">
        <v>132</v>
      </c>
      <c r="E7" s="15" t="e">
        <v>#N/A</v>
      </c>
      <c r="F7" s="15" t="s">
        <v>132</v>
      </c>
      <c r="G7" s="15" t="s">
        <v>132</v>
      </c>
    </row>
    <row r="8" spans="1:7" ht="27.6" x14ac:dyDescent="0.3">
      <c r="A8" s="10">
        <v>9</v>
      </c>
      <c r="B8" s="18" t="s">
        <v>625</v>
      </c>
      <c r="C8">
        <f t="shared" si="0"/>
        <v>1</v>
      </c>
      <c r="D8" s="15" t="s">
        <v>625</v>
      </c>
      <c r="E8" s="15" t="s">
        <v>625</v>
      </c>
      <c r="F8" s="15" t="s">
        <v>625</v>
      </c>
      <c r="G8" s="15" t="s">
        <v>625</v>
      </c>
    </row>
    <row r="9" spans="1:7" ht="41.4" x14ac:dyDescent="0.3">
      <c r="A9" s="10">
        <v>13</v>
      </c>
      <c r="B9" s="18" t="s">
        <v>66</v>
      </c>
      <c r="C9">
        <f t="shared" si="0"/>
        <v>1</v>
      </c>
      <c r="D9" s="15" t="s">
        <v>66</v>
      </c>
      <c r="E9" s="15" t="s">
        <v>66</v>
      </c>
      <c r="F9" s="15" t="s">
        <v>66</v>
      </c>
      <c r="G9" s="15" t="s">
        <v>66</v>
      </c>
    </row>
    <row r="10" spans="1:7" ht="27.6" x14ac:dyDescent="0.3">
      <c r="A10" s="10">
        <v>18</v>
      </c>
      <c r="B10" s="18" t="s">
        <v>158</v>
      </c>
      <c r="C10">
        <f t="shared" si="0"/>
        <v>1</v>
      </c>
      <c r="D10" s="15" t="s">
        <v>158</v>
      </c>
      <c r="E10" s="15" t="s">
        <v>158</v>
      </c>
      <c r="F10" s="15" t="s">
        <v>158</v>
      </c>
      <c r="G10" s="15" t="s">
        <v>158</v>
      </c>
    </row>
    <row r="11" spans="1:7" x14ac:dyDescent="0.3">
      <c r="A11" s="10">
        <v>20</v>
      </c>
      <c r="B11" s="18" t="s">
        <v>57</v>
      </c>
      <c r="C11">
        <f t="shared" si="0"/>
        <v>1</v>
      </c>
      <c r="D11" s="15" t="s">
        <v>57</v>
      </c>
      <c r="E11" s="15" t="s">
        <v>57</v>
      </c>
      <c r="F11" s="15" t="s">
        <v>57</v>
      </c>
      <c r="G11" s="15" t="s">
        <v>57</v>
      </c>
    </row>
    <row r="12" spans="1:7" ht="41.4" x14ac:dyDescent="0.3">
      <c r="A12" s="10">
        <v>21</v>
      </c>
      <c r="B12" s="18" t="s">
        <v>609</v>
      </c>
      <c r="C12">
        <f t="shared" si="0"/>
        <v>1</v>
      </c>
      <c r="D12" s="15" t="s">
        <v>609</v>
      </c>
      <c r="E12" s="15" t="s">
        <v>609</v>
      </c>
      <c r="F12" s="15" t="s">
        <v>609</v>
      </c>
      <c r="G12" s="15" t="s">
        <v>609</v>
      </c>
    </row>
    <row r="13" spans="1:7" x14ac:dyDescent="0.3">
      <c r="A13" s="10">
        <v>23</v>
      </c>
      <c r="B13" s="18" t="s">
        <v>1076</v>
      </c>
      <c r="C13">
        <f t="shared" si="0"/>
        <v>1</v>
      </c>
      <c r="D13" s="15" t="e">
        <v>#N/A</v>
      </c>
      <c r="E13" s="15" t="s">
        <v>1076</v>
      </c>
      <c r="F13" s="15" t="s">
        <v>1076</v>
      </c>
      <c r="G13" s="15" t="s">
        <v>1076</v>
      </c>
    </row>
    <row r="14" spans="1:7" ht="41.4" x14ac:dyDescent="0.3">
      <c r="A14" s="10">
        <v>25</v>
      </c>
      <c r="B14" s="18" t="s">
        <v>567</v>
      </c>
      <c r="C14">
        <f t="shared" si="0"/>
        <v>1</v>
      </c>
      <c r="D14" s="15" t="s">
        <v>567</v>
      </c>
      <c r="E14" s="15" t="s">
        <v>567</v>
      </c>
      <c r="F14" s="15" t="s">
        <v>567</v>
      </c>
      <c r="G14" s="15" t="s">
        <v>567</v>
      </c>
    </row>
    <row r="15" spans="1:7" ht="41.4" x14ac:dyDescent="0.3">
      <c r="A15" s="10">
        <v>26</v>
      </c>
      <c r="B15" s="18" t="s">
        <v>569</v>
      </c>
      <c r="C15">
        <f t="shared" si="0"/>
        <v>1</v>
      </c>
      <c r="D15" s="15" t="s">
        <v>569</v>
      </c>
      <c r="E15" s="15" t="s">
        <v>569</v>
      </c>
      <c r="F15" s="15" t="s">
        <v>569</v>
      </c>
      <c r="G15" s="15" t="s">
        <v>569</v>
      </c>
    </row>
    <row r="16" spans="1:7" ht="41.4" x14ac:dyDescent="0.3">
      <c r="A16" s="10">
        <v>27</v>
      </c>
      <c r="B16" s="18" t="s">
        <v>247</v>
      </c>
      <c r="C16">
        <f t="shared" si="0"/>
        <v>1</v>
      </c>
      <c r="D16" s="15" t="s">
        <v>247</v>
      </c>
      <c r="E16" s="15" t="s">
        <v>247</v>
      </c>
      <c r="F16" s="15" t="s">
        <v>247</v>
      </c>
      <c r="G16" s="15" t="s">
        <v>247</v>
      </c>
    </row>
    <row r="17" spans="1:7" ht="41.4" x14ac:dyDescent="0.3">
      <c r="A17" s="10">
        <v>33</v>
      </c>
      <c r="B17" s="18" t="s">
        <v>137</v>
      </c>
      <c r="C17">
        <f t="shared" si="0"/>
        <v>1</v>
      </c>
      <c r="D17" s="15" t="s">
        <v>137</v>
      </c>
      <c r="E17" s="15" t="s">
        <v>137</v>
      </c>
      <c r="F17" s="15" t="s">
        <v>137</v>
      </c>
      <c r="G17" s="15" t="s">
        <v>137</v>
      </c>
    </row>
    <row r="18" spans="1:7" ht="41.4" x14ac:dyDescent="0.3">
      <c r="A18" s="10">
        <v>34</v>
      </c>
      <c r="B18" s="18" t="s">
        <v>139</v>
      </c>
      <c r="C18">
        <f t="shared" si="0"/>
        <v>1</v>
      </c>
      <c r="D18" s="15" t="s">
        <v>139</v>
      </c>
      <c r="E18" s="15" t="s">
        <v>139</v>
      </c>
      <c r="F18" s="15" t="s">
        <v>139</v>
      </c>
      <c r="G18" s="15" t="s">
        <v>139</v>
      </c>
    </row>
    <row r="19" spans="1:7" ht="27.6" x14ac:dyDescent="0.3">
      <c r="A19" s="10">
        <v>35</v>
      </c>
      <c r="B19" s="18" t="s">
        <v>365</v>
      </c>
      <c r="C19">
        <f t="shared" si="0"/>
        <v>1</v>
      </c>
      <c r="D19" s="15" t="s">
        <v>365</v>
      </c>
      <c r="E19" s="15" t="s">
        <v>365</v>
      </c>
      <c r="F19" s="15" t="s">
        <v>365</v>
      </c>
      <c r="G19" s="15" t="s">
        <v>365</v>
      </c>
    </row>
    <row r="20" spans="1:7" ht="41.4" x14ac:dyDescent="0.3">
      <c r="A20" s="10">
        <v>39</v>
      </c>
      <c r="B20" s="18" t="s">
        <v>141</v>
      </c>
      <c r="C20">
        <f t="shared" si="0"/>
        <v>1</v>
      </c>
      <c r="D20" s="15" t="s">
        <v>141</v>
      </c>
      <c r="E20" s="15" t="s">
        <v>141</v>
      </c>
      <c r="F20" s="15" t="s">
        <v>141</v>
      </c>
      <c r="G20" s="15" t="s">
        <v>141</v>
      </c>
    </row>
    <row r="21" spans="1:7" ht="27.6" x14ac:dyDescent="0.3">
      <c r="A21" s="10">
        <v>41</v>
      </c>
      <c r="B21" s="18" t="s">
        <v>143</v>
      </c>
      <c r="C21">
        <f t="shared" si="0"/>
        <v>1</v>
      </c>
      <c r="D21" s="15" t="s">
        <v>143</v>
      </c>
      <c r="E21" s="15" t="s">
        <v>143</v>
      </c>
      <c r="F21" s="15" t="s">
        <v>143</v>
      </c>
      <c r="G21" s="15" t="s">
        <v>143</v>
      </c>
    </row>
    <row r="22" spans="1:7" ht="27.6" x14ac:dyDescent="0.3">
      <c r="A22" s="10">
        <v>42</v>
      </c>
      <c r="B22" s="18" t="s">
        <v>115</v>
      </c>
      <c r="C22">
        <f t="shared" si="0"/>
        <v>1</v>
      </c>
      <c r="D22" s="15" t="s">
        <v>115</v>
      </c>
      <c r="E22" s="15" t="s">
        <v>115</v>
      </c>
      <c r="F22" s="15" t="s">
        <v>115</v>
      </c>
      <c r="G22" s="15" t="s">
        <v>115</v>
      </c>
    </row>
    <row r="23" spans="1:7" x14ac:dyDescent="0.3">
      <c r="A23" s="10">
        <v>46</v>
      </c>
      <c r="B23" s="18" t="s">
        <v>469</v>
      </c>
      <c r="C23">
        <f t="shared" si="0"/>
        <v>1</v>
      </c>
      <c r="D23" s="15" t="s">
        <v>469</v>
      </c>
      <c r="E23" s="15" t="s">
        <v>469</v>
      </c>
      <c r="F23" s="15" t="e">
        <v>#N/A</v>
      </c>
      <c r="G23" s="15" t="e">
        <v>#N/A</v>
      </c>
    </row>
    <row r="24" spans="1:7" ht="27.6" x14ac:dyDescent="0.3">
      <c r="A24" s="10">
        <v>47</v>
      </c>
      <c r="B24" s="18" t="s">
        <v>256</v>
      </c>
      <c r="C24">
        <f t="shared" si="0"/>
        <v>1</v>
      </c>
      <c r="D24" s="15" t="s">
        <v>256</v>
      </c>
      <c r="E24" s="15" t="s">
        <v>256</v>
      </c>
      <c r="F24" s="15" t="s">
        <v>256</v>
      </c>
      <c r="G24" s="15" t="s">
        <v>256</v>
      </c>
    </row>
    <row r="25" spans="1:7" ht="27.6" x14ac:dyDescent="0.3">
      <c r="A25" s="10">
        <v>49</v>
      </c>
      <c r="B25" s="18" t="s">
        <v>1339</v>
      </c>
      <c r="C25">
        <f t="shared" si="0"/>
        <v>1</v>
      </c>
      <c r="D25" s="15" t="e">
        <v>#N/A</v>
      </c>
      <c r="E25" s="15" t="e">
        <v>#N/A</v>
      </c>
      <c r="F25" s="15" t="s">
        <v>1339</v>
      </c>
      <c r="G25" s="15" t="s">
        <v>1339</v>
      </c>
    </row>
    <row r="26" spans="1:7" ht="27.6" x14ac:dyDescent="0.3">
      <c r="A26" s="10">
        <v>50</v>
      </c>
      <c r="B26" s="18" t="s">
        <v>1334</v>
      </c>
      <c r="C26">
        <f t="shared" si="0"/>
        <v>1</v>
      </c>
      <c r="D26" s="15" t="e">
        <v>#N/A</v>
      </c>
      <c r="E26" s="15" t="e">
        <v>#N/A</v>
      </c>
      <c r="F26" s="15" t="s">
        <v>1334</v>
      </c>
      <c r="G26" s="15" t="s">
        <v>1334</v>
      </c>
    </row>
    <row r="27" spans="1:7" x14ac:dyDescent="0.3">
      <c r="A27" s="10">
        <v>52</v>
      </c>
      <c r="B27" s="18" t="s">
        <v>69</v>
      </c>
      <c r="C27">
        <f t="shared" si="0"/>
        <v>1</v>
      </c>
      <c r="D27" s="15" t="s">
        <v>69</v>
      </c>
      <c r="E27" s="15" t="s">
        <v>69</v>
      </c>
      <c r="F27" s="15" t="s">
        <v>69</v>
      </c>
      <c r="G27" s="15" t="s">
        <v>69</v>
      </c>
    </row>
    <row r="28" spans="1:7" ht="27.6" x14ac:dyDescent="0.3">
      <c r="A28" s="10">
        <v>53</v>
      </c>
      <c r="B28" s="18" t="s">
        <v>71</v>
      </c>
      <c r="C28">
        <f t="shared" si="0"/>
        <v>2</v>
      </c>
      <c r="D28" s="15" t="s">
        <v>71</v>
      </c>
      <c r="E28" s="15" t="s">
        <v>71</v>
      </c>
      <c r="F28" s="15" t="s">
        <v>71</v>
      </c>
      <c r="G28" s="15" t="s">
        <v>1517</v>
      </c>
    </row>
    <row r="29" spans="1:7" ht="27.6" x14ac:dyDescent="0.3">
      <c r="A29" s="10">
        <v>53</v>
      </c>
      <c r="B29" s="18" t="s">
        <v>1517</v>
      </c>
      <c r="C29">
        <f t="shared" si="0"/>
        <v>2</v>
      </c>
      <c r="D29" s="15" t="s">
        <v>71</v>
      </c>
      <c r="E29" s="15" t="s">
        <v>71</v>
      </c>
      <c r="F29" s="15" t="s">
        <v>71</v>
      </c>
      <c r="G29" s="15" t="s">
        <v>1517</v>
      </c>
    </row>
    <row r="30" spans="1:7" ht="41.4" x14ac:dyDescent="0.3">
      <c r="A30" s="10">
        <v>56</v>
      </c>
      <c r="B30" s="18" t="s">
        <v>279</v>
      </c>
      <c r="C30">
        <f t="shared" si="0"/>
        <v>1</v>
      </c>
      <c r="D30" s="15" t="s">
        <v>279</v>
      </c>
      <c r="E30" s="15" t="s">
        <v>279</v>
      </c>
      <c r="F30" s="15" t="s">
        <v>279</v>
      </c>
      <c r="G30" s="15" t="s">
        <v>279</v>
      </c>
    </row>
    <row r="31" spans="1:7" ht="27.6" x14ac:dyDescent="0.3">
      <c r="A31" s="10">
        <v>58</v>
      </c>
      <c r="B31" s="18" t="s">
        <v>684</v>
      </c>
      <c r="C31">
        <f t="shared" si="0"/>
        <v>1</v>
      </c>
      <c r="D31" s="15" t="s">
        <v>684</v>
      </c>
      <c r="E31" s="15" t="s">
        <v>684</v>
      </c>
      <c r="F31" s="15" t="s">
        <v>684</v>
      </c>
      <c r="G31" s="15" t="s">
        <v>684</v>
      </c>
    </row>
    <row r="32" spans="1:7" ht="27.6" x14ac:dyDescent="0.3">
      <c r="A32" s="10">
        <v>59</v>
      </c>
      <c r="B32" s="18" t="s">
        <v>828</v>
      </c>
      <c r="C32">
        <f t="shared" si="0"/>
        <v>1</v>
      </c>
      <c r="D32" s="15" t="s">
        <v>828</v>
      </c>
      <c r="E32" s="15" t="e">
        <v>#N/A</v>
      </c>
      <c r="F32" s="15" t="e">
        <v>#N/A</v>
      </c>
      <c r="G32" s="15" t="e">
        <v>#N/A</v>
      </c>
    </row>
    <row r="33" spans="1:7" ht="27.6" x14ac:dyDescent="0.3">
      <c r="A33" s="10">
        <v>61</v>
      </c>
      <c r="B33" s="18" t="s">
        <v>727</v>
      </c>
      <c r="C33">
        <f t="shared" si="0"/>
        <v>1</v>
      </c>
      <c r="D33" s="15" t="s">
        <v>727</v>
      </c>
      <c r="E33" s="15" t="s">
        <v>727</v>
      </c>
      <c r="F33" s="15" t="s">
        <v>727</v>
      </c>
      <c r="G33" s="15" t="s">
        <v>727</v>
      </c>
    </row>
    <row r="34" spans="1:7" ht="27.6" x14ac:dyDescent="0.3">
      <c r="A34" s="10">
        <v>63</v>
      </c>
      <c r="B34" s="18" t="s">
        <v>716</v>
      </c>
      <c r="C34">
        <f t="shared" ref="C34:C65" si="1">+COUNTIF(A:A,A34)</f>
        <v>1</v>
      </c>
      <c r="D34" s="15" t="s">
        <v>716</v>
      </c>
      <c r="E34" s="15" t="s">
        <v>716</v>
      </c>
      <c r="F34" s="15" t="s">
        <v>716</v>
      </c>
      <c r="G34" s="15" t="s">
        <v>716</v>
      </c>
    </row>
    <row r="35" spans="1:7" ht="27.6" x14ac:dyDescent="0.3">
      <c r="A35" s="10">
        <v>65</v>
      </c>
      <c r="B35" s="18" t="s">
        <v>840</v>
      </c>
      <c r="C35">
        <f t="shared" si="1"/>
        <v>1</v>
      </c>
      <c r="D35" s="15" t="s">
        <v>840</v>
      </c>
      <c r="E35" s="15" t="s">
        <v>840</v>
      </c>
      <c r="F35" s="15" t="s">
        <v>840</v>
      </c>
      <c r="G35" s="15" t="e">
        <v>#N/A</v>
      </c>
    </row>
    <row r="36" spans="1:7" ht="27.6" x14ac:dyDescent="0.3">
      <c r="A36" s="10">
        <v>70</v>
      </c>
      <c r="B36" s="18" t="s">
        <v>918</v>
      </c>
      <c r="C36">
        <f t="shared" si="1"/>
        <v>1</v>
      </c>
      <c r="D36" s="15" t="s">
        <v>918</v>
      </c>
      <c r="E36" s="15" t="s">
        <v>918</v>
      </c>
      <c r="F36" s="15" t="s">
        <v>918</v>
      </c>
      <c r="G36" s="15" t="s">
        <v>918</v>
      </c>
    </row>
    <row r="37" spans="1:7" ht="41.4" x14ac:dyDescent="0.3">
      <c r="A37" s="10">
        <v>72</v>
      </c>
      <c r="B37" s="18" t="s">
        <v>656</v>
      </c>
      <c r="C37">
        <f t="shared" si="1"/>
        <v>1</v>
      </c>
      <c r="D37" s="15" t="s">
        <v>656</v>
      </c>
      <c r="E37" s="15" t="s">
        <v>656</v>
      </c>
      <c r="F37" s="15" t="s">
        <v>656</v>
      </c>
      <c r="G37" s="15" t="s">
        <v>656</v>
      </c>
    </row>
    <row r="38" spans="1:7" ht="41.4" x14ac:dyDescent="0.3">
      <c r="A38" s="10">
        <v>81</v>
      </c>
      <c r="B38" s="18" t="s">
        <v>581</v>
      </c>
      <c r="C38">
        <f t="shared" si="1"/>
        <v>1</v>
      </c>
      <c r="D38" s="15" t="s">
        <v>581</v>
      </c>
      <c r="E38" s="15" t="s">
        <v>581</v>
      </c>
      <c r="F38" s="15" t="s">
        <v>581</v>
      </c>
      <c r="G38" s="15" t="s">
        <v>581</v>
      </c>
    </row>
    <row r="39" spans="1:7" ht="27.6" x14ac:dyDescent="0.3">
      <c r="A39" s="10">
        <v>82</v>
      </c>
      <c r="B39" s="18" t="s">
        <v>485</v>
      </c>
      <c r="C39">
        <f t="shared" si="1"/>
        <v>1</v>
      </c>
      <c r="D39" s="15" t="s">
        <v>485</v>
      </c>
      <c r="E39" s="15" t="s">
        <v>485</v>
      </c>
      <c r="F39" s="15" t="s">
        <v>485</v>
      </c>
      <c r="G39" s="15" t="s">
        <v>485</v>
      </c>
    </row>
    <row r="40" spans="1:7" ht="27.6" x14ac:dyDescent="0.3">
      <c r="A40" s="10">
        <v>83</v>
      </c>
      <c r="B40" s="18" t="s">
        <v>497</v>
      </c>
      <c r="C40">
        <f t="shared" si="1"/>
        <v>1</v>
      </c>
      <c r="D40" s="15" t="s">
        <v>497</v>
      </c>
      <c r="E40" s="15" t="s">
        <v>497</v>
      </c>
      <c r="F40" s="15" t="e">
        <v>#N/A</v>
      </c>
      <c r="G40" s="15" t="e">
        <v>#N/A</v>
      </c>
    </row>
    <row r="41" spans="1:7" ht="27.6" x14ac:dyDescent="0.3">
      <c r="A41" s="10">
        <v>84</v>
      </c>
      <c r="B41" s="18" t="s">
        <v>506</v>
      </c>
      <c r="C41">
        <f t="shared" si="1"/>
        <v>1</v>
      </c>
      <c r="D41" s="15" t="s">
        <v>506</v>
      </c>
      <c r="E41" s="15" t="s">
        <v>506</v>
      </c>
      <c r="F41" s="15" t="s">
        <v>506</v>
      </c>
      <c r="G41" s="15" t="e">
        <v>#N/A</v>
      </c>
    </row>
    <row r="42" spans="1:7" ht="41.4" x14ac:dyDescent="0.3">
      <c r="A42" s="10">
        <v>86</v>
      </c>
      <c r="B42" s="18" t="s">
        <v>532</v>
      </c>
      <c r="C42">
        <f t="shared" si="1"/>
        <v>1</v>
      </c>
      <c r="D42" s="15" t="s">
        <v>532</v>
      </c>
      <c r="E42" s="15" t="s">
        <v>532</v>
      </c>
      <c r="F42" s="15" t="s">
        <v>532</v>
      </c>
      <c r="G42" s="15" t="e">
        <v>#N/A</v>
      </c>
    </row>
    <row r="43" spans="1:7" ht="27.6" x14ac:dyDescent="0.3">
      <c r="A43" s="10">
        <v>88</v>
      </c>
      <c r="B43" s="18" t="s">
        <v>471</v>
      </c>
      <c r="C43">
        <f t="shared" si="1"/>
        <v>1</v>
      </c>
      <c r="D43" s="15" t="s">
        <v>471</v>
      </c>
      <c r="E43" s="15" t="s">
        <v>471</v>
      </c>
      <c r="F43" s="15" t="s">
        <v>471</v>
      </c>
      <c r="G43" s="15" t="s">
        <v>471</v>
      </c>
    </row>
    <row r="44" spans="1:7" ht="27.6" x14ac:dyDescent="0.3">
      <c r="A44" s="10">
        <v>89</v>
      </c>
      <c r="B44" s="18" t="s">
        <v>488</v>
      </c>
      <c r="C44">
        <f t="shared" si="1"/>
        <v>1</v>
      </c>
      <c r="D44" s="15" t="s">
        <v>488</v>
      </c>
      <c r="E44" s="15" t="e">
        <v>#N/A</v>
      </c>
      <c r="F44" s="15" t="s">
        <v>488</v>
      </c>
      <c r="G44" s="15" t="s">
        <v>488</v>
      </c>
    </row>
    <row r="45" spans="1:7" ht="27.6" x14ac:dyDescent="0.3">
      <c r="A45" s="10">
        <v>90</v>
      </c>
      <c r="B45" s="18" t="s">
        <v>503</v>
      </c>
      <c r="C45">
        <f t="shared" si="1"/>
        <v>1</v>
      </c>
      <c r="D45" s="15" t="s">
        <v>503</v>
      </c>
      <c r="E45" s="15" t="s">
        <v>503</v>
      </c>
      <c r="F45" s="15" t="s">
        <v>503</v>
      </c>
      <c r="G45" s="15" t="s">
        <v>503</v>
      </c>
    </row>
    <row r="46" spans="1:7" ht="41.4" x14ac:dyDescent="0.3">
      <c r="A46" s="10">
        <v>91</v>
      </c>
      <c r="B46" s="18" t="s">
        <v>491</v>
      </c>
      <c r="C46">
        <f t="shared" si="1"/>
        <v>1</v>
      </c>
      <c r="D46" s="15" t="s">
        <v>491</v>
      </c>
      <c r="E46" s="15" t="s">
        <v>491</v>
      </c>
      <c r="F46" s="15" t="s">
        <v>491</v>
      </c>
      <c r="G46" s="15" t="s">
        <v>491</v>
      </c>
    </row>
    <row r="47" spans="1:7" ht="27.6" x14ac:dyDescent="0.3">
      <c r="A47" s="10">
        <v>92</v>
      </c>
      <c r="B47" s="18" t="s">
        <v>494</v>
      </c>
      <c r="C47">
        <f t="shared" si="1"/>
        <v>1</v>
      </c>
      <c r="D47" s="15" t="s">
        <v>494</v>
      </c>
      <c r="E47" s="15" t="s">
        <v>494</v>
      </c>
      <c r="F47" s="15" t="s">
        <v>494</v>
      </c>
      <c r="G47" s="15" t="e">
        <v>#N/A</v>
      </c>
    </row>
    <row r="48" spans="1:7" ht="27.6" x14ac:dyDescent="0.3">
      <c r="A48" s="10">
        <v>93</v>
      </c>
      <c r="B48" s="18" t="s">
        <v>535</v>
      </c>
      <c r="C48">
        <f t="shared" si="1"/>
        <v>1</v>
      </c>
      <c r="D48" s="15" t="s">
        <v>535</v>
      </c>
      <c r="E48" s="15" t="s">
        <v>535</v>
      </c>
      <c r="F48" s="15" t="s">
        <v>535</v>
      </c>
      <c r="G48" s="15" t="e">
        <v>#N/A</v>
      </c>
    </row>
    <row r="49" spans="1:7" ht="27.6" x14ac:dyDescent="0.3">
      <c r="A49" s="10">
        <v>94</v>
      </c>
      <c r="B49" s="18" t="s">
        <v>529</v>
      </c>
      <c r="C49">
        <f t="shared" si="1"/>
        <v>1</v>
      </c>
      <c r="D49" s="15" t="s">
        <v>529</v>
      </c>
      <c r="E49" s="15" t="s">
        <v>529</v>
      </c>
      <c r="F49" s="15" t="s">
        <v>529</v>
      </c>
      <c r="G49" s="15" t="e">
        <v>#N/A</v>
      </c>
    </row>
    <row r="50" spans="1:7" ht="27.6" x14ac:dyDescent="0.3">
      <c r="A50" s="10">
        <v>95</v>
      </c>
      <c r="B50" s="18" t="s">
        <v>509</v>
      </c>
      <c r="C50">
        <f t="shared" si="1"/>
        <v>1</v>
      </c>
      <c r="D50" s="15" t="s">
        <v>509</v>
      </c>
      <c r="E50" s="15" t="s">
        <v>509</v>
      </c>
      <c r="F50" s="15" t="s">
        <v>509</v>
      </c>
      <c r="G50" s="15" t="s">
        <v>509</v>
      </c>
    </row>
    <row r="51" spans="1:7" ht="27.6" x14ac:dyDescent="0.3">
      <c r="A51" s="10">
        <v>96</v>
      </c>
      <c r="B51" s="18" t="s">
        <v>850</v>
      </c>
      <c r="C51">
        <f t="shared" si="1"/>
        <v>1</v>
      </c>
      <c r="D51" s="15" t="s">
        <v>850</v>
      </c>
      <c r="E51" s="15" t="s">
        <v>850</v>
      </c>
      <c r="F51" s="15" t="s">
        <v>850</v>
      </c>
      <c r="G51" s="15" t="e">
        <v>#N/A</v>
      </c>
    </row>
    <row r="52" spans="1:7" ht="27.6" x14ac:dyDescent="0.3">
      <c r="A52" s="10">
        <v>97</v>
      </c>
      <c r="B52" s="18" t="s">
        <v>897</v>
      </c>
      <c r="C52">
        <f t="shared" si="1"/>
        <v>1</v>
      </c>
      <c r="D52" s="15" t="s">
        <v>897</v>
      </c>
      <c r="E52" s="15" t="s">
        <v>897</v>
      </c>
      <c r="F52" s="15" t="e">
        <v>#N/A</v>
      </c>
      <c r="G52" s="15" t="e">
        <v>#N/A</v>
      </c>
    </row>
    <row r="53" spans="1:7" ht="27.6" x14ac:dyDescent="0.3">
      <c r="A53" s="10">
        <v>98</v>
      </c>
      <c r="B53" s="18" t="s">
        <v>874</v>
      </c>
      <c r="C53">
        <f t="shared" si="1"/>
        <v>1</v>
      </c>
      <c r="D53" s="15" t="s">
        <v>874</v>
      </c>
      <c r="E53" s="15" t="s">
        <v>874</v>
      </c>
      <c r="F53" s="15" t="s">
        <v>874</v>
      </c>
      <c r="G53" s="15" t="s">
        <v>874</v>
      </c>
    </row>
    <row r="54" spans="1:7" ht="27.6" x14ac:dyDescent="0.3">
      <c r="A54" s="10">
        <v>99</v>
      </c>
      <c r="B54" s="18" t="s">
        <v>891</v>
      </c>
      <c r="C54">
        <f t="shared" si="1"/>
        <v>1</v>
      </c>
      <c r="D54" s="15" t="s">
        <v>891</v>
      </c>
      <c r="E54" s="15" t="s">
        <v>891</v>
      </c>
      <c r="F54" s="15" t="s">
        <v>891</v>
      </c>
      <c r="G54" s="15" t="e">
        <v>#N/A</v>
      </c>
    </row>
    <row r="55" spans="1:7" ht="55.2" x14ac:dyDescent="0.3">
      <c r="A55" s="10">
        <v>102</v>
      </c>
      <c r="B55" s="18" t="s">
        <v>856</v>
      </c>
      <c r="C55">
        <f t="shared" si="1"/>
        <v>1</v>
      </c>
      <c r="D55" s="15" t="s">
        <v>856</v>
      </c>
      <c r="E55" s="15" t="s">
        <v>856</v>
      </c>
      <c r="F55" s="15" t="s">
        <v>856</v>
      </c>
      <c r="G55" s="15" t="e">
        <v>#N/A</v>
      </c>
    </row>
    <row r="56" spans="1:7" ht="27.6" x14ac:dyDescent="0.3">
      <c r="A56" s="10">
        <v>110</v>
      </c>
      <c r="B56" s="18" t="s">
        <v>1241</v>
      </c>
      <c r="C56">
        <f t="shared" si="1"/>
        <v>2</v>
      </c>
      <c r="D56" s="15" t="s">
        <v>735</v>
      </c>
      <c r="E56" s="15" t="s">
        <v>1241</v>
      </c>
      <c r="F56" s="15" t="s">
        <v>1241</v>
      </c>
      <c r="G56" s="15" t="s">
        <v>1241</v>
      </c>
    </row>
    <row r="57" spans="1:7" ht="27.6" x14ac:dyDescent="0.3">
      <c r="A57" s="10">
        <v>110</v>
      </c>
      <c r="B57" s="18" t="s">
        <v>735</v>
      </c>
      <c r="C57">
        <f t="shared" si="1"/>
        <v>2</v>
      </c>
      <c r="D57" s="15" t="s">
        <v>735</v>
      </c>
      <c r="E57" s="15" t="s">
        <v>1241</v>
      </c>
      <c r="F57" s="15" t="s">
        <v>1241</v>
      </c>
      <c r="G57" s="15" t="s">
        <v>1241</v>
      </c>
    </row>
    <row r="58" spans="1:7" ht="55.2" x14ac:dyDescent="0.3">
      <c r="A58" s="10">
        <v>111</v>
      </c>
      <c r="B58" s="18" t="s">
        <v>1242</v>
      </c>
      <c r="C58">
        <f t="shared" si="1"/>
        <v>2</v>
      </c>
      <c r="D58" s="15" t="s">
        <v>738</v>
      </c>
      <c r="E58" s="15" t="s">
        <v>1242</v>
      </c>
      <c r="F58" s="15" t="s">
        <v>1242</v>
      </c>
      <c r="G58" s="15" t="s">
        <v>1242</v>
      </c>
    </row>
    <row r="59" spans="1:7" ht="55.2" x14ac:dyDescent="0.3">
      <c r="A59" s="10">
        <v>111</v>
      </c>
      <c r="B59" s="18" t="s">
        <v>738</v>
      </c>
      <c r="C59">
        <f t="shared" si="1"/>
        <v>2</v>
      </c>
      <c r="D59" s="15" t="s">
        <v>738</v>
      </c>
      <c r="E59" s="15" t="s">
        <v>1242</v>
      </c>
      <c r="F59" s="15" t="s">
        <v>1242</v>
      </c>
      <c r="G59" s="15" t="s">
        <v>1242</v>
      </c>
    </row>
    <row r="60" spans="1:7" ht="41.4" x14ac:dyDescent="0.3">
      <c r="A60" s="10">
        <v>113</v>
      </c>
      <c r="B60" s="18" t="s">
        <v>1243</v>
      </c>
      <c r="C60">
        <f t="shared" si="1"/>
        <v>2</v>
      </c>
      <c r="D60" s="15" t="s">
        <v>741</v>
      </c>
      <c r="E60" s="15" t="s">
        <v>1243</v>
      </c>
      <c r="F60" s="15" t="s">
        <v>1243</v>
      </c>
      <c r="G60" s="15" t="s">
        <v>1243</v>
      </c>
    </row>
    <row r="61" spans="1:7" ht="41.4" x14ac:dyDescent="0.3">
      <c r="A61" s="10">
        <v>113</v>
      </c>
      <c r="B61" s="18" t="s">
        <v>741</v>
      </c>
      <c r="C61">
        <f t="shared" si="1"/>
        <v>2</v>
      </c>
      <c r="D61" s="15" t="s">
        <v>741</v>
      </c>
      <c r="E61" s="15" t="s">
        <v>1243</v>
      </c>
      <c r="F61" s="15" t="s">
        <v>1243</v>
      </c>
      <c r="G61" s="15" t="s">
        <v>1243</v>
      </c>
    </row>
    <row r="62" spans="1:7" ht="27.6" x14ac:dyDescent="0.3">
      <c r="A62" s="10">
        <v>114</v>
      </c>
      <c r="B62" s="18" t="s">
        <v>1244</v>
      </c>
      <c r="C62">
        <f t="shared" si="1"/>
        <v>2</v>
      </c>
      <c r="D62" s="15" t="s">
        <v>744</v>
      </c>
      <c r="E62" s="15" t="s">
        <v>1244</v>
      </c>
      <c r="F62" s="15" t="s">
        <v>1244</v>
      </c>
      <c r="G62" s="15" t="s">
        <v>1244</v>
      </c>
    </row>
    <row r="63" spans="1:7" ht="27.6" x14ac:dyDescent="0.3">
      <c r="A63" s="10">
        <v>114</v>
      </c>
      <c r="B63" s="18" t="s">
        <v>744</v>
      </c>
      <c r="C63">
        <f t="shared" si="1"/>
        <v>2</v>
      </c>
      <c r="D63" s="15" t="s">
        <v>744</v>
      </c>
      <c r="E63" s="15" t="s">
        <v>1244</v>
      </c>
      <c r="F63" s="15" t="s">
        <v>1244</v>
      </c>
      <c r="G63" s="15" t="s">
        <v>1244</v>
      </c>
    </row>
    <row r="64" spans="1:7" ht="27.6" x14ac:dyDescent="0.3">
      <c r="A64" s="10">
        <v>122</v>
      </c>
      <c r="B64" s="18" t="s">
        <v>514</v>
      </c>
      <c r="C64">
        <f t="shared" si="1"/>
        <v>1</v>
      </c>
      <c r="D64" s="15" t="s">
        <v>514</v>
      </c>
      <c r="E64" s="15" t="s">
        <v>514</v>
      </c>
      <c r="F64" s="15" t="s">
        <v>514</v>
      </c>
      <c r="G64" s="15" t="e">
        <v>#N/A</v>
      </c>
    </row>
    <row r="65" spans="1:7" ht="27.6" x14ac:dyDescent="0.3">
      <c r="A65" s="10">
        <v>123</v>
      </c>
      <c r="B65" s="18" t="s">
        <v>521</v>
      </c>
      <c r="C65">
        <f t="shared" si="1"/>
        <v>1</v>
      </c>
      <c r="D65" s="15" t="s">
        <v>521</v>
      </c>
      <c r="E65" s="15" t="s">
        <v>521</v>
      </c>
      <c r="F65" s="15" t="s">
        <v>521</v>
      </c>
      <c r="G65" s="15" t="e">
        <v>#N/A</v>
      </c>
    </row>
    <row r="66" spans="1:7" ht="27.6" x14ac:dyDescent="0.3">
      <c r="A66" s="10">
        <v>127</v>
      </c>
      <c r="B66" s="18" t="s">
        <v>1435</v>
      </c>
      <c r="C66">
        <f t="shared" ref="C66:C97" si="2">+COUNTIF(A:A,A66)</f>
        <v>1</v>
      </c>
      <c r="D66" s="15" t="e">
        <v>#N/A</v>
      </c>
      <c r="E66" s="15" t="e">
        <v>#N/A</v>
      </c>
      <c r="F66" s="15" t="s">
        <v>1435</v>
      </c>
      <c r="G66" s="15" t="e">
        <v>#N/A</v>
      </c>
    </row>
    <row r="67" spans="1:7" ht="27.6" x14ac:dyDescent="0.3">
      <c r="A67" s="10">
        <v>129</v>
      </c>
      <c r="B67" s="18" t="s">
        <v>527</v>
      </c>
      <c r="C67">
        <f t="shared" si="2"/>
        <v>1</v>
      </c>
      <c r="D67" s="15" t="s">
        <v>527</v>
      </c>
      <c r="E67" s="15" t="s">
        <v>527</v>
      </c>
      <c r="F67" s="15" t="s">
        <v>527</v>
      </c>
      <c r="G67" s="15" t="e">
        <v>#N/A</v>
      </c>
    </row>
    <row r="68" spans="1:7" ht="27.6" x14ac:dyDescent="0.3">
      <c r="A68" s="10">
        <v>130</v>
      </c>
      <c r="B68" s="18" t="s">
        <v>524</v>
      </c>
      <c r="C68">
        <f t="shared" si="2"/>
        <v>1</v>
      </c>
      <c r="D68" s="15" t="s">
        <v>524</v>
      </c>
      <c r="E68" s="15" t="e">
        <v>#N/A</v>
      </c>
      <c r="F68" s="15" t="e">
        <v>#N/A</v>
      </c>
      <c r="G68" s="15" t="e">
        <v>#N/A</v>
      </c>
    </row>
    <row r="69" spans="1:7" ht="27.6" x14ac:dyDescent="0.3">
      <c r="A69" s="10">
        <v>133</v>
      </c>
      <c r="B69" s="18" t="s">
        <v>1348</v>
      </c>
      <c r="C69">
        <f t="shared" si="2"/>
        <v>1</v>
      </c>
      <c r="D69" s="15" t="e">
        <v>#N/A</v>
      </c>
      <c r="E69" s="15" t="e">
        <v>#N/A</v>
      </c>
      <c r="F69" s="15" t="s">
        <v>1348</v>
      </c>
      <c r="G69" s="15" t="s">
        <v>1348</v>
      </c>
    </row>
    <row r="70" spans="1:7" ht="27.6" x14ac:dyDescent="0.3">
      <c r="A70" s="10">
        <v>134</v>
      </c>
      <c r="B70" s="18" t="s">
        <v>265</v>
      </c>
      <c r="C70">
        <f t="shared" si="2"/>
        <v>1</v>
      </c>
      <c r="D70" s="15" t="s">
        <v>265</v>
      </c>
      <c r="E70" s="15" t="s">
        <v>265</v>
      </c>
      <c r="F70" s="15" t="s">
        <v>265</v>
      </c>
      <c r="G70" s="15" t="e">
        <v>#N/A</v>
      </c>
    </row>
    <row r="71" spans="1:7" ht="27.6" x14ac:dyDescent="0.3">
      <c r="A71" s="10">
        <v>135</v>
      </c>
      <c r="B71" s="18" t="s">
        <v>1140</v>
      </c>
      <c r="C71">
        <f t="shared" si="2"/>
        <v>1</v>
      </c>
      <c r="D71" s="15" t="e">
        <v>#N/A</v>
      </c>
      <c r="E71" s="15" t="s">
        <v>1140</v>
      </c>
      <c r="F71" s="15" t="s">
        <v>1140</v>
      </c>
      <c r="G71" s="15" t="s">
        <v>1140</v>
      </c>
    </row>
    <row r="72" spans="1:7" ht="27.6" x14ac:dyDescent="0.3">
      <c r="A72" s="10">
        <v>136</v>
      </c>
      <c r="B72" s="18" t="s">
        <v>448</v>
      </c>
      <c r="C72">
        <f t="shared" si="2"/>
        <v>2</v>
      </c>
      <c r="D72" s="15" t="s">
        <v>448</v>
      </c>
      <c r="E72" s="15" t="e">
        <v>#N/A</v>
      </c>
      <c r="F72" s="15" t="s">
        <v>448</v>
      </c>
      <c r="G72" s="15" t="s">
        <v>1697</v>
      </c>
    </row>
    <row r="73" spans="1:7" ht="27.6" x14ac:dyDescent="0.3">
      <c r="A73" s="10">
        <v>136</v>
      </c>
      <c r="B73" s="18" t="s">
        <v>1697</v>
      </c>
      <c r="C73">
        <f t="shared" si="2"/>
        <v>2</v>
      </c>
      <c r="D73" s="15" t="s">
        <v>448</v>
      </c>
      <c r="E73" s="15" t="e">
        <v>#N/A</v>
      </c>
      <c r="F73" s="15" t="s">
        <v>448</v>
      </c>
      <c r="G73" s="15" t="s">
        <v>1697</v>
      </c>
    </row>
    <row r="74" spans="1:7" ht="41.4" x14ac:dyDescent="0.3">
      <c r="A74" s="10">
        <v>137</v>
      </c>
      <c r="B74" s="18" t="s">
        <v>628</v>
      </c>
      <c r="C74">
        <f t="shared" si="2"/>
        <v>1</v>
      </c>
      <c r="D74" s="15" t="s">
        <v>628</v>
      </c>
      <c r="E74" s="15" t="s">
        <v>628</v>
      </c>
      <c r="F74" s="15" t="s">
        <v>628</v>
      </c>
      <c r="G74" s="15" t="s">
        <v>628</v>
      </c>
    </row>
    <row r="75" spans="1:7" ht="27.6" x14ac:dyDescent="0.3">
      <c r="A75" s="10">
        <v>138</v>
      </c>
      <c r="B75" s="18" t="s">
        <v>289</v>
      </c>
      <c r="C75">
        <f t="shared" si="2"/>
        <v>1</v>
      </c>
      <c r="D75" s="15" t="s">
        <v>289</v>
      </c>
      <c r="E75" s="15" t="e">
        <v>#N/A</v>
      </c>
      <c r="F75" s="15" t="e">
        <v>#N/A</v>
      </c>
      <c r="G75" s="15" t="e">
        <v>#N/A</v>
      </c>
    </row>
    <row r="76" spans="1:7" ht="27.6" x14ac:dyDescent="0.3">
      <c r="A76" s="10">
        <v>145</v>
      </c>
      <c r="B76" s="18" t="s">
        <v>84</v>
      </c>
      <c r="C76">
        <f t="shared" si="2"/>
        <v>1</v>
      </c>
      <c r="D76" s="15" t="s">
        <v>84</v>
      </c>
      <c r="E76" s="15" t="s">
        <v>84</v>
      </c>
      <c r="F76" s="15" t="s">
        <v>84</v>
      </c>
      <c r="G76" s="15" t="s">
        <v>84</v>
      </c>
    </row>
    <row r="77" spans="1:7" ht="41.4" x14ac:dyDescent="0.3">
      <c r="A77" s="10">
        <v>149</v>
      </c>
      <c r="B77" s="18" t="s">
        <v>1004</v>
      </c>
      <c r="C77">
        <f t="shared" si="2"/>
        <v>1</v>
      </c>
      <c r="D77" s="15" t="s">
        <v>1004</v>
      </c>
      <c r="E77" s="15" t="e">
        <v>#N/A</v>
      </c>
      <c r="F77" s="15" t="e">
        <v>#N/A</v>
      </c>
      <c r="G77" s="15" t="e">
        <v>#N/A</v>
      </c>
    </row>
    <row r="78" spans="1:7" ht="41.4" x14ac:dyDescent="0.3">
      <c r="A78" s="10">
        <v>152</v>
      </c>
      <c r="B78" s="18" t="s">
        <v>844</v>
      </c>
      <c r="C78">
        <f t="shared" si="2"/>
        <v>1</v>
      </c>
      <c r="D78" s="15" t="s">
        <v>844</v>
      </c>
      <c r="E78" s="15" t="s">
        <v>844</v>
      </c>
      <c r="F78" s="15" t="s">
        <v>844</v>
      </c>
      <c r="G78" s="15" t="e">
        <v>#N/A</v>
      </c>
    </row>
    <row r="79" spans="1:7" ht="27.6" x14ac:dyDescent="0.3">
      <c r="A79" s="10">
        <v>154</v>
      </c>
      <c r="B79" s="18" t="s">
        <v>651</v>
      </c>
      <c r="C79">
        <f t="shared" si="2"/>
        <v>1</v>
      </c>
      <c r="D79" s="15" t="s">
        <v>651</v>
      </c>
      <c r="E79" s="15" t="s">
        <v>651</v>
      </c>
      <c r="F79" s="15" t="s">
        <v>651</v>
      </c>
      <c r="G79" s="15" t="s">
        <v>651</v>
      </c>
    </row>
    <row r="80" spans="1:7" ht="27.6" x14ac:dyDescent="0.3">
      <c r="A80" s="10">
        <v>155</v>
      </c>
      <c r="B80" s="18" t="s">
        <v>679</v>
      </c>
      <c r="C80">
        <f t="shared" si="2"/>
        <v>1</v>
      </c>
      <c r="D80" s="15" t="s">
        <v>679</v>
      </c>
      <c r="E80" s="15" t="s">
        <v>679</v>
      </c>
      <c r="F80" s="15" t="s">
        <v>679</v>
      </c>
      <c r="G80" s="15" t="s">
        <v>679</v>
      </c>
    </row>
    <row r="81" spans="1:7" ht="27.6" x14ac:dyDescent="0.3">
      <c r="A81" s="10">
        <v>157</v>
      </c>
      <c r="B81" s="18" t="s">
        <v>1001</v>
      </c>
      <c r="C81">
        <f t="shared" si="2"/>
        <v>1</v>
      </c>
      <c r="D81" s="15" t="s">
        <v>1001</v>
      </c>
      <c r="E81" s="15" t="s">
        <v>1001</v>
      </c>
      <c r="F81" s="15" t="s">
        <v>1001</v>
      </c>
      <c r="G81" s="15" t="s">
        <v>1001</v>
      </c>
    </row>
    <row r="82" spans="1:7" ht="27.6" x14ac:dyDescent="0.3">
      <c r="A82" s="10">
        <v>158</v>
      </c>
      <c r="B82" s="18" t="s">
        <v>517</v>
      </c>
      <c r="C82">
        <f t="shared" si="2"/>
        <v>1</v>
      </c>
      <c r="D82" s="15" t="s">
        <v>517</v>
      </c>
      <c r="E82" s="15" t="e">
        <v>#N/A</v>
      </c>
      <c r="F82" s="15" t="e">
        <v>#N/A</v>
      </c>
      <c r="G82" s="15" t="e">
        <v>#N/A</v>
      </c>
    </row>
    <row r="83" spans="1:7" ht="41.4" x14ac:dyDescent="0.3">
      <c r="A83" s="10">
        <v>161</v>
      </c>
      <c r="B83" s="18" t="s">
        <v>853</v>
      </c>
      <c r="C83">
        <f t="shared" si="2"/>
        <v>1</v>
      </c>
      <c r="D83" s="15" t="s">
        <v>853</v>
      </c>
      <c r="E83" s="15" t="s">
        <v>853</v>
      </c>
      <c r="F83" s="15" t="s">
        <v>853</v>
      </c>
      <c r="G83" s="15" t="e">
        <v>#N/A</v>
      </c>
    </row>
    <row r="84" spans="1:7" ht="27.6" x14ac:dyDescent="0.3">
      <c r="A84" s="10">
        <v>167</v>
      </c>
      <c r="B84" s="18" t="s">
        <v>847</v>
      </c>
      <c r="C84">
        <f t="shared" si="2"/>
        <v>1</v>
      </c>
      <c r="D84" s="15" t="s">
        <v>847</v>
      </c>
      <c r="E84" s="15" t="s">
        <v>847</v>
      </c>
      <c r="F84" s="15" t="s">
        <v>847</v>
      </c>
      <c r="G84" s="15" t="e">
        <v>#N/A</v>
      </c>
    </row>
    <row r="85" spans="1:7" ht="27.6" x14ac:dyDescent="0.3">
      <c r="A85" s="10">
        <v>169</v>
      </c>
      <c r="B85" s="18" t="s">
        <v>1309</v>
      </c>
      <c r="C85">
        <f t="shared" si="2"/>
        <v>1</v>
      </c>
      <c r="D85" s="15" t="e">
        <v>#N/A</v>
      </c>
      <c r="E85" s="15" t="s">
        <v>1309</v>
      </c>
      <c r="F85" s="15" t="s">
        <v>1309</v>
      </c>
      <c r="G85" s="15" t="e">
        <v>#N/A</v>
      </c>
    </row>
    <row r="86" spans="1:7" x14ac:dyDescent="0.3">
      <c r="A86" s="10">
        <v>171</v>
      </c>
      <c r="B86" s="18" t="s">
        <v>730</v>
      </c>
      <c r="C86">
        <f t="shared" si="2"/>
        <v>1</v>
      </c>
      <c r="D86" s="15" t="s">
        <v>730</v>
      </c>
      <c r="E86" s="15" t="s">
        <v>730</v>
      </c>
      <c r="F86" s="15" t="s">
        <v>730</v>
      </c>
      <c r="G86" s="15" t="s">
        <v>730</v>
      </c>
    </row>
    <row r="87" spans="1:7" ht="27.6" x14ac:dyDescent="0.3">
      <c r="A87" s="10">
        <v>172</v>
      </c>
      <c r="B87" s="18" t="s">
        <v>583</v>
      </c>
      <c r="C87">
        <f t="shared" si="2"/>
        <v>1</v>
      </c>
      <c r="D87" s="15" t="s">
        <v>583</v>
      </c>
      <c r="E87" s="15" t="e">
        <v>#N/A</v>
      </c>
      <c r="F87" s="15" t="s">
        <v>583</v>
      </c>
      <c r="G87" s="15" t="e">
        <v>#N/A</v>
      </c>
    </row>
    <row r="88" spans="1:7" ht="27.6" x14ac:dyDescent="0.3">
      <c r="A88" s="10">
        <v>173</v>
      </c>
      <c r="B88" s="18" t="s">
        <v>578</v>
      </c>
      <c r="C88">
        <f t="shared" si="2"/>
        <v>1</v>
      </c>
      <c r="D88" s="15" t="s">
        <v>578</v>
      </c>
      <c r="E88" s="15" t="s">
        <v>578</v>
      </c>
      <c r="F88" s="15" t="e">
        <v>#N/A</v>
      </c>
      <c r="G88" s="15" t="e">
        <v>#N/A</v>
      </c>
    </row>
    <row r="89" spans="1:7" x14ac:dyDescent="0.3">
      <c r="A89" s="10">
        <v>174</v>
      </c>
      <c r="B89" s="18" t="s">
        <v>756</v>
      </c>
      <c r="C89">
        <f t="shared" si="2"/>
        <v>1</v>
      </c>
      <c r="D89" s="15" t="s">
        <v>756</v>
      </c>
      <c r="E89" s="15" t="s">
        <v>756</v>
      </c>
      <c r="F89" s="15" t="e">
        <v>#N/A</v>
      </c>
      <c r="G89" s="15" t="e">
        <v>#N/A</v>
      </c>
    </row>
    <row r="90" spans="1:7" ht="41.4" x14ac:dyDescent="0.3">
      <c r="A90" s="10">
        <v>176</v>
      </c>
      <c r="B90" s="18" t="s">
        <v>127</v>
      </c>
      <c r="C90">
        <f t="shared" si="2"/>
        <v>1</v>
      </c>
      <c r="D90" s="15" t="s">
        <v>127</v>
      </c>
      <c r="E90" s="15" t="s">
        <v>127</v>
      </c>
      <c r="F90" s="15" t="s">
        <v>127</v>
      </c>
      <c r="G90" s="15" t="s">
        <v>127</v>
      </c>
    </row>
    <row r="91" spans="1:7" ht="41.4" x14ac:dyDescent="0.3">
      <c r="A91" s="10">
        <v>177</v>
      </c>
      <c r="B91" s="18" t="s">
        <v>129</v>
      </c>
      <c r="C91">
        <f t="shared" si="2"/>
        <v>2</v>
      </c>
      <c r="D91" s="15" t="s">
        <v>129</v>
      </c>
      <c r="E91" s="15" t="s">
        <v>129</v>
      </c>
      <c r="F91" s="15" t="s">
        <v>129</v>
      </c>
      <c r="G91" s="15" t="s">
        <v>1559</v>
      </c>
    </row>
    <row r="92" spans="1:7" ht="41.4" x14ac:dyDescent="0.3">
      <c r="A92" s="10">
        <v>177</v>
      </c>
      <c r="B92" s="18" t="s">
        <v>1559</v>
      </c>
      <c r="C92">
        <f t="shared" si="2"/>
        <v>2</v>
      </c>
      <c r="D92" s="15" t="s">
        <v>129</v>
      </c>
      <c r="E92" s="15" t="s">
        <v>129</v>
      </c>
      <c r="F92" s="15" t="s">
        <v>129</v>
      </c>
      <c r="G92" s="15" t="s">
        <v>1559</v>
      </c>
    </row>
    <row r="93" spans="1:7" ht="27.6" x14ac:dyDescent="0.3">
      <c r="A93" s="10">
        <v>178</v>
      </c>
      <c r="B93" s="18" t="s">
        <v>122</v>
      </c>
      <c r="C93">
        <f t="shared" si="2"/>
        <v>1</v>
      </c>
      <c r="D93" s="15" t="s">
        <v>122</v>
      </c>
      <c r="E93" s="15" t="s">
        <v>122</v>
      </c>
      <c r="F93" s="15" t="s">
        <v>122</v>
      </c>
      <c r="G93" s="15" t="s">
        <v>122</v>
      </c>
    </row>
    <row r="94" spans="1:7" ht="41.4" x14ac:dyDescent="0.3">
      <c r="A94" s="10">
        <v>179</v>
      </c>
      <c r="B94" s="18" t="s">
        <v>357</v>
      </c>
      <c r="C94">
        <f t="shared" si="2"/>
        <v>1</v>
      </c>
      <c r="D94" s="15" t="s">
        <v>357</v>
      </c>
      <c r="E94" s="15" t="s">
        <v>357</v>
      </c>
      <c r="F94" s="15" t="s">
        <v>357</v>
      </c>
      <c r="G94" s="15" t="s">
        <v>357</v>
      </c>
    </row>
    <row r="95" spans="1:7" ht="41.4" x14ac:dyDescent="0.3">
      <c r="A95" s="10">
        <v>180</v>
      </c>
      <c r="B95" s="18" t="s">
        <v>1254</v>
      </c>
      <c r="C95">
        <f t="shared" si="2"/>
        <v>2</v>
      </c>
      <c r="D95" s="15" t="s">
        <v>750</v>
      </c>
      <c r="E95" s="15" t="s">
        <v>1254</v>
      </c>
      <c r="F95" s="15" t="s">
        <v>1254</v>
      </c>
      <c r="G95" s="15" t="s">
        <v>1254</v>
      </c>
    </row>
    <row r="96" spans="1:7" ht="41.4" x14ac:dyDescent="0.3">
      <c r="A96" s="10">
        <v>180</v>
      </c>
      <c r="B96" s="18" t="s">
        <v>750</v>
      </c>
      <c r="C96">
        <f t="shared" si="2"/>
        <v>2</v>
      </c>
      <c r="D96" s="15" t="s">
        <v>750</v>
      </c>
      <c r="E96" s="15" t="s">
        <v>1254</v>
      </c>
      <c r="F96" s="15" t="s">
        <v>1254</v>
      </c>
      <c r="G96" s="15" t="s">
        <v>1254</v>
      </c>
    </row>
    <row r="97" spans="1:7" ht="41.4" x14ac:dyDescent="0.3">
      <c r="A97" s="10">
        <v>181</v>
      </c>
      <c r="B97" s="18" t="s">
        <v>661</v>
      </c>
      <c r="C97">
        <f t="shared" si="2"/>
        <v>2</v>
      </c>
      <c r="D97" s="15" t="s">
        <v>661</v>
      </c>
      <c r="E97" s="15" t="s">
        <v>661</v>
      </c>
      <c r="F97" s="15" t="s">
        <v>661</v>
      </c>
      <c r="G97" s="15" t="s">
        <v>1824</v>
      </c>
    </row>
    <row r="98" spans="1:7" ht="41.4" x14ac:dyDescent="0.3">
      <c r="A98" s="10">
        <v>181</v>
      </c>
      <c r="B98" s="18" t="s">
        <v>1824</v>
      </c>
      <c r="C98">
        <f t="shared" ref="C98:C129" si="3">+COUNTIF(A:A,A98)</f>
        <v>2</v>
      </c>
      <c r="D98" s="15" t="s">
        <v>661</v>
      </c>
      <c r="E98" s="15" t="s">
        <v>661</v>
      </c>
      <c r="F98" s="15" t="s">
        <v>661</v>
      </c>
      <c r="G98" s="15" t="s">
        <v>1824</v>
      </c>
    </row>
    <row r="99" spans="1:7" ht="27.6" x14ac:dyDescent="0.3">
      <c r="A99" s="10">
        <v>182</v>
      </c>
      <c r="B99" s="18" t="s">
        <v>674</v>
      </c>
      <c r="C99">
        <f t="shared" si="3"/>
        <v>1</v>
      </c>
      <c r="D99" s="15" t="s">
        <v>674</v>
      </c>
      <c r="E99" s="15" t="s">
        <v>674</v>
      </c>
      <c r="F99" s="15" t="s">
        <v>674</v>
      </c>
      <c r="G99" s="15" t="s">
        <v>674</v>
      </c>
    </row>
    <row r="100" spans="1:7" ht="41.4" x14ac:dyDescent="0.3">
      <c r="A100" s="10">
        <v>183</v>
      </c>
      <c r="B100" s="18" t="s">
        <v>1018</v>
      </c>
      <c r="C100">
        <f t="shared" si="3"/>
        <v>1</v>
      </c>
      <c r="D100" s="15" t="s">
        <v>1018</v>
      </c>
      <c r="E100" s="15" t="s">
        <v>1018</v>
      </c>
      <c r="F100" s="15" t="s">
        <v>1018</v>
      </c>
      <c r="G100" s="15" t="e">
        <v>#N/A</v>
      </c>
    </row>
    <row r="101" spans="1:7" ht="27.6" x14ac:dyDescent="0.3">
      <c r="A101" s="10">
        <v>184</v>
      </c>
      <c r="B101" s="18" t="s">
        <v>878</v>
      </c>
      <c r="C101">
        <f t="shared" si="3"/>
        <v>1</v>
      </c>
      <c r="D101" s="15" t="s">
        <v>878</v>
      </c>
      <c r="E101" s="15" t="e">
        <v>#N/A</v>
      </c>
      <c r="F101" s="15" t="e">
        <v>#N/A</v>
      </c>
      <c r="G101" s="15" t="e">
        <v>#N/A</v>
      </c>
    </row>
    <row r="102" spans="1:7" ht="27.6" x14ac:dyDescent="0.3">
      <c r="A102" s="10">
        <v>185</v>
      </c>
      <c r="B102" s="18" t="s">
        <v>1021</v>
      </c>
      <c r="C102">
        <f t="shared" si="3"/>
        <v>1</v>
      </c>
      <c r="D102" s="15" t="s">
        <v>1021</v>
      </c>
      <c r="E102" s="15" t="e">
        <v>#N/A</v>
      </c>
      <c r="F102" s="15" t="e">
        <v>#N/A</v>
      </c>
      <c r="G102" s="15" t="e">
        <v>#N/A</v>
      </c>
    </row>
    <row r="103" spans="1:7" ht="41.4" x14ac:dyDescent="0.3">
      <c r="A103" s="10">
        <v>186</v>
      </c>
      <c r="B103" s="18" t="s">
        <v>538</v>
      </c>
      <c r="C103">
        <f t="shared" si="3"/>
        <v>1</v>
      </c>
      <c r="D103" s="15" t="s">
        <v>538</v>
      </c>
      <c r="E103" s="15" t="s">
        <v>538</v>
      </c>
      <c r="F103" s="15" t="s">
        <v>538</v>
      </c>
      <c r="G103" s="15" t="s">
        <v>538</v>
      </c>
    </row>
    <row r="104" spans="1:7" ht="41.4" x14ac:dyDescent="0.3">
      <c r="A104" s="10">
        <v>187</v>
      </c>
      <c r="B104" s="18" t="s">
        <v>634</v>
      </c>
      <c r="C104">
        <f t="shared" si="3"/>
        <v>1</v>
      </c>
      <c r="D104" s="15" t="s">
        <v>634</v>
      </c>
      <c r="E104" s="15" t="s">
        <v>634</v>
      </c>
      <c r="F104" s="15" t="e">
        <v>#N/A</v>
      </c>
      <c r="G104" s="15" t="e">
        <v>#N/A</v>
      </c>
    </row>
    <row r="105" spans="1:7" ht="27.6" x14ac:dyDescent="0.3">
      <c r="A105" s="10">
        <v>188</v>
      </c>
      <c r="B105" s="18" t="s">
        <v>631</v>
      </c>
      <c r="C105">
        <f t="shared" si="3"/>
        <v>1</v>
      </c>
      <c r="D105" s="15" t="s">
        <v>631</v>
      </c>
      <c r="E105" s="15" t="e">
        <v>#N/A</v>
      </c>
      <c r="F105" s="15" t="e">
        <v>#N/A</v>
      </c>
      <c r="G105" s="15" t="e">
        <v>#N/A</v>
      </c>
    </row>
    <row r="106" spans="1:7" ht="27.6" x14ac:dyDescent="0.3">
      <c r="A106" s="10">
        <v>189</v>
      </c>
      <c r="B106" s="18" t="s">
        <v>637</v>
      </c>
      <c r="C106">
        <f t="shared" si="3"/>
        <v>1</v>
      </c>
      <c r="D106" s="15" t="s">
        <v>637</v>
      </c>
      <c r="E106" s="15" t="s">
        <v>637</v>
      </c>
      <c r="F106" s="15" t="s">
        <v>637</v>
      </c>
      <c r="G106" s="15" t="s">
        <v>637</v>
      </c>
    </row>
    <row r="107" spans="1:7" ht="41.4" x14ac:dyDescent="0.3">
      <c r="A107" s="10">
        <v>190</v>
      </c>
      <c r="B107" s="18" t="s">
        <v>182</v>
      </c>
      <c r="C107">
        <f t="shared" si="3"/>
        <v>1</v>
      </c>
      <c r="D107" s="15" t="s">
        <v>182</v>
      </c>
      <c r="E107" s="15" t="e">
        <v>#N/A</v>
      </c>
      <c r="F107" s="15" t="s">
        <v>182</v>
      </c>
      <c r="G107" s="15" t="s">
        <v>182</v>
      </c>
    </row>
    <row r="108" spans="1:7" ht="41.4" x14ac:dyDescent="0.3">
      <c r="A108" s="10">
        <v>191</v>
      </c>
      <c r="B108" s="18" t="s">
        <v>894</v>
      </c>
      <c r="C108">
        <f t="shared" si="3"/>
        <v>1</v>
      </c>
      <c r="D108" s="15" t="s">
        <v>894</v>
      </c>
      <c r="E108" s="15" t="s">
        <v>894</v>
      </c>
      <c r="F108" s="15" t="e">
        <v>#N/A</v>
      </c>
      <c r="G108" s="15" t="e">
        <v>#N/A</v>
      </c>
    </row>
    <row r="109" spans="1:7" ht="27.6" x14ac:dyDescent="0.3">
      <c r="A109" s="10">
        <v>192</v>
      </c>
      <c r="B109" s="18" t="s">
        <v>900</v>
      </c>
      <c r="C109">
        <f t="shared" si="3"/>
        <v>1</v>
      </c>
      <c r="D109" s="15" t="s">
        <v>900</v>
      </c>
      <c r="E109" s="15" t="s">
        <v>900</v>
      </c>
      <c r="F109" s="15" t="s">
        <v>900</v>
      </c>
      <c r="G109" s="15" t="e">
        <v>#N/A</v>
      </c>
    </row>
    <row r="110" spans="1:7" ht="41.4" x14ac:dyDescent="0.3">
      <c r="A110" s="10">
        <v>193</v>
      </c>
      <c r="B110" s="18" t="s">
        <v>903</v>
      </c>
      <c r="C110">
        <f t="shared" si="3"/>
        <v>1</v>
      </c>
      <c r="D110" s="15" t="s">
        <v>903</v>
      </c>
      <c r="E110" s="15" t="s">
        <v>903</v>
      </c>
      <c r="F110" s="15" t="s">
        <v>903</v>
      </c>
      <c r="G110" s="15" t="e">
        <v>#N/A</v>
      </c>
    </row>
    <row r="111" spans="1:7" ht="41.4" x14ac:dyDescent="0.3">
      <c r="A111" s="10">
        <v>194</v>
      </c>
      <c r="B111" s="18" t="s">
        <v>906</v>
      </c>
      <c r="C111">
        <f t="shared" si="3"/>
        <v>1</v>
      </c>
      <c r="D111" s="15" t="s">
        <v>906</v>
      </c>
      <c r="E111" s="15" t="e">
        <v>#N/A</v>
      </c>
      <c r="F111" s="15" t="e">
        <v>#N/A</v>
      </c>
      <c r="G111" s="15" t="e">
        <v>#N/A</v>
      </c>
    </row>
    <row r="112" spans="1:7" ht="27.6" x14ac:dyDescent="0.3">
      <c r="A112" s="10">
        <v>195</v>
      </c>
      <c r="B112" s="18" t="s">
        <v>500</v>
      </c>
      <c r="C112">
        <f t="shared" si="3"/>
        <v>1</v>
      </c>
      <c r="D112" s="15" t="s">
        <v>500</v>
      </c>
      <c r="E112" s="15" t="s">
        <v>500</v>
      </c>
      <c r="F112" s="15" t="s">
        <v>500</v>
      </c>
      <c r="G112" s="15" t="e">
        <v>#N/A</v>
      </c>
    </row>
    <row r="113" spans="1:7" ht="27.6" x14ac:dyDescent="0.3">
      <c r="A113" s="10">
        <v>196</v>
      </c>
      <c r="B113" s="18" t="s">
        <v>276</v>
      </c>
      <c r="C113">
        <f t="shared" si="3"/>
        <v>1</v>
      </c>
      <c r="D113" s="15" t="s">
        <v>276</v>
      </c>
      <c r="E113" s="15" t="e">
        <v>#N/A</v>
      </c>
      <c r="F113" s="15" t="e">
        <v>#N/A</v>
      </c>
      <c r="G113" s="15" t="e">
        <v>#N/A</v>
      </c>
    </row>
    <row r="114" spans="1:7" x14ac:dyDescent="0.3">
      <c r="A114" s="10">
        <v>197</v>
      </c>
      <c r="B114" s="18" t="s">
        <v>747</v>
      </c>
      <c r="C114">
        <f t="shared" si="3"/>
        <v>1</v>
      </c>
      <c r="D114" s="15" t="s">
        <v>747</v>
      </c>
      <c r="E114" s="15" t="e">
        <v>#N/A</v>
      </c>
      <c r="F114" s="15" t="e">
        <v>#N/A</v>
      </c>
      <c r="G114" s="15" t="e">
        <v>#N/A</v>
      </c>
    </row>
    <row r="115" spans="1:7" ht="41.4" x14ac:dyDescent="0.3">
      <c r="A115" s="10">
        <v>198</v>
      </c>
      <c r="B115" s="18" t="s">
        <v>882</v>
      </c>
      <c r="C115">
        <f t="shared" si="3"/>
        <v>1</v>
      </c>
      <c r="D115" s="15" t="s">
        <v>882</v>
      </c>
      <c r="E115" s="15" t="s">
        <v>882</v>
      </c>
      <c r="F115" s="15" t="e">
        <v>#N/A</v>
      </c>
      <c r="G115" s="15" t="e">
        <v>#N/A</v>
      </c>
    </row>
    <row r="116" spans="1:7" ht="41.4" x14ac:dyDescent="0.3">
      <c r="A116" s="10">
        <v>199</v>
      </c>
      <c r="B116" s="18" t="s">
        <v>885</v>
      </c>
      <c r="C116">
        <f t="shared" si="3"/>
        <v>1</v>
      </c>
      <c r="D116" s="15" t="s">
        <v>885</v>
      </c>
      <c r="E116" s="15" t="e">
        <v>#N/A</v>
      </c>
      <c r="F116" s="15" t="s">
        <v>885</v>
      </c>
      <c r="G116" s="15" t="s">
        <v>885</v>
      </c>
    </row>
    <row r="117" spans="1:7" x14ac:dyDescent="0.3">
      <c r="A117" s="10">
        <v>200</v>
      </c>
      <c r="B117" s="18" t="s">
        <v>888</v>
      </c>
      <c r="C117">
        <f t="shared" si="3"/>
        <v>1</v>
      </c>
      <c r="D117" s="15" t="s">
        <v>888</v>
      </c>
      <c r="E117" s="15" t="s">
        <v>888</v>
      </c>
      <c r="F117" s="15" t="s">
        <v>888</v>
      </c>
      <c r="G117" s="15" t="e">
        <v>#N/A</v>
      </c>
    </row>
    <row r="118" spans="1:7" ht="27.6" x14ac:dyDescent="0.3">
      <c r="A118" s="10">
        <v>201</v>
      </c>
      <c r="B118" s="18" t="s">
        <v>284</v>
      </c>
      <c r="C118">
        <f t="shared" si="3"/>
        <v>1</v>
      </c>
      <c r="D118" s="15" t="s">
        <v>284</v>
      </c>
      <c r="E118" s="15" t="s">
        <v>284</v>
      </c>
      <c r="F118" s="15" t="e">
        <v>#N/A</v>
      </c>
      <c r="G118" s="15" t="e">
        <v>#N/A</v>
      </c>
    </row>
    <row r="119" spans="1:7" ht="27.6" x14ac:dyDescent="0.3">
      <c r="A119" s="10">
        <v>202</v>
      </c>
      <c r="B119" s="18" t="s">
        <v>467</v>
      </c>
      <c r="C119">
        <f t="shared" si="3"/>
        <v>1</v>
      </c>
      <c r="D119" s="15" t="s">
        <v>467</v>
      </c>
      <c r="E119" s="15" t="s">
        <v>467</v>
      </c>
      <c r="F119" s="15" t="s">
        <v>467</v>
      </c>
      <c r="G119" s="15" t="e">
        <v>#N/A</v>
      </c>
    </row>
    <row r="120" spans="1:7" ht="41.4" x14ac:dyDescent="0.3">
      <c r="A120" s="10">
        <v>203</v>
      </c>
      <c r="B120" s="18" t="s">
        <v>753</v>
      </c>
      <c r="C120">
        <f t="shared" si="3"/>
        <v>1</v>
      </c>
      <c r="D120" s="15" t="s">
        <v>753</v>
      </c>
      <c r="E120" s="15" t="e">
        <v>#N/A</v>
      </c>
      <c r="F120" s="15" t="e">
        <v>#N/A</v>
      </c>
      <c r="G120" s="15" t="e">
        <v>#N/A</v>
      </c>
    </row>
    <row r="121" spans="1:7" ht="27.6" x14ac:dyDescent="0.3">
      <c r="A121" s="10">
        <v>204</v>
      </c>
      <c r="B121" s="18" t="s">
        <v>641</v>
      </c>
      <c r="C121">
        <f t="shared" si="3"/>
        <v>1</v>
      </c>
      <c r="D121" s="15" t="s">
        <v>641</v>
      </c>
      <c r="E121" s="15" t="s">
        <v>641</v>
      </c>
      <c r="F121" s="15" t="s">
        <v>641</v>
      </c>
      <c r="G121" s="15" t="s">
        <v>641</v>
      </c>
    </row>
    <row r="122" spans="1:7" ht="27.6" x14ac:dyDescent="0.3">
      <c r="A122" s="10">
        <v>205</v>
      </c>
      <c r="B122" s="18" t="s">
        <v>1116</v>
      </c>
      <c r="C122">
        <f t="shared" si="3"/>
        <v>1</v>
      </c>
      <c r="D122" s="15" t="e">
        <v>#N/A</v>
      </c>
      <c r="E122" s="15" t="s">
        <v>1116</v>
      </c>
      <c r="F122" s="15" t="s">
        <v>1116</v>
      </c>
      <c r="G122" s="15" t="s">
        <v>1116</v>
      </c>
    </row>
    <row r="123" spans="1:7" ht="41.4" x14ac:dyDescent="0.3">
      <c r="A123" s="10">
        <v>206</v>
      </c>
      <c r="B123" s="18" t="s">
        <v>1316</v>
      </c>
      <c r="C123">
        <f t="shared" si="3"/>
        <v>1</v>
      </c>
      <c r="D123" s="15" t="e">
        <v>#N/A</v>
      </c>
      <c r="E123" s="15" t="s">
        <v>1316</v>
      </c>
      <c r="F123" s="15" t="e">
        <v>#N/A</v>
      </c>
      <c r="G123" s="15" t="s">
        <v>1316</v>
      </c>
    </row>
    <row r="124" spans="1:7" ht="27.6" x14ac:dyDescent="0.3">
      <c r="A124" s="10">
        <v>207</v>
      </c>
      <c r="B124" s="18" t="s">
        <v>1174</v>
      </c>
      <c r="C124">
        <f t="shared" si="3"/>
        <v>1</v>
      </c>
      <c r="D124" s="15" t="e">
        <v>#N/A</v>
      </c>
      <c r="E124" s="15" t="s">
        <v>1174</v>
      </c>
      <c r="F124" s="15" t="s">
        <v>1174</v>
      </c>
      <c r="G124" s="15" t="e">
        <v>#N/A</v>
      </c>
    </row>
    <row r="125" spans="1:7" ht="27.6" x14ac:dyDescent="0.3">
      <c r="A125" s="10">
        <v>208</v>
      </c>
      <c r="B125" s="18" t="s">
        <v>1169</v>
      </c>
      <c r="C125">
        <f t="shared" si="3"/>
        <v>1</v>
      </c>
      <c r="D125" s="15" t="e">
        <v>#N/A</v>
      </c>
      <c r="E125" s="15" t="s">
        <v>1169</v>
      </c>
      <c r="F125" s="15" t="s">
        <v>1169</v>
      </c>
      <c r="G125" s="15" t="e">
        <v>#N/A</v>
      </c>
    </row>
    <row r="126" spans="1:7" ht="41.4" x14ac:dyDescent="0.3">
      <c r="A126" s="10">
        <v>209</v>
      </c>
      <c r="B126" s="18" t="s">
        <v>1177</v>
      </c>
      <c r="C126">
        <f t="shared" si="3"/>
        <v>1</v>
      </c>
      <c r="D126" s="15" t="e">
        <v>#N/A</v>
      </c>
      <c r="E126" s="15" t="s">
        <v>1177</v>
      </c>
      <c r="F126" s="15" t="s">
        <v>1177</v>
      </c>
      <c r="G126" s="15" t="e">
        <v>#N/A</v>
      </c>
    </row>
    <row r="127" spans="1:7" ht="41.4" x14ac:dyDescent="0.3">
      <c r="A127" s="10">
        <v>210</v>
      </c>
      <c r="B127" s="18" t="s">
        <v>1180</v>
      </c>
      <c r="C127">
        <f t="shared" si="3"/>
        <v>1</v>
      </c>
      <c r="D127" s="15" t="e">
        <v>#N/A</v>
      </c>
      <c r="E127" s="15" t="s">
        <v>1180</v>
      </c>
      <c r="F127" s="15" t="s">
        <v>1180</v>
      </c>
      <c r="G127" s="15" t="e">
        <v>#N/A</v>
      </c>
    </row>
    <row r="128" spans="1:7" ht="41.4" x14ac:dyDescent="0.3">
      <c r="A128" s="10">
        <v>211</v>
      </c>
      <c r="B128" s="18" t="s">
        <v>1183</v>
      </c>
      <c r="C128">
        <f t="shared" si="3"/>
        <v>1</v>
      </c>
      <c r="D128" s="15" t="e">
        <v>#N/A</v>
      </c>
      <c r="E128" s="15" t="s">
        <v>1183</v>
      </c>
      <c r="F128" s="15" t="s">
        <v>1183</v>
      </c>
      <c r="G128" s="15" t="e">
        <v>#N/A</v>
      </c>
    </row>
    <row r="129" spans="1:7" ht="41.4" x14ac:dyDescent="0.3">
      <c r="A129" s="10">
        <v>212</v>
      </c>
      <c r="B129" s="18" t="s">
        <v>1196</v>
      </c>
      <c r="C129">
        <f t="shared" si="3"/>
        <v>1</v>
      </c>
      <c r="D129" s="15" t="e">
        <v>#N/A</v>
      </c>
      <c r="E129" s="15" t="s">
        <v>1196</v>
      </c>
      <c r="F129" s="15" t="s">
        <v>1196</v>
      </c>
      <c r="G129" s="15" t="e">
        <v>#N/A</v>
      </c>
    </row>
    <row r="130" spans="1:7" ht="41.4" x14ac:dyDescent="0.3">
      <c r="A130" s="10">
        <v>213</v>
      </c>
      <c r="B130" s="18" t="s">
        <v>1193</v>
      </c>
      <c r="C130">
        <f t="shared" ref="C130:C161" si="4">+COUNTIF(A:A,A130)</f>
        <v>1</v>
      </c>
      <c r="D130" s="15" t="e">
        <v>#N/A</v>
      </c>
      <c r="E130" s="15" t="s">
        <v>1193</v>
      </c>
      <c r="F130" s="15" t="s">
        <v>1193</v>
      </c>
      <c r="G130" s="15" t="e">
        <v>#N/A</v>
      </c>
    </row>
    <row r="131" spans="1:7" ht="41.4" x14ac:dyDescent="0.3">
      <c r="A131" s="10">
        <v>214</v>
      </c>
      <c r="B131" s="18" t="s">
        <v>1199</v>
      </c>
      <c r="C131">
        <f t="shared" si="4"/>
        <v>1</v>
      </c>
      <c r="D131" s="15" t="e">
        <v>#N/A</v>
      </c>
      <c r="E131" s="15" t="s">
        <v>1199</v>
      </c>
      <c r="F131" s="15" t="s">
        <v>1199</v>
      </c>
      <c r="G131" s="15" t="e">
        <v>#N/A</v>
      </c>
    </row>
    <row r="132" spans="1:7" ht="41.4" x14ac:dyDescent="0.3">
      <c r="A132" s="10">
        <v>215</v>
      </c>
      <c r="B132" s="18" t="s">
        <v>1202</v>
      </c>
      <c r="C132">
        <f t="shared" si="4"/>
        <v>1</v>
      </c>
      <c r="D132" s="15" t="e">
        <v>#N/A</v>
      </c>
      <c r="E132" s="15" t="s">
        <v>1202</v>
      </c>
      <c r="F132" s="15" t="s">
        <v>1202</v>
      </c>
      <c r="G132" s="15" t="e">
        <v>#N/A</v>
      </c>
    </row>
    <row r="133" spans="1:7" ht="41.4" x14ac:dyDescent="0.3">
      <c r="A133" s="10">
        <v>216</v>
      </c>
      <c r="B133" s="18" t="s">
        <v>1186</v>
      </c>
      <c r="C133">
        <f t="shared" si="4"/>
        <v>1</v>
      </c>
      <c r="D133" s="15" t="e">
        <v>#N/A</v>
      </c>
      <c r="E133" s="15" t="s">
        <v>1186</v>
      </c>
      <c r="F133" s="15" t="s">
        <v>1186</v>
      </c>
      <c r="G133" s="15" t="e">
        <v>#N/A</v>
      </c>
    </row>
    <row r="134" spans="1:7" ht="27.6" x14ac:dyDescent="0.3">
      <c r="A134" s="10">
        <v>217</v>
      </c>
      <c r="B134" s="18" t="s">
        <v>1167</v>
      </c>
      <c r="C134">
        <f t="shared" si="4"/>
        <v>1</v>
      </c>
      <c r="D134" s="15" t="e">
        <v>#N/A</v>
      </c>
      <c r="E134" s="15" t="s">
        <v>1167</v>
      </c>
      <c r="F134" s="15" t="s">
        <v>1167</v>
      </c>
      <c r="G134" s="15" t="e">
        <v>#N/A</v>
      </c>
    </row>
    <row r="135" spans="1:7" ht="27.6" x14ac:dyDescent="0.3">
      <c r="A135" s="10">
        <v>218</v>
      </c>
      <c r="B135" s="18" t="s">
        <v>1083</v>
      </c>
      <c r="C135">
        <f t="shared" si="4"/>
        <v>1</v>
      </c>
      <c r="D135" s="15" t="e">
        <v>#N/A</v>
      </c>
      <c r="E135" s="15" t="s">
        <v>1083</v>
      </c>
      <c r="F135" s="15" t="e">
        <v>#N/A</v>
      </c>
      <c r="G135" s="15" t="e">
        <v>#N/A</v>
      </c>
    </row>
    <row r="136" spans="1:7" ht="27.6" x14ac:dyDescent="0.3">
      <c r="A136" s="10">
        <v>219</v>
      </c>
      <c r="B136" s="18" t="s">
        <v>1085</v>
      </c>
      <c r="C136">
        <f t="shared" si="4"/>
        <v>1</v>
      </c>
      <c r="D136" s="15" t="e">
        <v>#N/A</v>
      </c>
      <c r="E136" s="15" t="s">
        <v>1085</v>
      </c>
      <c r="F136" s="15" t="e">
        <v>#N/A</v>
      </c>
      <c r="G136" s="15" t="e">
        <v>#N/A</v>
      </c>
    </row>
    <row r="137" spans="1:7" x14ac:dyDescent="0.3">
      <c r="A137" s="10">
        <v>220</v>
      </c>
      <c r="B137" s="18" t="s">
        <v>1221</v>
      </c>
      <c r="C137">
        <f t="shared" si="4"/>
        <v>1</v>
      </c>
      <c r="D137" s="15" t="e">
        <v>#N/A</v>
      </c>
      <c r="E137" s="15" t="s">
        <v>1221</v>
      </c>
      <c r="F137" s="15" t="e">
        <v>#N/A</v>
      </c>
      <c r="G137" s="15" t="e">
        <v>#N/A</v>
      </c>
    </row>
    <row r="138" spans="1:7" ht="41.4" x14ac:dyDescent="0.3">
      <c r="A138" s="10">
        <v>221</v>
      </c>
      <c r="B138" s="18" t="s">
        <v>1306</v>
      </c>
      <c r="C138">
        <f t="shared" si="4"/>
        <v>1</v>
      </c>
      <c r="D138" s="15" t="e">
        <v>#N/A</v>
      </c>
      <c r="E138" s="15" t="s">
        <v>1306</v>
      </c>
      <c r="F138" s="15" t="e">
        <v>#N/A</v>
      </c>
      <c r="G138" s="15" t="e">
        <v>#N/A</v>
      </c>
    </row>
    <row r="139" spans="1:7" ht="41.4" x14ac:dyDescent="0.3">
      <c r="A139" s="10">
        <v>222</v>
      </c>
      <c r="B139" s="18" t="s">
        <v>1248</v>
      </c>
      <c r="C139">
        <f t="shared" si="4"/>
        <v>1</v>
      </c>
      <c r="D139" s="15" t="e">
        <v>#N/A</v>
      </c>
      <c r="E139" s="15" t="s">
        <v>1248</v>
      </c>
      <c r="F139" s="15" t="e">
        <v>#N/A</v>
      </c>
      <c r="G139" s="15" t="e">
        <v>#N/A</v>
      </c>
    </row>
    <row r="140" spans="1:7" ht="27.6" x14ac:dyDescent="0.3">
      <c r="A140" s="10">
        <v>223</v>
      </c>
      <c r="B140" s="18" t="s">
        <v>1224</v>
      </c>
      <c r="C140">
        <f t="shared" si="4"/>
        <v>1</v>
      </c>
      <c r="D140" s="15" t="e">
        <v>#N/A</v>
      </c>
      <c r="E140" s="15" t="s">
        <v>1224</v>
      </c>
      <c r="F140" s="15" t="e">
        <v>#N/A</v>
      </c>
      <c r="G140" s="15" t="e">
        <v>#N/A</v>
      </c>
    </row>
    <row r="141" spans="1:7" ht="27.6" x14ac:dyDescent="0.3">
      <c r="A141" s="10">
        <v>224</v>
      </c>
      <c r="B141" s="18" t="s">
        <v>1251</v>
      </c>
      <c r="C141">
        <f t="shared" si="4"/>
        <v>1</v>
      </c>
      <c r="D141" s="15" t="e">
        <v>#N/A</v>
      </c>
      <c r="E141" s="15" t="s">
        <v>1251</v>
      </c>
      <c r="F141" s="15" t="s">
        <v>1251</v>
      </c>
      <c r="G141" s="15" t="e">
        <v>#N/A</v>
      </c>
    </row>
    <row r="142" spans="1:7" ht="27.6" x14ac:dyDescent="0.3">
      <c r="A142" s="10">
        <v>225</v>
      </c>
      <c r="B142" s="18" t="s">
        <v>1081</v>
      </c>
      <c r="C142">
        <f t="shared" si="4"/>
        <v>1</v>
      </c>
      <c r="D142" s="15" t="e">
        <v>#N/A</v>
      </c>
      <c r="E142" s="15" t="s">
        <v>1081</v>
      </c>
      <c r="F142" s="15" t="e">
        <v>#N/A</v>
      </c>
      <c r="G142" s="15" t="e">
        <v>#N/A</v>
      </c>
    </row>
    <row r="143" spans="1:7" ht="27.6" x14ac:dyDescent="0.3">
      <c r="A143" s="10">
        <v>226</v>
      </c>
      <c r="B143" s="18" t="s">
        <v>1087</v>
      </c>
      <c r="C143">
        <f t="shared" si="4"/>
        <v>1</v>
      </c>
      <c r="D143" s="15" t="e">
        <v>#N/A</v>
      </c>
      <c r="E143" s="15" t="s">
        <v>1087</v>
      </c>
      <c r="F143" s="15" t="e">
        <v>#N/A</v>
      </c>
      <c r="G143" s="15" t="e">
        <v>#N/A</v>
      </c>
    </row>
    <row r="144" spans="1:7" ht="41.4" x14ac:dyDescent="0.3">
      <c r="A144" s="10">
        <v>227</v>
      </c>
      <c r="B144" s="18" t="s">
        <v>1390</v>
      </c>
      <c r="C144">
        <f t="shared" si="4"/>
        <v>2</v>
      </c>
      <c r="D144" s="15" t="e">
        <v>#N/A</v>
      </c>
      <c r="E144" s="15" t="s">
        <v>1226</v>
      </c>
      <c r="F144" s="15" t="s">
        <v>1390</v>
      </c>
      <c r="G144" s="15" t="s">
        <v>1390</v>
      </c>
    </row>
    <row r="145" spans="1:7" ht="41.4" x14ac:dyDescent="0.3">
      <c r="A145" s="10">
        <v>227</v>
      </c>
      <c r="B145" s="18" t="s">
        <v>1226</v>
      </c>
      <c r="C145">
        <f t="shared" si="4"/>
        <v>2</v>
      </c>
      <c r="D145" s="15" t="e">
        <v>#N/A</v>
      </c>
      <c r="E145" s="15" t="s">
        <v>1226</v>
      </c>
      <c r="F145" s="15" t="s">
        <v>1390</v>
      </c>
      <c r="G145" s="15" t="s">
        <v>1390</v>
      </c>
    </row>
    <row r="146" spans="1:7" ht="41.4" x14ac:dyDescent="0.3">
      <c r="A146" s="10">
        <v>228</v>
      </c>
      <c r="B146" s="18" t="s">
        <v>1393</v>
      </c>
      <c r="C146">
        <f t="shared" si="4"/>
        <v>2</v>
      </c>
      <c r="D146" s="15" t="e">
        <v>#N/A</v>
      </c>
      <c r="E146" s="15" t="s">
        <v>1228</v>
      </c>
      <c r="F146" s="15" t="s">
        <v>1393</v>
      </c>
      <c r="G146" s="15" t="s">
        <v>1393</v>
      </c>
    </row>
    <row r="147" spans="1:7" ht="41.4" x14ac:dyDescent="0.3">
      <c r="A147" s="10">
        <v>228</v>
      </c>
      <c r="B147" s="18" t="s">
        <v>1228</v>
      </c>
      <c r="C147">
        <f t="shared" si="4"/>
        <v>2</v>
      </c>
      <c r="D147" s="15" t="e">
        <v>#N/A</v>
      </c>
      <c r="E147" s="15" t="s">
        <v>1228</v>
      </c>
      <c r="F147" s="15" t="s">
        <v>1393</v>
      </c>
      <c r="G147" s="15" t="s">
        <v>1393</v>
      </c>
    </row>
    <row r="148" spans="1:7" ht="27.6" x14ac:dyDescent="0.3">
      <c r="A148" s="10">
        <v>229</v>
      </c>
      <c r="B148" s="18" t="s">
        <v>1399</v>
      </c>
      <c r="C148">
        <f t="shared" si="4"/>
        <v>1</v>
      </c>
      <c r="D148" s="15" t="e">
        <v>#N/A</v>
      </c>
      <c r="E148" s="15" t="e">
        <v>#N/A</v>
      </c>
      <c r="F148" s="15" t="s">
        <v>1399</v>
      </c>
      <c r="G148" s="15" t="s">
        <v>1399</v>
      </c>
    </row>
    <row r="149" spans="1:7" ht="41.4" x14ac:dyDescent="0.3">
      <c r="A149" s="10">
        <v>230</v>
      </c>
      <c r="B149" s="18" t="s">
        <v>1396</v>
      </c>
      <c r="C149">
        <f t="shared" si="4"/>
        <v>1</v>
      </c>
      <c r="D149" s="15" t="e">
        <v>#N/A</v>
      </c>
      <c r="E149" s="15" t="e">
        <v>#N/A</v>
      </c>
      <c r="F149" s="15" t="s">
        <v>1396</v>
      </c>
      <c r="G149" s="15" t="s">
        <v>1396</v>
      </c>
    </row>
    <row r="150" spans="1:7" ht="41.4" x14ac:dyDescent="0.3">
      <c r="A150" s="10">
        <v>231</v>
      </c>
      <c r="B150" s="18" t="s">
        <v>1402</v>
      </c>
      <c r="C150">
        <f t="shared" si="4"/>
        <v>1</v>
      </c>
      <c r="D150" s="15" t="e">
        <v>#N/A</v>
      </c>
      <c r="E150" s="15" t="e">
        <v>#N/A</v>
      </c>
      <c r="F150" s="15" t="s">
        <v>1402</v>
      </c>
      <c r="G150" s="15" t="e">
        <v>#N/A</v>
      </c>
    </row>
    <row r="151" spans="1:7" ht="27.6" x14ac:dyDescent="0.3">
      <c r="A151" s="10">
        <v>232</v>
      </c>
      <c r="B151" s="18" t="s">
        <v>1440</v>
      </c>
      <c r="C151">
        <f t="shared" si="4"/>
        <v>1</v>
      </c>
      <c r="D151" s="15" t="e">
        <v>#N/A</v>
      </c>
      <c r="E151" s="15" t="e">
        <v>#N/A</v>
      </c>
      <c r="F151" s="15" t="s">
        <v>1440</v>
      </c>
      <c r="G151" s="15" t="e">
        <v>#N/A</v>
      </c>
    </row>
    <row r="152" spans="1:7" ht="27.6" x14ac:dyDescent="0.3">
      <c r="A152" s="10">
        <v>233</v>
      </c>
      <c r="B152" s="18" t="s">
        <v>1443</v>
      </c>
      <c r="C152">
        <f t="shared" si="4"/>
        <v>1</v>
      </c>
      <c r="D152" s="15" t="e">
        <v>#N/A</v>
      </c>
      <c r="E152" s="15" t="e">
        <v>#N/A</v>
      </c>
      <c r="F152" s="15" t="s">
        <v>1443</v>
      </c>
      <c r="G152" s="15" t="e">
        <v>#N/A</v>
      </c>
    </row>
    <row r="153" spans="1:7" ht="27.6" x14ac:dyDescent="0.3">
      <c r="A153" s="10">
        <v>234</v>
      </c>
      <c r="B153" s="18" t="s">
        <v>1446</v>
      </c>
      <c r="C153">
        <f t="shared" si="4"/>
        <v>1</v>
      </c>
      <c r="D153" s="15" t="e">
        <v>#N/A</v>
      </c>
      <c r="E153" s="15" t="e">
        <v>#N/A</v>
      </c>
      <c r="F153" s="15" t="s">
        <v>1446</v>
      </c>
      <c r="G153" s="15" t="e">
        <v>#N/A</v>
      </c>
    </row>
    <row r="154" spans="1:7" ht="41.4" x14ac:dyDescent="0.3">
      <c r="A154" s="10">
        <v>235</v>
      </c>
      <c r="B154" s="18" t="s">
        <v>1377</v>
      </c>
      <c r="C154">
        <f t="shared" si="4"/>
        <v>1</v>
      </c>
      <c r="D154" s="15" t="e">
        <v>#N/A</v>
      </c>
      <c r="E154" s="15" t="e">
        <v>#N/A</v>
      </c>
      <c r="F154" s="15" t="s">
        <v>1377</v>
      </c>
      <c r="G154" s="15" t="e">
        <v>#N/A</v>
      </c>
    </row>
    <row r="155" spans="1:7" ht="27.6" x14ac:dyDescent="0.3">
      <c r="A155" s="10">
        <v>236</v>
      </c>
      <c r="B155" s="18" t="s">
        <v>1411</v>
      </c>
      <c r="C155">
        <f t="shared" si="4"/>
        <v>1</v>
      </c>
      <c r="D155" s="15" t="e">
        <v>#N/A</v>
      </c>
      <c r="E155" s="15" t="e">
        <v>#N/A</v>
      </c>
      <c r="F155" s="15" t="s">
        <v>1411</v>
      </c>
      <c r="G155" s="15" t="e">
        <v>#N/A</v>
      </c>
    </row>
    <row r="156" spans="1:7" ht="27.6" x14ac:dyDescent="0.3">
      <c r="A156" s="10">
        <v>237</v>
      </c>
      <c r="B156" s="18" t="s">
        <v>1854</v>
      </c>
      <c r="C156">
        <f t="shared" si="4"/>
        <v>1</v>
      </c>
      <c r="D156" s="15" t="e">
        <v>#N/A</v>
      </c>
      <c r="E156" s="15" t="e">
        <v>#N/A</v>
      </c>
      <c r="F156" s="15" t="e">
        <v>#N/A</v>
      </c>
      <c r="G156" s="15" t="s">
        <v>1854</v>
      </c>
    </row>
    <row r="157" spans="1:7" ht="41.4" x14ac:dyDescent="0.3">
      <c r="A157" s="10">
        <v>238</v>
      </c>
      <c r="B157" s="18" t="s">
        <v>1856</v>
      </c>
      <c r="C157">
        <f t="shared" si="4"/>
        <v>1</v>
      </c>
      <c r="D157" s="15" t="e">
        <v>#N/A</v>
      </c>
      <c r="E157" s="15" t="e">
        <v>#N/A</v>
      </c>
      <c r="F157" s="15" t="e">
        <v>#N/A</v>
      </c>
      <c r="G157" s="15" t="s">
        <v>1856</v>
      </c>
    </row>
    <row r="158" spans="1:7" ht="27.6" x14ac:dyDescent="0.3">
      <c r="A158" s="10">
        <v>239</v>
      </c>
      <c r="B158" s="18" t="s">
        <v>1858</v>
      </c>
      <c r="C158">
        <f t="shared" si="4"/>
        <v>1</v>
      </c>
      <c r="D158" s="15" t="e">
        <v>#N/A</v>
      </c>
      <c r="E158" s="15" t="e">
        <v>#N/A</v>
      </c>
      <c r="F158" s="15" t="e">
        <v>#N/A</v>
      </c>
      <c r="G158" s="15" t="s">
        <v>1858</v>
      </c>
    </row>
    <row r="159" spans="1:7" ht="41.4" x14ac:dyDescent="0.3">
      <c r="A159" s="10">
        <v>240</v>
      </c>
      <c r="B159" s="18" t="s">
        <v>1764</v>
      </c>
      <c r="C159">
        <f t="shared" si="4"/>
        <v>1</v>
      </c>
      <c r="D159" s="15" t="e">
        <v>#N/A</v>
      </c>
      <c r="E159" s="15" t="e">
        <v>#N/A</v>
      </c>
      <c r="F159" s="15" t="e">
        <v>#N/A</v>
      </c>
      <c r="G159" s="15" t="s">
        <v>1764</v>
      </c>
    </row>
    <row r="160" spans="1:7" ht="41.4" x14ac:dyDescent="0.3">
      <c r="A160" s="10">
        <v>241</v>
      </c>
      <c r="B160" s="18" t="s">
        <v>1766</v>
      </c>
      <c r="C160">
        <f t="shared" si="4"/>
        <v>1</v>
      </c>
      <c r="D160" s="15" t="e">
        <v>#N/A</v>
      </c>
      <c r="E160" s="15" t="e">
        <v>#N/A</v>
      </c>
      <c r="F160" s="15" t="e">
        <v>#N/A</v>
      </c>
      <c r="G160" s="15" t="s">
        <v>1766</v>
      </c>
    </row>
    <row r="161" spans="1:7" ht="41.4" x14ac:dyDescent="0.3">
      <c r="A161" s="10">
        <v>242</v>
      </c>
      <c r="B161" s="18" t="s">
        <v>1768</v>
      </c>
      <c r="C161">
        <f t="shared" si="4"/>
        <v>1</v>
      </c>
      <c r="D161" s="15" t="e">
        <v>#N/A</v>
      </c>
      <c r="E161" s="15" t="e">
        <v>#N/A</v>
      </c>
      <c r="F161" s="15" t="e">
        <v>#N/A</v>
      </c>
      <c r="G161" s="15" t="s">
        <v>1768</v>
      </c>
    </row>
    <row r="162" spans="1:7" ht="27.6" x14ac:dyDescent="0.3">
      <c r="A162" s="10">
        <v>243</v>
      </c>
      <c r="B162" s="18" t="s">
        <v>1781</v>
      </c>
      <c r="C162">
        <f t="shared" ref="C162:C180" si="5">+COUNTIF(A:A,A162)</f>
        <v>1</v>
      </c>
      <c r="D162" s="15" t="e">
        <v>#N/A</v>
      </c>
      <c r="E162" s="15" t="e">
        <v>#N/A</v>
      </c>
      <c r="F162" s="15" t="e">
        <v>#N/A</v>
      </c>
      <c r="G162" s="15" t="s">
        <v>1781</v>
      </c>
    </row>
    <row r="163" spans="1:7" ht="41.4" x14ac:dyDescent="0.3">
      <c r="A163" s="10">
        <v>244</v>
      </c>
      <c r="B163" s="18" t="s">
        <v>1783</v>
      </c>
      <c r="C163">
        <f t="shared" si="5"/>
        <v>1</v>
      </c>
      <c r="D163" s="15" t="e">
        <v>#N/A</v>
      </c>
      <c r="E163" s="15" t="e">
        <v>#N/A</v>
      </c>
      <c r="F163" s="15" t="e">
        <v>#N/A</v>
      </c>
      <c r="G163" s="15" t="s">
        <v>1783</v>
      </c>
    </row>
    <row r="164" spans="1:7" ht="27.6" x14ac:dyDescent="0.3">
      <c r="A164" s="10">
        <v>245</v>
      </c>
      <c r="B164" s="18" t="s">
        <v>1785</v>
      </c>
      <c r="C164">
        <f t="shared" si="5"/>
        <v>1</v>
      </c>
      <c r="D164" s="15" t="e">
        <v>#N/A</v>
      </c>
      <c r="E164" s="15" t="e">
        <v>#N/A</v>
      </c>
      <c r="F164" s="15" t="e">
        <v>#N/A</v>
      </c>
      <c r="G164" s="15" t="s">
        <v>1785</v>
      </c>
    </row>
    <row r="165" spans="1:7" ht="41.4" x14ac:dyDescent="0.3">
      <c r="A165" s="10">
        <v>246</v>
      </c>
      <c r="B165" s="18" t="s">
        <v>1737</v>
      </c>
      <c r="C165">
        <f t="shared" si="5"/>
        <v>1</v>
      </c>
      <c r="D165" s="15" t="e">
        <v>#N/A</v>
      </c>
      <c r="E165" s="15" t="e">
        <v>#N/A</v>
      </c>
      <c r="F165" s="15" t="e">
        <v>#N/A</v>
      </c>
      <c r="G165" s="15" t="s">
        <v>1737</v>
      </c>
    </row>
    <row r="166" spans="1:7" ht="41.4" x14ac:dyDescent="0.3">
      <c r="A166" s="10">
        <v>247</v>
      </c>
      <c r="B166" s="18" t="s">
        <v>1740</v>
      </c>
      <c r="C166">
        <f t="shared" si="5"/>
        <v>1</v>
      </c>
      <c r="D166" s="15" t="e">
        <v>#N/A</v>
      </c>
      <c r="E166" s="15" t="e">
        <v>#N/A</v>
      </c>
      <c r="F166" s="15" t="e">
        <v>#N/A</v>
      </c>
      <c r="G166" s="15" t="s">
        <v>1740</v>
      </c>
    </row>
    <row r="167" spans="1:7" ht="27.6" x14ac:dyDescent="0.3">
      <c r="A167" s="10">
        <v>248</v>
      </c>
      <c r="B167" s="18" t="s">
        <v>1744</v>
      </c>
      <c r="C167">
        <f t="shared" si="5"/>
        <v>1</v>
      </c>
      <c r="D167" s="15" t="e">
        <v>#N/A</v>
      </c>
      <c r="E167" s="15" t="e">
        <v>#N/A</v>
      </c>
      <c r="F167" s="15" t="e">
        <v>#N/A</v>
      </c>
      <c r="G167" s="15" t="s">
        <v>1744</v>
      </c>
    </row>
    <row r="168" spans="1:7" ht="27.6" x14ac:dyDescent="0.3">
      <c r="A168" s="10">
        <v>249</v>
      </c>
      <c r="B168" s="18" t="s">
        <v>1750</v>
      </c>
      <c r="C168">
        <f t="shared" si="5"/>
        <v>1</v>
      </c>
      <c r="D168" s="15" t="e">
        <v>#N/A</v>
      </c>
      <c r="E168" s="15" t="e">
        <v>#N/A</v>
      </c>
      <c r="F168" s="15" t="e">
        <v>#N/A</v>
      </c>
      <c r="G168" s="15" t="s">
        <v>1750</v>
      </c>
    </row>
    <row r="169" spans="1:7" ht="41.4" x14ac:dyDescent="0.3">
      <c r="A169" s="10">
        <v>250</v>
      </c>
      <c r="B169" s="18" t="s">
        <v>1752</v>
      </c>
      <c r="C169">
        <f t="shared" si="5"/>
        <v>1</v>
      </c>
      <c r="D169" s="15" t="e">
        <v>#N/A</v>
      </c>
      <c r="E169" s="15" t="e">
        <v>#N/A</v>
      </c>
      <c r="F169" s="15" t="e">
        <v>#N/A</v>
      </c>
      <c r="G169" s="15" t="s">
        <v>1752</v>
      </c>
    </row>
    <row r="170" spans="1:7" ht="27.6" x14ac:dyDescent="0.3">
      <c r="A170" s="10">
        <v>251</v>
      </c>
      <c r="B170" s="18" t="s">
        <v>1755</v>
      </c>
      <c r="C170">
        <f t="shared" si="5"/>
        <v>1</v>
      </c>
      <c r="D170" s="15" t="e">
        <v>#N/A</v>
      </c>
      <c r="E170" s="15" t="e">
        <v>#N/A</v>
      </c>
      <c r="F170" s="15" t="e">
        <v>#N/A</v>
      </c>
      <c r="G170" s="15" t="s">
        <v>1755</v>
      </c>
    </row>
    <row r="171" spans="1:7" ht="27.6" x14ac:dyDescent="0.3">
      <c r="A171" s="10">
        <v>252</v>
      </c>
      <c r="B171" s="18" t="s">
        <v>1793</v>
      </c>
      <c r="C171">
        <f t="shared" si="5"/>
        <v>1</v>
      </c>
      <c r="D171" s="15" t="e">
        <v>#N/A</v>
      </c>
      <c r="E171" s="15" t="e">
        <v>#N/A</v>
      </c>
      <c r="F171" s="15" t="e">
        <v>#N/A</v>
      </c>
      <c r="G171" s="15" t="s">
        <v>1793</v>
      </c>
    </row>
    <row r="172" spans="1:7" ht="41.4" x14ac:dyDescent="0.3">
      <c r="A172" s="10">
        <v>253</v>
      </c>
      <c r="B172" s="18" t="s">
        <v>1840</v>
      </c>
      <c r="C172">
        <f t="shared" si="5"/>
        <v>1</v>
      </c>
      <c r="D172" s="15" t="e">
        <v>#N/A</v>
      </c>
      <c r="E172" s="15" t="e">
        <v>#N/A</v>
      </c>
      <c r="F172" s="15" t="e">
        <v>#N/A</v>
      </c>
      <c r="G172" s="15" t="s">
        <v>1840</v>
      </c>
    </row>
    <row r="173" spans="1:7" ht="41.4" x14ac:dyDescent="0.3">
      <c r="A173" s="10">
        <v>254</v>
      </c>
      <c r="B173" s="18" t="s">
        <v>1845</v>
      </c>
      <c r="C173">
        <f t="shared" si="5"/>
        <v>1</v>
      </c>
      <c r="D173" s="15" t="e">
        <v>#N/A</v>
      </c>
      <c r="E173" s="15" t="e">
        <v>#N/A</v>
      </c>
      <c r="F173" s="15" t="e">
        <v>#N/A</v>
      </c>
      <c r="G173" s="15" t="s">
        <v>1845</v>
      </c>
    </row>
    <row r="174" spans="1:7" ht="41.4" x14ac:dyDescent="0.3">
      <c r="A174" s="10">
        <v>255</v>
      </c>
      <c r="B174" s="18" t="s">
        <v>1842</v>
      </c>
      <c r="C174">
        <f t="shared" si="5"/>
        <v>1</v>
      </c>
      <c r="D174" s="15" t="e">
        <v>#N/A</v>
      </c>
      <c r="E174" s="15" t="e">
        <v>#N/A</v>
      </c>
      <c r="F174" s="15" t="e">
        <v>#N/A</v>
      </c>
      <c r="G174" s="15" t="s">
        <v>1842</v>
      </c>
    </row>
    <row r="175" spans="1:7" ht="41.4" x14ac:dyDescent="0.3">
      <c r="A175" s="10">
        <v>256</v>
      </c>
      <c r="B175" s="18" t="s">
        <v>1413</v>
      </c>
      <c r="C175">
        <f t="shared" si="5"/>
        <v>2</v>
      </c>
      <c r="D175" s="15" t="e">
        <v>#N/A</v>
      </c>
      <c r="E175" s="15" t="e">
        <v>#N/A</v>
      </c>
      <c r="F175" s="15" t="s">
        <v>1413</v>
      </c>
      <c r="G175" s="15" t="s">
        <v>1904</v>
      </c>
    </row>
    <row r="176" spans="1:7" ht="41.4" x14ac:dyDescent="0.3">
      <c r="A176" s="10">
        <v>256</v>
      </c>
      <c r="B176" s="18" t="s">
        <v>1904</v>
      </c>
      <c r="C176">
        <f t="shared" si="5"/>
        <v>2</v>
      </c>
      <c r="D176" s="15" t="e">
        <v>#N/A</v>
      </c>
      <c r="E176" s="15" t="e">
        <v>#N/A</v>
      </c>
      <c r="F176" s="15" t="s">
        <v>1413</v>
      </c>
      <c r="G176" s="15" t="s">
        <v>1904</v>
      </c>
    </row>
    <row r="177" spans="1:7" ht="41.4" x14ac:dyDescent="0.3">
      <c r="A177" s="10">
        <v>257</v>
      </c>
      <c r="B177" s="18" t="s">
        <v>1364</v>
      </c>
      <c r="C177">
        <f t="shared" si="5"/>
        <v>1</v>
      </c>
      <c r="D177" s="15" t="e">
        <v>#N/A</v>
      </c>
      <c r="E177" s="15" t="e">
        <v>#N/A</v>
      </c>
      <c r="F177" s="15" t="s">
        <v>1364</v>
      </c>
      <c r="G177" s="15" t="e">
        <v>#N/A</v>
      </c>
    </row>
    <row r="178" spans="1:7" x14ac:dyDescent="0.3">
      <c r="A178" s="10">
        <v>258</v>
      </c>
      <c r="B178" s="18" t="s">
        <v>1419</v>
      </c>
      <c r="C178">
        <f t="shared" si="5"/>
        <v>1</v>
      </c>
      <c r="D178" s="15" t="e">
        <v>#N/A</v>
      </c>
      <c r="E178" s="15" t="e">
        <v>#N/A</v>
      </c>
      <c r="F178" s="15" t="s">
        <v>1419</v>
      </c>
      <c r="G178" s="15" t="e">
        <v>#N/A</v>
      </c>
    </row>
    <row r="179" spans="1:7" x14ac:dyDescent="0.3">
      <c r="A179" s="10">
        <v>264</v>
      </c>
      <c r="B179" s="18" t="s">
        <v>1706</v>
      </c>
      <c r="C179">
        <f t="shared" si="5"/>
        <v>1</v>
      </c>
      <c r="D179" s="15" t="e">
        <v>#N/A</v>
      </c>
      <c r="E179" s="15" t="e">
        <v>#N/A</v>
      </c>
      <c r="F179" s="15" t="e">
        <v>#N/A</v>
      </c>
      <c r="G179" s="15" t="s">
        <v>1706</v>
      </c>
    </row>
    <row r="180" spans="1:7" ht="27.6" x14ac:dyDescent="0.3">
      <c r="A180" s="10">
        <v>265</v>
      </c>
      <c r="B180" s="18" t="s">
        <v>1849</v>
      </c>
      <c r="C180">
        <f t="shared" si="5"/>
        <v>1</v>
      </c>
      <c r="D180" s="15" t="e">
        <v>#N/A</v>
      </c>
      <c r="E180" s="15" t="e">
        <v>#N/A</v>
      </c>
      <c r="F180" s="15" t="e">
        <v>#N/A</v>
      </c>
      <c r="G180" s="15" t="s">
        <v>1849</v>
      </c>
    </row>
  </sheetData>
  <autoFilter ref="A1:G1" xr:uid="{25CDDC7B-F844-4F5F-8D3E-553F4F78BB2B}">
    <sortState xmlns:xlrd2="http://schemas.microsoft.com/office/spreadsheetml/2017/richdata2" ref="A2:G180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CRUCE</vt:lpstr>
      <vt:lpstr>Fuentes y Usos</vt:lpstr>
      <vt:lpstr>2021</vt:lpstr>
      <vt:lpstr>2022</vt:lpstr>
      <vt:lpstr>2023</vt:lpstr>
      <vt:lpstr>2024</vt:lpstr>
      <vt:lpstr>COD_REC TODOS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Séfora Ríos</dc:creator>
  <cp:lastModifiedBy>Beatriz Eugenia Londoño Giraldo</cp:lastModifiedBy>
  <dcterms:created xsi:type="dcterms:W3CDTF">2024-02-16T22:45:26Z</dcterms:created>
  <dcterms:modified xsi:type="dcterms:W3CDTF">2024-02-19T16:34:43Z</dcterms:modified>
</cp:coreProperties>
</file>