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35588113-AD8D-403F-9EEF-C1E13A20C8F9}" xr6:coauthVersionLast="47" xr6:coauthVersionMax="47" xr10:uidLastSave="{00000000-0000-0000-0000-000000000000}"/>
  <bookViews>
    <workbookView xWindow="-120" yWindow="-120" windowWidth="20730" windowHeight="11040" xr2:uid="{00000000-000D-0000-FFFF-FFFF00000000}"/>
  </bookViews>
  <sheets>
    <sheet name="Matriz" sheetId="1" r:id="rId1"/>
    <sheet name="Avance Total" sheetId="9" r:id="rId2"/>
  </sheets>
  <externalReferences>
    <externalReference r:id="rId3"/>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5" i="9" l="1"/>
  <c r="CG7" i="1"/>
  <c r="CH75" i="1"/>
  <c r="CG75" i="1"/>
  <c r="CH58" i="1"/>
  <c r="CG58" i="1"/>
  <c r="CH43" i="1"/>
  <c r="CG43" i="1"/>
  <c r="CH18" i="1"/>
  <c r="CG18" i="1"/>
  <c r="CH65" i="1"/>
  <c r="CG65" i="1"/>
  <c r="CH62" i="1"/>
  <c r="CG62" i="1"/>
  <c r="J13" i="1"/>
  <c r="Q13" i="1"/>
  <c r="BY13" i="1"/>
  <c r="BZ13" i="1"/>
  <c r="CA13" i="1" s="1"/>
  <c r="CE13" i="1"/>
  <c r="CG13" i="1"/>
  <c r="CH13" i="1"/>
  <c r="CI13" i="1" s="1"/>
  <c r="CL13" i="1"/>
  <c r="CN13" i="1" s="1"/>
  <c r="CM13" i="1"/>
  <c r="CH42" i="1"/>
  <c r="CG42" i="1"/>
  <c r="CH21" i="1" l="1"/>
  <c r="CG21" i="1"/>
  <c r="CH25" i="1"/>
  <c r="CG25" i="1"/>
  <c r="CH48" i="1" l="1"/>
  <c r="CG48" i="1"/>
  <c r="CG41" i="1"/>
  <c r="CH41" i="1"/>
  <c r="CH40" i="1"/>
  <c r="CG40" i="1"/>
  <c r="CI36" i="1"/>
  <c r="CH35" i="1"/>
  <c r="CG35" i="1"/>
  <c r="CI40" i="1" l="1"/>
  <c r="CH70" i="1" l="1"/>
  <c r="CG70" i="1"/>
  <c r="CH69" i="1"/>
  <c r="CH68" i="1"/>
  <c r="CG68" i="1"/>
  <c r="CH66" i="1"/>
  <c r="CG66" i="1"/>
  <c r="CH64" i="1" l="1"/>
  <c r="CG64" i="1"/>
  <c r="CH60" i="1"/>
  <c r="CG60" i="1"/>
  <c r="CH59" i="1"/>
  <c r="CG59" i="1"/>
  <c r="CH37" i="1"/>
  <c r="CG37" i="1"/>
  <c r="CH14" i="1"/>
  <c r="CH12" i="1"/>
  <c r="CG12" i="1"/>
  <c r="CH7" i="1"/>
  <c r="CH5" i="1"/>
  <c r="CG5" i="1"/>
  <c r="CH4" i="1"/>
  <c r="CG4" i="1"/>
  <c r="CI4" i="1" l="1"/>
  <c r="CI18" i="1"/>
  <c r="CG6" i="1"/>
  <c r="CI7" i="1"/>
  <c r="CH6" i="1"/>
  <c r="CI5" i="1"/>
  <c r="CE59" i="1"/>
  <c r="CI58" i="1" l="1"/>
  <c r="CI6" i="1"/>
  <c r="CF40" i="1"/>
  <c r="CF83" i="1"/>
  <c r="CG83" i="1"/>
  <c r="CF48" i="1"/>
  <c r="CG74" i="1" l="1"/>
  <c r="CH74" i="1" s="1"/>
  <c r="CG84" i="1" l="1"/>
  <c r="CG82" i="1"/>
  <c r="CI12" i="1"/>
  <c r="I31" i="9"/>
  <c r="CF42" i="1"/>
  <c r="CE35" i="1"/>
  <c r="CF4" i="1"/>
  <c r="CH85" i="1"/>
  <c r="CG85" i="1"/>
  <c r="CH84" i="1"/>
  <c r="CH83" i="1"/>
  <c r="CH82" i="1"/>
  <c r="CI74" i="1"/>
  <c r="CI71" i="1"/>
  <c r="CG69" i="1"/>
  <c r="CI65" i="1"/>
  <c r="CI60" i="1"/>
  <c r="CH55" i="1"/>
  <c r="CG55" i="1"/>
  <c r="CH53" i="1"/>
  <c r="CG53" i="1"/>
  <c r="CH51" i="1"/>
  <c r="CG51" i="1"/>
  <c r="CH49" i="1"/>
  <c r="CG49" i="1"/>
  <c r="CH46" i="1"/>
  <c r="CG46" i="1"/>
  <c r="CG44" i="1"/>
  <c r="CI44" i="1" s="1"/>
  <c r="CI42" i="1"/>
  <c r="CI41" i="1"/>
  <c r="CI37" i="1"/>
  <c r="CI35" i="1"/>
  <c r="CI34" i="1"/>
  <c r="CH33" i="1"/>
  <c r="CG33" i="1"/>
  <c r="CH31" i="1"/>
  <c r="CG31" i="1"/>
  <c r="CH27" i="1"/>
  <c r="CG27" i="1"/>
  <c r="CI25" i="1"/>
  <c r="CI14" i="1"/>
  <c r="H35" i="9"/>
  <c r="B7" i="9" s="1"/>
  <c r="G35" i="9"/>
  <c r="B6" i="9" s="1"/>
  <c r="F35" i="9"/>
  <c r="B5" i="9" s="1"/>
  <c r="E35" i="9"/>
  <c r="B3" i="9"/>
  <c r="I34" i="9"/>
  <c r="I33" i="9"/>
  <c r="I32" i="9"/>
  <c r="I30" i="9"/>
  <c r="CN85" i="1"/>
  <c r="CF85" i="1"/>
  <c r="CN84" i="1"/>
  <c r="CF84" i="1"/>
  <c r="CN83" i="1"/>
  <c r="CN82" i="1"/>
  <c r="CF82" i="1"/>
  <c r="CN80" i="1"/>
  <c r="CF80" i="1"/>
  <c r="CN79" i="1"/>
  <c r="CF79" i="1"/>
  <c r="CF75" i="1"/>
  <c r="CN71" i="1"/>
  <c r="CN70" i="1"/>
  <c r="CN69" i="1"/>
  <c r="CF69" i="1"/>
  <c r="CN68" i="1"/>
  <c r="CF68" i="1"/>
  <c r="CN66" i="1"/>
  <c r="CF66" i="1"/>
  <c r="CF65" i="1"/>
  <c r="CF61" i="1"/>
  <c r="CF51" i="1"/>
  <c r="CF49" i="1"/>
  <c r="CN42" i="1"/>
  <c r="CN41" i="1"/>
  <c r="CN40" i="1"/>
  <c r="CM35" i="1"/>
  <c r="CN30" i="1"/>
  <c r="CF30" i="1"/>
  <c r="CN26" i="1"/>
  <c r="CF26" i="1"/>
  <c r="CN25" i="1"/>
  <c r="CN8" i="1"/>
  <c r="CN7" i="1"/>
  <c r="CF7" i="1"/>
  <c r="CN6" i="1"/>
  <c r="CF6" i="1"/>
  <c r="CN5" i="1"/>
  <c r="CF5" i="1"/>
  <c r="CN4" i="1"/>
  <c r="CA55" i="1"/>
  <c r="CI49" i="1" l="1"/>
  <c r="CI33" i="1"/>
  <c r="CI70" i="1"/>
  <c r="CI82" i="1"/>
  <c r="CF87" i="1"/>
  <c r="CI31" i="1"/>
  <c r="CI53" i="1"/>
  <c r="CI64" i="1"/>
  <c r="CI27" i="1"/>
  <c r="CI43" i="1"/>
  <c r="CI55" i="1"/>
  <c r="CI83" i="1"/>
  <c r="CI68" i="1"/>
  <c r="CI84" i="1"/>
  <c r="CI48" i="1"/>
  <c r="CI69" i="1"/>
  <c r="CI80" i="1"/>
  <c r="CI46" i="1"/>
  <c r="CI59" i="1"/>
  <c r="CI62" i="1"/>
  <c r="CI85" i="1"/>
  <c r="I35" i="9"/>
  <c r="CN87" i="1"/>
  <c r="CA35" i="1"/>
  <c r="BW35" i="1"/>
  <c r="CA53" i="1" l="1"/>
  <c r="BY51" i="1"/>
  <c r="BZ49" i="1"/>
  <c r="BY49" i="1"/>
  <c r="BY12" i="1" l="1"/>
  <c r="BX82" i="1"/>
  <c r="BZ51" i="1" l="1"/>
  <c r="BZ43" i="1"/>
  <c r="BY43" i="1"/>
  <c r="CA80" i="1" l="1"/>
  <c r="BZ46" i="1" l="1"/>
  <c r="BY46" i="1"/>
  <c r="BZ69" i="1" l="1"/>
  <c r="BZ70" i="1"/>
  <c r="BY70" i="1"/>
  <c r="BZ68" i="1"/>
  <c r="BZ66" i="1"/>
  <c r="BZ12" i="1" l="1"/>
  <c r="BZ64" i="1" l="1"/>
  <c r="BY64" i="1"/>
  <c r="BZ62" i="1"/>
  <c r="BY62" i="1"/>
  <c r="BZ60" i="1"/>
  <c r="BY60" i="1"/>
  <c r="BZ59" i="1"/>
  <c r="BY59" i="1"/>
  <c r="BZ33" i="1"/>
  <c r="BY33" i="1"/>
  <c r="BZ27" i="1" l="1"/>
  <c r="BY27" i="1"/>
  <c r="BZ5" i="1"/>
  <c r="BY4" i="1"/>
  <c r="BZ85" i="1"/>
  <c r="BY85" i="1"/>
  <c r="BZ58" i="1"/>
  <c r="BY58" i="1"/>
  <c r="BZ37" i="1"/>
  <c r="BY37" i="1"/>
  <c r="CA33" i="1"/>
  <c r="CA84" i="1" l="1"/>
  <c r="CA83" i="1"/>
  <c r="BZ75" i="1"/>
  <c r="BZ74" i="1"/>
  <c r="CA71" i="1"/>
  <c r="CA69" i="1"/>
  <c r="CA68" i="1"/>
  <c r="CA65" i="1"/>
  <c r="CA49" i="1"/>
  <c r="CA48" i="1"/>
  <c r="CA44" i="1"/>
  <c r="CA41" i="1"/>
  <c r="CA27" i="1"/>
  <c r="CA14" i="1"/>
  <c r="CA6" i="1"/>
  <c r="CA4" i="1"/>
  <c r="BX5" i="1"/>
  <c r="CA74" i="1" l="1"/>
  <c r="CA70" i="1"/>
  <c r="BZ21" i="1"/>
  <c r="BY21" i="1"/>
  <c r="BZ82" i="1"/>
  <c r="BY82" i="1"/>
  <c r="CA62" i="1"/>
  <c r="CA59" i="1"/>
  <c r="CA46" i="1"/>
  <c r="BY31" i="1"/>
  <c r="CA31" i="1" s="1"/>
  <c r="BY25" i="1"/>
  <c r="CA25" i="1" s="1"/>
  <c r="BZ18" i="1"/>
  <c r="BY18" i="1"/>
  <c r="BX4" i="1"/>
  <c r="CA82" i="1" l="1"/>
  <c r="CA37" i="1"/>
  <c r="CA12" i="1"/>
  <c r="CA60" i="1"/>
  <c r="CA64" i="1"/>
  <c r="CA85" i="1"/>
  <c r="B9" i="9"/>
  <c r="BC69" i="1"/>
  <c r="BC68" i="1"/>
  <c r="AO66" i="1"/>
  <c r="AH66" i="1"/>
  <c r="BG18" i="1"/>
  <c r="BB61" i="1"/>
  <c r="AP25" i="1"/>
  <c r="AP24" i="1"/>
  <c r="BX85" i="1"/>
  <c r="BX84" i="1"/>
  <c r="BX80" i="1"/>
  <c r="BX79" i="1"/>
  <c r="BX75" i="1"/>
  <c r="BX69" i="1"/>
  <c r="BX68" i="1"/>
  <c r="BX66" i="1"/>
  <c r="BX65" i="1"/>
  <c r="BX61" i="1"/>
  <c r="BX60" i="1"/>
  <c r="BX51" i="1"/>
  <c r="BX49" i="1"/>
  <c r="BX42" i="1"/>
  <c r="CA42" i="1" s="1"/>
  <c r="CA34" i="1"/>
  <c r="BX30" i="1"/>
  <c r="BX26" i="1"/>
  <c r="BX7" i="1"/>
  <c r="BX6" i="1"/>
  <c r="CA87" i="1" l="1"/>
  <c r="BX87" i="1"/>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AA26" i="1" l="1"/>
  <c r="AA79" i="1"/>
  <c r="AA80" i="1"/>
  <c r="AA6" i="1"/>
  <c r="AA84" i="1"/>
  <c r="AA7" i="1"/>
  <c r="CI75" i="1"/>
  <c r="CI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Indeportes0314</author>
    <author>Laura</author>
  </authors>
  <commentList>
    <comment ref="BA32" authorId="0" shapeId="0" xr:uid="{00000000-0006-0000-0000-000002000000}">
      <text>
        <r>
          <rPr>
            <b/>
            <sz val="9"/>
            <color indexed="81"/>
            <rFont val="Tahoma"/>
            <family val="2"/>
          </rPr>
          <t>AUXFAMILIA26:</t>
        </r>
        <r>
          <rPr>
            <sz val="9"/>
            <color indexed="81"/>
            <rFont val="Tahoma"/>
            <family val="2"/>
          </rPr>
          <t xml:space="preserve">
pendiente respuesta universidades </t>
        </r>
      </text>
    </comment>
    <comment ref="BA49" authorId="0" shapeId="0" xr:uid="{00000000-0006-0000-0000-000003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00000000-0006-0000-0000-000004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1" shapeId="0" xr:uid="{00000000-0006-0000-0000-000005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0" shapeId="0" xr:uid="{00000000-0006-0000-0000-000006000000}">
      <text>
        <r>
          <rPr>
            <b/>
            <sz val="9"/>
            <color indexed="81"/>
            <rFont val="Tahoma"/>
            <family val="2"/>
          </rPr>
          <t>AUXFAMILIA26:</t>
        </r>
        <r>
          <rPr>
            <sz val="9"/>
            <color indexed="81"/>
            <rFont val="Tahoma"/>
            <family val="2"/>
          </rPr>
          <t xml:space="preserve">
pendiente respuesta universidades</t>
        </r>
      </text>
    </comment>
    <comment ref="BJ74" authorId="0" shapeId="0" xr:uid="{00000000-0006-0000-0000-000007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 ref="CH80" authorId="2" shapeId="0" xr:uid="{BE925BE4-9477-4A9C-8B8A-92395AD54295}">
      <text>
        <r>
          <rPr>
            <b/>
            <sz val="9"/>
            <color indexed="81"/>
            <rFont val="Tahoma"/>
            <family val="2"/>
          </rPr>
          <t>Laura:</t>
        </r>
        <r>
          <rPr>
            <sz val="9"/>
            <color indexed="81"/>
            <rFont val="Tahoma"/>
            <family val="2"/>
          </rPr>
          <t xml:space="preserve">
verificar, no concuerda con el reporte realizado por la Secretaría de Planeacion </t>
        </r>
      </text>
    </comment>
  </commentList>
</comments>
</file>

<file path=xl/sharedStrings.xml><?xml version="1.0" encoding="utf-8"?>
<sst xmlns="http://schemas.openxmlformats.org/spreadsheetml/2006/main" count="2202" uniqueCount="1164">
  <si>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</si>
  <si>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</si>
  <si>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</si>
  <si>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</si>
  <si>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</si>
  <si>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</si>
  <si>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</si>
  <si>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</si>
  <si>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</si>
  <si>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</si>
  <si>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</si>
  <si>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</si>
  <si>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</si>
  <si>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</si>
  <si>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</si>
  <si>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</si>
  <si>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</si>
  <si>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</si>
  <si>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</si>
  <si>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</si>
  <si>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</si>
  <si>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</si>
  <si>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</si>
  <si>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</si>
  <si>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</si>
  <si>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</si>
  <si>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</si>
  <si>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</si>
  <si>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</si>
  <si>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</si>
  <si>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</si>
  <si>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</si>
  <si>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</si>
  <si>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</si>
  <si>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</si>
  <si>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</si>
  <si>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</si>
  <si>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</si>
  <si>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</si>
  <si>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</si>
  <si>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</si>
  <si>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</si>
  <si>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</si>
  <si>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</si>
  <si>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</si>
  <si>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</si>
  <si>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</si>
  <si>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</si>
  <si>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</si>
  <si>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</si>
  <si>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</si>
  <si>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</si>
  <si>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</si>
  <si>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</si>
  <si>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</si>
  <si>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</si>
  <si>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</si>
  <si>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</si>
  <si>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</si>
  <si>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</si>
  <si>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</si>
  <si>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</si>
  <si>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</si>
  <si>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</si>
  <si>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</si>
  <si>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</si>
  <si>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</si>
  <si>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</si>
  <si>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</si>
  <si>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</si>
  <si>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</si>
  <si>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</si>
  <si>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</si>
  <si>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</si>
  <si>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</si>
  <si>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</si>
  <si>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</si>
  <si>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</si>
  <si>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</si>
  <si>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</si>
  <si>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</si>
  <si>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</si>
  <si>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</si>
  <si>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</si>
  <si>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</si>
  <si>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</si>
  <si>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</si>
  <si>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</si>
  <si>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</si>
  <si>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</si>
  <si>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</si>
  <si>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</si>
  <si>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</si>
  <si>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</si>
  <si>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</si>
  <si>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</si>
  <si>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</si>
  <si>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</si>
  <si>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</si>
  <si>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</si>
  <si>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</si>
  <si>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</si>
  <si>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</si>
  <si>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</si>
  <si>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</si>
  <si>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</si>
  <si>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</si>
  <si>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</si>
  <si>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</si>
  <si>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</si>
  <si>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</si>
  <si>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</si>
  <si>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</si>
  <si>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</si>
  <si>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</si>
  <si>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</si>
  <si>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</si>
  <si>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</si>
  <si>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</si>
  <si>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</si>
  <si>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</si>
  <si>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</si>
  <si>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</si>
  <si>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</si>
  <si>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</si>
  <si>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</si>
  <si>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</si>
  <si>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</si>
  <si>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</si>
  <si>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</si>
  <si>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</si>
  <si>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</si>
  <si>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</si>
  <si>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</si>
  <si>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</si>
  <si>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</si>
  <si>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</si>
  <si>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</si>
  <si>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</si>
  <si>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</si>
  <si>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</si>
  <si>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</si>
  <si>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</si>
  <si>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</si>
  <si>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</si>
  <si>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</si>
  <si>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</si>
  <si>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</si>
  <si>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</si>
  <si>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</si>
  <si>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</si>
  <si>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</si>
  <si>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</si>
  <si>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</si>
  <si>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</si>
  <si>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</si>
  <si>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</si>
  <si>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</si>
  <si>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</si>
  <si>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</si>
  <si>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</si>
  <si>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</si>
  <si>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</si>
  <si>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</si>
  <si>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</si>
  <si>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</si>
  <si>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</si>
  <si>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</si>
  <si>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</si>
  <si>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</si>
  <si>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</si>
  <si>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</si>
  <si>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</si>
  <si>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</si>
  <si>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</si>
  <si>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</si>
  <si>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</si>
  <si>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</si>
  <si>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</si>
  <si>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</si>
  <si>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</si>
  <si>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</si>
  <si>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</si>
  <si>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</si>
  <si>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</si>
  <si>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</si>
  <si>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</si>
  <si>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</si>
  <si>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</si>
  <si>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</si>
  <si>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</si>
  <si>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</si>
  <si>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</si>
  <si>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</si>
  <si>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</si>
  <si>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</si>
  <si>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</si>
  <si>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</si>
  <si>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</si>
  <si>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</si>
  <si>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</si>
  <si>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</si>
  <si>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</si>
  <si>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</si>
  <si>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</si>
  <si>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</si>
  <si>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</si>
  <si>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</si>
  <si>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</si>
  <si>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</si>
  <si>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</si>
  <si>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</si>
  <si>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</si>
  <si>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</si>
  <si>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</si>
  <si>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</si>
  <si>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</si>
  <si>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</si>
  <si>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</si>
  <si>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</si>
  <si>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</si>
  <si>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</si>
  <si>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</si>
  <si>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</si>
  <si>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</si>
  <si>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</si>
  <si>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</si>
  <si>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</si>
  <si>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</si>
  <si>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</si>
  <si>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</si>
  <si>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</si>
  <si>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</si>
  <si>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</si>
  <si>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</si>
  <si>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</si>
  <si>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</si>
  <si>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</si>
  <si>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</si>
  <si>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</si>
  <si>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</si>
  <si>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</si>
  <si>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</si>
  <si>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</si>
  <si>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</si>
  <si>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</si>
  <si>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</si>
  <si>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</si>
  <si>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</si>
  <si>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</si>
  <si>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</si>
  <si>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</si>
  <si>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</si>
  <si>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</si>
  <si>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</si>
  <si>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</si>
  <si>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</si>
  <si>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</si>
  <si>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</si>
  <si>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</si>
  <si>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</si>
  <si>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</si>
  <si>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</si>
  <si>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</si>
  <si>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</si>
  <si>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</si>
  <si>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</si>
  <si>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</si>
  <si>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</si>
  <si>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</si>
  <si>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</si>
  <si>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</si>
  <si>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</si>
  <si>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</si>
  <si>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</si>
  <si>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</si>
  <si>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</si>
  <si>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</si>
  <si>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</si>
  <si>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</si>
  <si>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</si>
  <si>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</si>
  <si>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</si>
  <si>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</si>
  <si>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</si>
  <si>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</si>
  <si>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</si>
  <si>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</si>
  <si>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</si>
  <si>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</si>
  <si>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</si>
  <si>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</si>
  <si>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</si>
  <si>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</si>
  <si>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</si>
  <si>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</si>
  <si>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</si>
  <si>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</si>
  <si>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</si>
  <si>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</si>
  <si>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</si>
  <si>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</si>
  <si>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</si>
  <si>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</si>
  <si>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</si>
  <si>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</si>
  <si>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</si>
  <si>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</si>
  <si>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</si>
  <si>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</si>
  <si>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</si>
  <si>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</si>
  <si>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</si>
  <si>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</si>
  <si>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</si>
  <si>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</si>
  <si>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</si>
  <si>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</si>
  <si>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</si>
  <si>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</si>
  <si>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</si>
  <si>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</si>
  <si>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</si>
  <si>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</si>
  <si>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</si>
  <si>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</si>
  <si>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</si>
  <si>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</si>
  <si>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</si>
  <si>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</si>
  <si>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</si>
  <si>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</si>
  <si>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</si>
  <si>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</si>
  <si>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</si>
  <si>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</si>
  <si>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</si>
  <si>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</si>
  <si>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</si>
  <si>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</si>
  <si>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</si>
  <si>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</si>
  <si>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</si>
  <si>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</si>
  <si>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</si>
  <si>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</si>
  <si>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</si>
  <si>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</si>
  <si>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</si>
  <si>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</si>
  <si>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</si>
  <si>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</si>
  <si>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</si>
  <si>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</si>
  <si>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</si>
  <si>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</si>
  <si>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</si>
  <si>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</si>
  <si>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</si>
  <si>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</si>
  <si>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</si>
  <si>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</si>
  <si>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</si>
  <si>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</si>
  <si>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</si>
  <si>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</si>
  <si>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</si>
  <si>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</si>
  <si>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</si>
  <si>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</si>
  <si>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</si>
  <si>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</si>
  <si>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</si>
  <si>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</si>
  <si>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</si>
  <si>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</si>
  <si>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</si>
  <si>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</si>
  <si>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</si>
  <si>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</si>
  <si>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</si>
  <si>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</si>
  <si>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</si>
  <si>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</si>
  <si>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</si>
  <si>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</si>
  <si>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</si>
  <si>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</si>
  <si>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</si>
  <si>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</si>
  <si>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</si>
  <si>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</si>
  <si>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</si>
  <si>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</si>
  <si>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</si>
  <si>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</si>
  <si>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</si>
  <si>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</si>
  <si>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</si>
  <si>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</si>
  <si>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</si>
  <si>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</si>
  <si>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</si>
  <si>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</si>
  <si>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</si>
  <si>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</si>
  <si>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</si>
  <si>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</si>
  <si>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</si>
  <si>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</si>
  <si>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</si>
  <si>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</si>
  <si>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</si>
  <si>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</si>
  <si>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</si>
  <si>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</si>
  <si>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</si>
  <si>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</si>
  <si>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</si>
  <si>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</si>
  <si>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</si>
  <si>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</si>
  <si>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</si>
  <si>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</si>
  <si>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</si>
  <si>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</si>
  <si>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</si>
  <si>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</si>
  <si>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</si>
  <si>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</si>
  <si>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</si>
  <si>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</si>
  <si>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</si>
  <si>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</si>
  <si>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</si>
  <si>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</si>
  <si>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</si>
  <si>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</si>
  <si>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</si>
  <si>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</si>
  <si>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</si>
  <si>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</si>
  <si>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</si>
  <si>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</si>
  <si>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</si>
  <si>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</si>
  <si>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</si>
  <si>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</si>
  <si>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</si>
  <si>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</si>
  <si>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</si>
  <si>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</si>
  <si>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</si>
  <si>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</si>
  <si>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</si>
  <si>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</si>
  <si>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</si>
  <si>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</si>
  <si>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</si>
  <si>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</si>
  <si>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</si>
  <si>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</si>
  <si>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</si>
  <si>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t>20.3%</t>
  </si>
  <si>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</si>
  <si>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</si>
  <si>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</si>
  <si>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</si>
  <si>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</si>
  <si>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</si>
  <si>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</si>
  <si>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</si>
  <si>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</si>
  <si>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</si>
  <si>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</si>
  <si>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</si>
  <si>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</si>
  <si>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</si>
  <si>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</si>
  <si>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</si>
  <si>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</si>
  <si>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</si>
  <si>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</si>
  <si>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</si>
  <si>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</si>
  <si>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</si>
  <si>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</si>
  <si>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</si>
  <si>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</si>
  <si>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</si>
  <si>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</si>
  <si>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</si>
  <si>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</si>
  <si>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</si>
  <si>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</si>
  <si>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</si>
  <si>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</si>
  <si>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</si>
  <si>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</si>
  <si>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</si>
  <si>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</si>
  <si>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</si>
  <si>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</si>
  <si>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</si>
  <si>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</si>
  <si>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</si>
  <si>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</si>
  <si>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</si>
  <si>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</si>
  <si>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</si>
  <si>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</si>
  <si>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</si>
  <si>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</si>
  <si>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</si>
  <si>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</si>
  <si>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</si>
  <si>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</si>
  <si>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</si>
  <si>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</si>
  <si>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</si>
  <si>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</si>
  <si>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</si>
  <si>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</si>
  <si>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</si>
  <si>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</si>
  <si>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</si>
  <si>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</si>
  <si>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</si>
  <si>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</si>
  <si>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</si>
  <si>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</si>
  <si>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</si>
  <si>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</si>
  <si>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</si>
  <si>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</si>
  <si>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</si>
  <si>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</si>
  <si>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</si>
  <si>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</si>
  <si>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</si>
  <si>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</si>
  <si>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</si>
  <si>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</si>
  <si>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</si>
  <si>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</si>
  <si>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</si>
  <si>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</si>
  <si>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</si>
  <si>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</si>
  <si>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</si>
  <si>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</si>
  <si>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</si>
  <si>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</si>
  <si>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</si>
  <si>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</si>
  <si>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</si>
  <si>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</si>
  <si>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</si>
  <si>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</si>
  <si>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</si>
  <si>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</si>
  <si>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</si>
  <si>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</si>
  <si>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</si>
  <si>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</si>
  <si>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</si>
  <si>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</si>
  <si>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</si>
  <si>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</si>
  <si>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</si>
  <si>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</si>
  <si>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</si>
  <si>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</si>
  <si>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</si>
  <si>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</si>
  <si>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</si>
  <si>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</si>
  <si>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</si>
  <si>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</si>
  <si>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</si>
  <si>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</si>
  <si>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</si>
  <si>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</si>
  <si>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</si>
  <si>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</si>
  <si>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</si>
  <si>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</si>
  <si>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</si>
  <si>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</si>
  <si>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</si>
  <si>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</si>
  <si>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</si>
  <si>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</si>
  <si>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</si>
  <si>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</si>
  <si>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</si>
  <si>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</si>
  <si>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</si>
  <si>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</si>
  <si>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</si>
  <si>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</si>
  <si>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</si>
  <si>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</si>
  <si>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</si>
  <si>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</si>
  <si>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</si>
  <si>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</si>
  <si>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</si>
  <si>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</si>
  <si>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</si>
  <si>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</si>
  <si>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</si>
  <si>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</si>
  <si>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</si>
  <si>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</si>
  <si>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</si>
  <si>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</si>
  <si>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</si>
  <si>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</si>
  <si>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</si>
  <si>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</si>
  <si>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</si>
  <si>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</si>
  <si>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</si>
  <si>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</si>
  <si>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</si>
  <si>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</si>
  <si>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</si>
  <si>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</si>
  <si>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</si>
  <si>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</si>
  <si>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</si>
  <si>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</si>
  <si>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</si>
  <si>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</si>
  <si>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</si>
  <si>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</si>
  <si>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</si>
  <si>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</si>
  <si>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</si>
  <si>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</si>
  <si>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</si>
  <si>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</si>
  <si>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</si>
  <si>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</si>
  <si>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</si>
  <si>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</si>
  <si>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</si>
  <si>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</si>
  <si>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</si>
  <si>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</si>
  <si>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</si>
  <si>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</si>
  <si>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</si>
  <si>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</si>
  <si>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</si>
  <si>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</si>
  <si>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</si>
  <si>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</si>
  <si>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</si>
  <si>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</si>
  <si>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</si>
  <si>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</si>
  <si>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</si>
  <si>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</si>
  <si>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</si>
  <si>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</si>
  <si>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</si>
  <si>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</si>
  <si>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</si>
  <si>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</si>
  <si>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</si>
  <si>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</si>
  <si>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</si>
  <si>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</si>
  <si>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</si>
  <si>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</si>
  <si>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</si>
  <si>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</si>
  <si>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</si>
  <si>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</si>
  <si>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</si>
  <si>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</si>
  <si>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</si>
  <si>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</si>
  <si>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</si>
  <si>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</si>
  <si>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</si>
  <si>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</si>
  <si>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</si>
  <si>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</si>
  <si>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</si>
  <si>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</si>
  <si>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</si>
  <si>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</si>
  <si>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</si>
  <si>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</si>
  <si>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</si>
  <si>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</si>
  <si>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</si>
  <si>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</si>
  <si>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</si>
  <si>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</si>
  <si>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</si>
  <si>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</si>
  <si>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</si>
  <si>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</si>
  <si>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</si>
  <si>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</si>
  <si>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</si>
  <si>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</si>
  <si>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</si>
  <si>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</si>
  <si>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</si>
  <si>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</si>
  <si>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</si>
  <si>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</si>
  <si>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</si>
  <si>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</si>
  <si>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</si>
  <si>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</si>
  <si>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</si>
  <si>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</si>
  <si>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</si>
  <si>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</si>
  <si>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</si>
  <si>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</si>
  <si>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</si>
  <si>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</si>
  <si>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</si>
  <si>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</si>
  <si>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</si>
  <si>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</si>
  <si>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</si>
  <si>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</si>
  <si>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</si>
  <si>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</si>
  <si>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</si>
  <si>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</si>
  <si>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</si>
  <si>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</si>
  <si>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</si>
  <si>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</si>
  <si>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</si>
  <si>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</si>
  <si>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</si>
  <si>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</si>
  <si>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</si>
  <si>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</si>
  <si>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</si>
  <si>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</si>
  <si>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</si>
  <si>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</si>
  <si>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</si>
  <si>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</si>
  <si>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</si>
  <si>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</si>
  <si>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</si>
  <si>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</si>
  <si>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</si>
  <si>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</si>
  <si>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</si>
  <si>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</si>
  <si>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</si>
  <si>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</si>
  <si>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</si>
  <si>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</si>
  <si>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</si>
  <si>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</si>
  <si>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</si>
  <si>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</si>
  <si>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</si>
  <si>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</si>
  <si>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</si>
  <si>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</si>
  <si>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</si>
  <si>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</si>
  <si>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</si>
  <si>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</si>
  <si>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</si>
  <si>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</si>
  <si>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</si>
  <si>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</si>
  <si>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</si>
  <si>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</si>
  <si>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</si>
  <si>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</si>
  <si>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</si>
  <si>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</si>
  <si>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</si>
  <si>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</si>
  <si>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</si>
  <si>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</si>
  <si>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</si>
  <si>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</si>
  <si>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</si>
  <si>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</si>
  <si>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</si>
  <si>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</si>
  <si>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</si>
  <si>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</si>
  <si>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</si>
  <si>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</si>
  <si>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</si>
  <si>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</si>
  <si>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</si>
  <si>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</si>
  <si>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</si>
  <si>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</si>
  <si>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</si>
  <si>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</si>
  <si>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</si>
  <si>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</si>
  <si>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</si>
  <si>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</si>
  <si>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</si>
  <si>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</si>
  <si>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</si>
  <si>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</si>
  <si>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</si>
  <si>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</si>
  <si>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</si>
  <si>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</si>
  <si>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</si>
  <si>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</si>
  <si>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</si>
  <si>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</si>
  <si>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</si>
  <si>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</si>
  <si>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</si>
  <si>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</si>
  <si>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</si>
  <si>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</si>
  <si>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</si>
  <si>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</si>
  <si>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</si>
  <si>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</si>
  <si>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</si>
  <si>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</si>
  <si>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</si>
  <si>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</si>
  <si>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</si>
  <si>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</si>
  <si>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</si>
  <si>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</si>
  <si>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</si>
  <si>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</si>
  <si>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</si>
  <si>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</si>
  <si>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</si>
  <si>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</si>
  <si>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</si>
  <si>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</si>
  <si>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</si>
  <si>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</si>
  <si>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</si>
  <si>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</si>
  <si>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</si>
  <si>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</si>
  <si>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</si>
  <si>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</si>
  <si>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</si>
  <si>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</si>
  <si>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</si>
  <si>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</si>
  <si>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</si>
  <si>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</si>
  <si>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</si>
  <si>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</si>
  <si>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</si>
  <si>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</si>
  <si>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</si>
  <si>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</si>
  <si>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</si>
  <si>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</si>
  <si>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</si>
  <si>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</si>
  <si>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</si>
  <si>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</si>
  <si>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</si>
  <si>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</si>
  <si>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</si>
  <si>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</si>
  <si>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</si>
  <si>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</si>
  <si>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</si>
  <si>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</si>
  <si>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</si>
  <si>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</si>
  <si>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</si>
  <si>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</si>
  <si>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</si>
  <si>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</si>
  <si>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</si>
  <si>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</si>
  <si>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</si>
  <si>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</si>
  <si>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</si>
  <si>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</si>
  <si>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</si>
  <si>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</si>
  <si>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</si>
  <si>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</si>
  <si>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</si>
  <si>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</si>
  <si>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</si>
  <si>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</si>
  <si>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</si>
  <si>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</si>
  <si>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</si>
  <si>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</si>
  <si>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</si>
  <si>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</si>
  <si>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</si>
  <si>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</si>
  <si>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</si>
  <si>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</si>
  <si>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</si>
  <si>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</si>
  <si>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</si>
  <si>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</si>
  <si>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</si>
  <si>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</si>
  <si>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</si>
  <si>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</si>
  <si>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</si>
  <si>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</si>
  <si>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</si>
  <si>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</si>
  <si>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</si>
  <si>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</si>
  <si>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</si>
  <si>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</si>
  <si>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</si>
  <si>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</si>
  <si>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</si>
  <si>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</si>
  <si>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</si>
  <si>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</si>
  <si>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</si>
  <si>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</si>
  <si>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</si>
  <si>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</si>
  <si>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</si>
  <si>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</si>
  <si>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</si>
  <si>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</si>
  <si>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</si>
  <si>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</si>
  <si>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</si>
  <si>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</si>
  <si>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</si>
  <si>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</si>
  <si>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</si>
  <si>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</si>
  <si>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</si>
  <si>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</si>
  <si>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</si>
  <si>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</si>
  <si>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</si>
  <si>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</si>
  <si>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</si>
  <si>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</si>
  <si>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</si>
  <si>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</si>
  <si>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</si>
  <si>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</si>
  <si>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</si>
  <si>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</si>
  <si>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</si>
  <si>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</si>
  <si>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</si>
  <si>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</si>
  <si>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</si>
  <si>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</si>
  <si>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</si>
  <si>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</si>
  <si>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</si>
  <si>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</si>
  <si>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</si>
  <si>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</si>
  <si>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</si>
  <si>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</si>
  <si>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</si>
  <si>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</si>
  <si>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</si>
  <si>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</si>
  <si>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</si>
  <si>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</si>
  <si>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</si>
  <si>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</si>
  <si>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</si>
  <si>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</si>
  <si>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</si>
  <si>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</si>
  <si>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</si>
  <si>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</si>
  <si>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</si>
  <si>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</si>
  <si>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</si>
  <si>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</si>
  <si>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</si>
  <si>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</si>
  <si>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</si>
  <si>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</si>
  <si>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</si>
  <si>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</si>
  <si>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</si>
  <si>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</si>
  <si>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</si>
  <si>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</si>
  <si>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</si>
  <si>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</si>
  <si>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</si>
  <si>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</si>
  <si>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</si>
  <si>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</si>
  <si>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</si>
  <si>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</si>
  <si>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</si>
  <si>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</si>
  <si>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</si>
  <si>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</si>
  <si>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</si>
  <si>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</si>
  <si>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</si>
  <si>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</si>
  <si>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</si>
  <si>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</si>
  <si>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</si>
  <si>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</si>
  <si>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t>PORCENTAJE DE EJECUCIÓN PRESUPUESTAL</t>
  </si>
  <si>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</si>
  <si>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</si>
  <si>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</si>
  <si>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</si>
  <si>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</si>
  <si>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</si>
  <si>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</si>
  <si>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t>Por debajo de la tasa nacional (15%)</t>
  </si>
  <si>
    <t xml:space="preserve">PORCENTAJE DE AVANCE TOTAL </t>
  </si>
  <si>
    <r>
      <t xml:space="preserve">Secretaría del Interior: </t>
    </r>
    <r>
      <rPr>
        <sz val="10"/>
        <color theme="1"/>
        <rFont val="Calibri"/>
        <family val="2"/>
        <scheme val="minor"/>
      </rPr>
      <t xml:space="preserve">Se desarrollaron campañas de sensibilización para la prevención del reclutamiento.
</t>
    </r>
    <r>
      <rPr>
        <b/>
        <sz val="10"/>
        <color theme="1"/>
        <rFont val="Calibri"/>
        <family val="2"/>
        <scheme val="minor"/>
      </rPr>
      <t xml:space="preserve">
Secretaría Familia: </t>
    </r>
    <r>
      <rPr>
        <sz val="10"/>
        <color theme="1"/>
        <rFont val="Calibri"/>
        <family val="2"/>
        <scheme val="minor"/>
      </rPr>
      <t>No Reportó información.</t>
    </r>
  </si>
  <si>
    <r>
      <rPr>
        <b/>
        <sz val="10"/>
        <color theme="1"/>
        <rFont val="Calibri"/>
        <family val="2"/>
        <scheme val="minor"/>
      </rPr>
      <t xml:space="preserve">Alcaldía de Circasia: </t>
    </r>
    <r>
      <rPr>
        <sz val="10"/>
        <color theme="1"/>
        <rFont val="Calibri"/>
        <family val="2"/>
        <scheme val="minor"/>
      </rPr>
      <t xml:space="preserve">Cuenta con el Acuerdo Municipal 011 del 29 de mayo de 2015, que adopta la Política Pública de Juventud Municipal "Circasia  para la Juventud" 2015-2024
</t>
    </r>
    <r>
      <rPr>
        <b/>
        <sz val="10"/>
        <color theme="1"/>
        <rFont val="Calibri"/>
        <family val="2"/>
        <scheme val="minor"/>
      </rPr>
      <t xml:space="preserve">Alcaldía de Salento: </t>
    </r>
    <r>
      <rPr>
        <sz val="10"/>
        <color theme="1"/>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color theme="1"/>
        <rFont val="Calibri"/>
        <family val="2"/>
        <scheme val="minor"/>
      </rPr>
      <t>Alcaldía de Armenia:</t>
    </r>
    <r>
      <rPr>
        <sz val="10"/>
        <color theme="1"/>
        <rFont val="Calibri"/>
        <family val="2"/>
        <scheme val="minor"/>
      </rPr>
      <t xml:space="preserve"> Cuenta con la Política Pública "JÓVENES CONSTRUYENDO CIUDAD 2014-2024" adoptada mediante el decreto 169 del 11 DE febrero de 2015. 
</t>
    </r>
    <r>
      <rPr>
        <b/>
        <sz val="10"/>
        <color theme="1"/>
        <rFont val="Calibri"/>
        <family val="2"/>
        <scheme val="minor"/>
      </rPr>
      <t>Alcaldía La  Tebaida:</t>
    </r>
    <r>
      <rPr>
        <sz val="10"/>
        <color theme="1"/>
        <rFont val="Calibri"/>
        <family val="2"/>
        <scheme val="minor"/>
      </rPr>
      <t xml:space="preserve"> Política Pública adoptada mediante acuerdo muncipal 015 de 2019, en el momento se encuentra en etapa de ejecución. 
</t>
    </r>
    <r>
      <rPr>
        <b/>
        <sz val="10"/>
        <color theme="1"/>
        <rFont val="Calibri"/>
        <family val="2"/>
        <scheme val="minor"/>
      </rPr>
      <t>Alcaldía de Quimbaya</t>
    </r>
    <r>
      <rPr>
        <sz val="10"/>
        <color theme="1"/>
        <rFont val="Calibri"/>
        <family val="2"/>
        <scheme val="minor"/>
      </rPr>
      <t xml:space="preserve">: El municipio de Quimbaya adoptó la política pública de juventud mediante acuerdo municipal 016 de 2019.
</t>
    </r>
    <r>
      <rPr>
        <b/>
        <sz val="10"/>
        <color theme="1"/>
        <rFont val="Calibri"/>
        <family val="2"/>
        <scheme val="minor"/>
      </rPr>
      <t>Alcaldía de Buenavista</t>
    </r>
    <r>
      <rPr>
        <sz val="10"/>
        <color theme="1"/>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color theme="1"/>
        <rFont val="Calibri"/>
        <family val="2"/>
        <scheme val="minor"/>
      </rPr>
      <t>Alcaldía Génova:</t>
    </r>
    <r>
      <rPr>
        <sz val="10"/>
        <color theme="1"/>
        <rFont val="Calibri"/>
        <family val="2"/>
        <scheme val="minor"/>
      </rPr>
      <t xml:space="preserve"> El municipio de Génova se encuentra en etapa de formulación de la política pública de Juventud                         
</t>
    </r>
    <r>
      <rPr>
        <b/>
        <sz val="10"/>
        <color theme="1"/>
        <rFont val="Calibri"/>
        <family val="2"/>
        <scheme val="minor"/>
      </rPr>
      <t>Alcaldía de Montenegro:</t>
    </r>
    <r>
      <rPr>
        <sz val="10"/>
        <color theme="1"/>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color theme="1"/>
        <rFont val="Calibri"/>
        <family val="2"/>
        <scheme val="minor"/>
      </rPr>
      <t>Alcaldía de Filandia</t>
    </r>
    <r>
      <rPr>
        <sz val="10"/>
        <color theme="1"/>
        <rFont val="Calibri"/>
        <family val="2"/>
        <scheme val="minor"/>
      </rPr>
      <t xml:space="preserve">: El  municipio de Filandia cuenta con política de juventud adoptada bajo acuerdo N°021 de 2019, cuya medición se realiza en el COMPOS.
</t>
    </r>
    <r>
      <rPr>
        <b/>
        <sz val="10"/>
        <color theme="1"/>
        <rFont val="Calibri"/>
        <family val="2"/>
        <scheme val="minor"/>
      </rPr>
      <t xml:space="preserve">Alcaldía de Pijao: </t>
    </r>
    <r>
      <rPr>
        <sz val="10"/>
        <color theme="1"/>
        <rFont val="Calibri"/>
        <family val="2"/>
        <scheme val="minor"/>
      </rPr>
      <t xml:space="preserve">La Política se encuentra en proceso de formulación.
</t>
    </r>
    <r>
      <rPr>
        <b/>
        <sz val="10"/>
        <color theme="1"/>
        <rFont val="Calibri"/>
        <family val="2"/>
        <scheme val="minor"/>
      </rPr>
      <t>Alcaldía de Córdoba:</t>
    </r>
    <r>
      <rPr>
        <sz val="10"/>
        <color theme="1"/>
        <rFont val="Calibri"/>
        <family val="2"/>
        <scheme val="minor"/>
      </rPr>
      <t xml:space="preserve"> El municipio no cuenta con la política pública de juventud implementada, sin embargo se realizan actividades teniendo en cuenta la Política Departamental de Juventud. 
</t>
    </r>
    <r>
      <rPr>
        <b/>
        <sz val="10"/>
        <color theme="1"/>
        <rFont val="Calibri"/>
        <family val="2"/>
        <scheme val="minor"/>
      </rPr>
      <t>Alcaldía Calarcá:</t>
    </r>
    <r>
      <rPr>
        <sz val="10"/>
        <color theme="1"/>
        <rFont val="Calibri"/>
        <family val="2"/>
        <scheme val="minor"/>
      </rPr>
      <t xml:space="preserve"> POLÍTICA PUBLICA DE JUVENTUDES "LOS JÓVENES SOMOS EL CAMBIO" adoptada mediante el acuerdo 019 del 2018. Se realiza seguimiento semestral, se realiza rendición de cuentas en el marco de la Asamblea y en el COMPOS cuarta sesión realizada el día 20 de diciembre de 2022.
</t>
    </r>
    <r>
      <rPr>
        <b/>
        <sz val="10"/>
        <color theme="1"/>
        <rFont val="Calibri"/>
        <family val="2"/>
        <scheme val="minor"/>
      </rPr>
      <t>Secretaría de Familia:</t>
    </r>
    <r>
      <rPr>
        <sz val="10"/>
        <color theme="1"/>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</si>
  <si>
    <r>
      <rPr>
        <b/>
        <sz val="10"/>
        <color theme="1"/>
        <rFont val="Calibri"/>
        <family val="2"/>
        <scheme val="minor"/>
      </rPr>
      <t xml:space="preserve">Consejo municipal de política Social de Filandia: </t>
    </r>
    <r>
      <rPr>
        <sz val="10"/>
        <color theme="1"/>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color theme="1"/>
        <rFont val="Calibri"/>
        <family val="2"/>
        <scheme val="minor"/>
      </rPr>
      <t>Consejo municipal de política Social La Tebaida:</t>
    </r>
    <r>
      <rPr>
        <sz val="10"/>
        <color theme="1"/>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color theme="1"/>
        <rFont val="Calibri"/>
        <family val="2"/>
        <scheme val="minor"/>
      </rPr>
      <t>Consejo municipal de política Social Circasia:</t>
    </r>
    <r>
      <rPr>
        <sz val="10"/>
        <color theme="1"/>
        <rFont val="Calibri"/>
        <family val="2"/>
        <scheme val="minor"/>
      </rPr>
      <t xml:space="preserve"> No Reporta. 
</t>
    </r>
    <r>
      <rPr>
        <b/>
        <sz val="10"/>
        <color theme="1"/>
        <rFont val="Calibri"/>
        <family val="2"/>
        <scheme val="minor"/>
      </rPr>
      <t>Consejo municipal de política Social Calarcá:</t>
    </r>
    <r>
      <rPr>
        <sz val="10"/>
        <color theme="1"/>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atención a jóvenes del municipio de Calarcá.
</t>
    </r>
    <r>
      <rPr>
        <b/>
        <sz val="10"/>
        <color theme="1"/>
        <rFont val="Calibri"/>
        <family val="2"/>
        <scheme val="minor"/>
      </rPr>
      <t>Consejo municipal de política Social Córdoba</t>
    </r>
    <r>
      <rPr>
        <sz val="10"/>
        <color theme="1"/>
        <rFont val="Calibri"/>
        <family val="2"/>
        <scheme val="minor"/>
      </rPr>
      <t xml:space="preserve">: El Municipio cuenta con el COMPOS-Consejo Municipal de Política Social, mediante el Decreto No. 085 del 26 de Diciembre del 2014,  en donde se realizaron las cuatro sesiones y cuenta con el plan de acción al cual se dio cumplimiento. Igualmente se realizaron los seguimientos a la POLÍTICA PÚBLICA  DE PRIMERA INFANCIA, INFANCIA Y ADOLESCENCIA Y FORTALECIMIENTO FAMILIAR. .
</t>
    </r>
    <r>
      <rPr>
        <b/>
        <sz val="10"/>
        <color theme="1"/>
        <rFont val="Calibri"/>
        <family val="2"/>
        <scheme val="minor"/>
      </rPr>
      <t xml:space="preserve">Secretaría de Familia: </t>
    </r>
    <r>
      <rPr>
        <sz val="10"/>
        <color theme="1"/>
        <rFont val="Calibri"/>
        <family val="2"/>
        <scheme val="minor"/>
      </rPr>
      <t>Reporta que los planes y políticas del plan de desarrollo departamental se encuentran armonizadas con la política pública de juventud.</t>
    </r>
  </si>
  <si>
    <r>
      <rPr>
        <b/>
        <sz val="10"/>
        <color theme="1"/>
        <rFont val="Calibri"/>
        <family val="2"/>
        <scheme val="minor"/>
      </rPr>
      <t xml:space="preserve">Secretaría de Familia: </t>
    </r>
    <r>
      <rPr>
        <sz val="10"/>
        <color theme="1"/>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</si>
  <si>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t xml:space="preserve">Alcaldía de Montenegro: </t>
    </r>
    <r>
      <rPr>
        <sz val="10"/>
        <color theme="1"/>
        <rFont val="Calibri"/>
        <family val="2"/>
        <scheme val="minor"/>
      </rPr>
      <t>Un sistema departamental de juventud en el cual las instancias municipales tienen participación a través de sus delegados .</t>
    </r>
    <r>
      <rPr>
        <b/>
        <sz val="10"/>
        <color theme="1"/>
        <rFont val="Calibri"/>
        <family val="2"/>
        <scheme val="minor"/>
      </rPr>
      <t xml:space="preserve">
Alcaldía de Armenia: </t>
    </r>
    <r>
      <rPr>
        <sz val="10"/>
        <color theme="1"/>
        <rFont val="Calibri"/>
        <family val="2"/>
        <scheme val="minor"/>
      </rPr>
      <t>A través del Decreto 349 del 09 de noviembre de 2020  se crea el sistema municipal de juventud.</t>
    </r>
    <r>
      <rPr>
        <b/>
        <sz val="10"/>
        <color theme="1"/>
        <rFont val="Calibri"/>
        <family val="2"/>
        <scheme val="minor"/>
      </rPr>
      <t xml:space="preserve">
Alcaldía de Circasia: </t>
    </r>
    <r>
      <rPr>
        <sz val="10"/>
        <color theme="1"/>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color theme="1"/>
        <rFont val="Calibri"/>
        <family val="2"/>
        <scheme val="minor"/>
      </rPr>
      <t xml:space="preserve">
Alcaldía Quimbaya: </t>
    </r>
    <r>
      <rPr>
        <sz val="10"/>
        <color theme="1"/>
        <rFont val="Calibri"/>
        <family val="2"/>
        <scheme val="minor"/>
      </rPr>
      <t>Actualmente el municipio de Quimbaya cuenta con CMJ, Comisión de concertación y decisión, plataforma juvenil y convoca periódicamente la asamblea municipal de juventud.</t>
    </r>
    <r>
      <rPr>
        <b/>
        <sz val="10"/>
        <color theme="1"/>
        <rFont val="Calibri"/>
        <family val="2"/>
        <scheme val="minor"/>
      </rPr>
      <t xml:space="preserve">
Alcaldía de Salento: </t>
    </r>
    <r>
      <rPr>
        <sz val="10"/>
        <color theme="1"/>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color theme="1"/>
        <rFont val="Calibri"/>
        <family val="2"/>
        <scheme val="minor"/>
      </rPr>
      <t xml:space="preserve">
Alcaldía La Tebaida: .  </t>
    </r>
    <r>
      <rPr>
        <sz val="10"/>
        <color theme="1"/>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color theme="1"/>
        <rFont val="Calibri"/>
        <family val="2"/>
        <scheme val="minor"/>
      </rPr>
      <t xml:space="preserve">
Alcaldía de Filandia: </t>
    </r>
    <r>
      <rPr>
        <sz val="10"/>
        <color theme="1"/>
        <rFont val="Calibri"/>
        <family val="2"/>
        <scheme val="minor"/>
      </rPr>
      <t xml:space="preserve">el municipio de Filandia cuenta con Consejo Municipal de Juventud  y Plataforma de Juventud operando. </t>
    </r>
    <r>
      <rPr>
        <b/>
        <sz val="10"/>
        <color theme="1"/>
        <rFont val="Calibri"/>
        <family val="2"/>
        <scheme val="minor"/>
      </rPr>
      <t xml:space="preserve">
Secretaría de Familia: </t>
    </r>
    <r>
      <rPr>
        <sz val="10"/>
        <color theme="1"/>
        <rFont val="Calibri"/>
        <family val="2"/>
        <scheme val="minor"/>
      </rPr>
      <t xml:space="preserve">Reporta que 11 de los 12 municipios quindianos, cuentan con Plataforma de Juventud operando, realización de Asambleas juveniles, cumplimiento de las Comisiones de Concertación y Decisión y los Consejos Municipales de Juventud electos a excepción de Filandia. </t>
    </r>
    <r>
      <rPr>
        <b/>
        <sz val="10"/>
        <color theme="1"/>
        <rFont val="Calibri"/>
        <family val="2"/>
        <scheme val="minor"/>
      </rPr>
      <t xml:space="preserve">
Alcaldía de Calarcá: </t>
    </r>
    <r>
      <rPr>
        <sz val="10"/>
        <color theme="1"/>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color theme="1"/>
        <rFont val="Calibri"/>
        <family val="2"/>
        <scheme val="minor"/>
      </rPr>
      <t xml:space="preserve">
Alcaldía de Génova: </t>
    </r>
    <r>
      <rPr>
        <sz val="10"/>
        <color theme="1"/>
        <rFont val="Calibri"/>
        <family val="2"/>
        <scheme val="minor"/>
      </rPr>
      <t>Plataforma Deptal y Consejo Deptal activo y con delegados de Génova.</t>
    </r>
    <r>
      <rPr>
        <b/>
        <sz val="10"/>
        <color theme="1"/>
        <rFont val="Calibri"/>
        <family val="2"/>
        <scheme val="minor"/>
      </rPr>
      <t xml:space="preserve">
Alcaldía de Buenavista: </t>
    </r>
    <r>
      <rPr>
        <sz val="10"/>
        <color theme="1"/>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color theme="1"/>
        <rFont val="Calibri"/>
        <family val="2"/>
        <scheme val="minor"/>
      </rPr>
      <t xml:space="preserve">
Alcaldía Pijao: </t>
    </r>
    <r>
      <rPr>
        <sz val="10"/>
        <color theme="1"/>
        <rFont val="Calibri"/>
        <family val="2"/>
        <scheme val="minor"/>
      </rPr>
      <t xml:space="preserve">se cuenta con la plataforma Municipal de juventud actualizada, consejo de juventud, cada uno con sus reglamentos internos y en total funcionamiento.
</t>
    </r>
  </si>
  <si>
    <r>
      <t xml:space="preserve">
</t>
    </r>
    <r>
      <rPr>
        <b/>
        <sz val="10"/>
        <color theme="1"/>
        <rFont val="Calibri"/>
        <family val="2"/>
        <scheme val="minor"/>
      </rPr>
      <t>Cámara de Comercio de Armenia y del Quindío:</t>
    </r>
    <r>
      <rPr>
        <sz val="10"/>
        <color theme="1"/>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color theme="1"/>
        <rFont val="Calibri"/>
        <family val="2"/>
        <scheme val="minor"/>
      </rPr>
      <t xml:space="preserve">Alcaldía Filandia: </t>
    </r>
    <r>
      <rPr>
        <sz val="10"/>
        <color theme="1"/>
        <rFont val="Calibri"/>
        <family val="2"/>
        <scheme val="minor"/>
      </rPr>
      <t xml:space="preserve">2 jóvenes en ruedas de negocio.
</t>
    </r>
    <r>
      <rPr>
        <b/>
        <sz val="10"/>
        <color theme="1"/>
        <rFont val="Calibri"/>
        <family val="2"/>
        <scheme val="minor"/>
      </rPr>
      <t>Secretaría Turismo, Industria y Comercio:</t>
    </r>
    <r>
      <rPr>
        <sz val="10"/>
        <color theme="1"/>
        <rFont val="Calibri"/>
        <family val="2"/>
        <scheme val="minor"/>
      </rPr>
      <t xml:space="preserve"> Se agotó el presupuesto en el periodo anterior.
</t>
    </r>
  </si>
  <si>
    <r>
      <rPr>
        <b/>
        <sz val="10"/>
        <color theme="1"/>
        <rFont val="Calibri"/>
        <family val="2"/>
        <scheme val="minor"/>
      </rPr>
      <t xml:space="preserve">
Cámara de Comercio de Armenia y del Quindío: Cámara de Comercio de Armenia y del Quindío: </t>
    </r>
    <r>
      <rPr>
        <sz val="10"/>
        <color theme="1"/>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</si>
  <si>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rPr>
        <b/>
        <sz val="10"/>
        <color theme="1"/>
        <rFont val="Calibri"/>
        <family val="2"/>
        <scheme val="minor"/>
      </rPr>
      <t>OBSERVACIONES:</t>
    </r>
    <r>
      <rPr>
        <sz val="10"/>
        <color theme="1"/>
        <rFont val="Calibri"/>
        <family val="2"/>
        <scheme val="minor"/>
      </rPr>
      <t xml:space="preserve"> El último reporte por el SIRITI es del 2019 según lo reportado en el DANE, por lo cual la información reportada no corresponde al año 2022.
</t>
    </r>
    <r>
      <rPr>
        <b/>
        <sz val="10"/>
        <color theme="1"/>
        <rFont val="Calibri"/>
        <family val="2"/>
        <scheme val="minor"/>
      </rPr>
      <t xml:space="preserve">Secretaría de Familia: </t>
    </r>
    <r>
      <rPr>
        <sz val="10"/>
        <color theme="1"/>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color theme="1"/>
        <rFont val="Calibri"/>
        <family val="2"/>
        <scheme val="minor"/>
      </rPr>
      <t xml:space="preserve">Secretaría de Agricultura: </t>
    </r>
    <r>
      <rPr>
        <sz val="10"/>
        <color theme="1"/>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color theme="1"/>
        <rFont val="Calibri"/>
        <family val="2"/>
        <scheme val="minor"/>
      </rPr>
      <t>Ministerio del Trabajo:</t>
    </r>
    <r>
      <rPr>
        <sz val="10"/>
        <color theme="1"/>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color theme="1"/>
        <rFont val="Calibri"/>
        <family val="2"/>
        <scheme val="minor"/>
      </rPr>
      <t>ICBF</t>
    </r>
    <r>
      <rPr>
        <sz val="10"/>
        <color theme="1"/>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color theme="1"/>
        <rFont val="Calibri"/>
        <family val="2"/>
        <scheme val="minor"/>
      </rPr>
      <t xml:space="preserve">Alcaldía Calarcá: </t>
    </r>
    <r>
      <rPr>
        <sz val="10"/>
        <color theme="1"/>
        <rFont val="Calibri"/>
        <family val="2"/>
        <scheme val="minor"/>
      </rPr>
      <t xml:space="preserve">El programa de NNA, realizó  una jornada de prevención del trabajo infantil en el barrio Llanitos Piloto. 
</t>
    </r>
    <r>
      <rPr>
        <b/>
        <sz val="10"/>
        <color theme="1"/>
        <rFont val="Calibri"/>
        <family val="2"/>
        <scheme val="minor"/>
      </rPr>
      <t xml:space="preserve">Alcaldía Filandia: </t>
    </r>
    <r>
      <rPr>
        <sz val="10"/>
        <color theme="1"/>
        <rFont val="Calibri"/>
        <family val="2"/>
        <scheme val="minor"/>
      </rPr>
      <t xml:space="preserve">el Municipio de Filandia no cuenta con casos de trabajo infantil.
</t>
    </r>
  </si>
  <si>
    <r>
      <t xml:space="preserve">
</t>
    </r>
    <r>
      <rPr>
        <b/>
        <sz val="10"/>
        <color theme="1"/>
        <rFont val="Calibri"/>
        <family val="2"/>
        <scheme val="minor"/>
      </rPr>
      <t>Alcaldía de Calarcá:</t>
    </r>
    <r>
      <rPr>
        <sz val="10"/>
        <color theme="1"/>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color theme="1"/>
        <rFont val="Calibri"/>
        <family val="2"/>
        <scheme val="minor"/>
      </rPr>
      <t>Secretaría de Educación:</t>
    </r>
    <r>
      <rPr>
        <sz val="10"/>
        <color theme="1"/>
        <rFont val="Calibri"/>
        <family val="2"/>
        <scheme val="minor"/>
      </rPr>
      <t xml:space="preserve"> 65,34%. Tasa de Cobertura Neta en Educación Básica Secundaria a Diciembre de 2022.  Es importante aclarar que este indicador reportado corresponde a  datos parciales del mes de diciembre de 2022, y no a los datos definitivos de la vigencia en mención, los cuales se obtienen durante el primer semestre del año 2023.</t>
    </r>
  </si>
  <si>
    <r>
      <t xml:space="preserve">
</t>
    </r>
    <r>
      <rPr>
        <b/>
        <sz val="10"/>
        <color theme="1"/>
        <rFont val="Calibri"/>
        <family val="2"/>
        <scheme val="minor"/>
      </rPr>
      <t>Alcaldía de Buenavista</t>
    </r>
    <r>
      <rPr>
        <sz val="10"/>
        <color theme="1"/>
        <rFont val="Calibri"/>
        <family val="2"/>
        <scheme val="minor"/>
      </rPr>
      <t xml:space="preserve">: 100% de los estudiantes con cobertura en educación en básica secundaria y media vocacional.
</t>
    </r>
    <r>
      <rPr>
        <b/>
        <sz val="10"/>
        <color theme="1"/>
        <rFont val="Calibri"/>
        <family val="2"/>
        <scheme val="minor"/>
      </rPr>
      <t>Alcaldía Armenia:</t>
    </r>
    <r>
      <rPr>
        <sz val="10"/>
        <color theme="1"/>
        <rFont val="Calibri"/>
        <family val="2"/>
        <scheme val="minor"/>
      </rPr>
      <t xml:space="preserve"> 23 Instituciones Educativas y 1200 Jóvenes de media de las Instituciones Educativas.
</t>
    </r>
    <r>
      <rPr>
        <b/>
        <sz val="10"/>
        <color theme="1"/>
        <rFont val="Calibri"/>
        <family val="2"/>
        <scheme val="minor"/>
      </rPr>
      <t xml:space="preserve">Alcaldía Génova: </t>
    </r>
    <r>
      <rPr>
        <sz val="10"/>
        <color theme="1"/>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de Córdoba garantiza la atención con estrategias de permanencia ( PAE - Programa de Alimentación Escolar y transporte escolar) a los estudiantes que cumplen los criterios de focalización.
</t>
    </r>
    <r>
      <rPr>
        <b/>
        <sz val="10"/>
        <color theme="1"/>
        <rFont val="Calibri"/>
        <family val="2"/>
        <scheme val="minor"/>
      </rPr>
      <t>Alcaldía de Montenegro:</t>
    </r>
    <r>
      <rPr>
        <sz val="10"/>
        <color theme="1"/>
        <rFont val="Calibri"/>
        <family val="2"/>
        <scheme val="minor"/>
      </rPr>
      <t xml:space="preserve">  se realiza junta municipal de educación (JUME), Comité Municipal de Educación, aporte a bolsa común del PAE.
</t>
    </r>
    <r>
      <rPr>
        <b/>
        <sz val="10"/>
        <color theme="1"/>
        <rFont val="Calibri"/>
        <family val="2"/>
        <scheme val="minor"/>
      </rPr>
      <t xml:space="preserve">Alcaldía de Armenia: </t>
    </r>
    <r>
      <rPr>
        <sz val="10"/>
        <color theme="1"/>
        <rFont val="Calibri"/>
        <family val="2"/>
        <scheme val="minor"/>
      </rPr>
      <t xml:space="preserve">24 Instituciones Educativas y 1200 Jóvenes beneficiados de media de las Instituciones Educativa
</t>
    </r>
    <r>
      <rPr>
        <b/>
        <sz val="10"/>
        <color theme="1"/>
        <rFont val="Calibri"/>
        <family val="2"/>
        <scheme val="minor"/>
      </rPr>
      <t>Alcaldía de Calarcá:</t>
    </r>
    <r>
      <rPr>
        <sz val="10"/>
        <color theme="1"/>
        <rFont val="Calibri"/>
        <family val="2"/>
        <scheme val="minor"/>
      </rPr>
      <t xml:space="preserve"> Se apoyo al 100% de los estudiantes de las 14 Instituciones Educativas sector urbano y rural con recursos de gratuidad escolar.
</t>
    </r>
    <r>
      <rPr>
        <b/>
        <sz val="10"/>
        <color theme="1"/>
        <rFont val="Calibri"/>
        <family val="2"/>
        <scheme val="minor"/>
      </rPr>
      <t xml:space="preserve">Alcaldía Filandia </t>
    </r>
    <r>
      <rPr>
        <sz val="10"/>
        <color theme="1"/>
        <rFont val="Calibri"/>
        <family val="2"/>
        <scheme val="minor"/>
      </rPr>
      <t>Tasa de cobertura neta básica secundaria: 90%, 622 alumnos hasta el mes de noviembre de 2022.</t>
    </r>
  </si>
  <si>
    <r>
      <t xml:space="preserve">
</t>
    </r>
    <r>
      <rPr>
        <b/>
        <sz val="10"/>
        <color theme="1"/>
        <rFont val="Calibri"/>
        <family val="2"/>
        <scheme val="minor"/>
      </rPr>
      <t>Secretaría de Familia:</t>
    </r>
    <r>
      <rPr>
        <sz val="10"/>
        <color theme="1"/>
        <rFont val="Calibri"/>
        <family val="2"/>
        <scheme val="minor"/>
      </rPr>
      <t xml:space="preserve"> La tasa de deserción universitaria es del 8,79%  según reporte del Ministerio de Educación.
</t>
    </r>
    <r>
      <rPr>
        <b/>
        <sz val="10"/>
        <color theme="1"/>
        <rFont val="Calibri"/>
        <family val="2"/>
        <scheme val="minor"/>
      </rPr>
      <t>Alcaldía de Buenavista</t>
    </r>
    <r>
      <rPr>
        <sz val="10"/>
        <color theme="1"/>
        <rFont val="Calibri"/>
        <family val="2"/>
        <scheme val="minor"/>
      </rPr>
      <t xml:space="preserve">: No se han registrado casos de deserción escolar en el tercer trimestre 2022.
</t>
    </r>
    <r>
      <rPr>
        <b/>
        <sz val="10"/>
        <color theme="1"/>
        <rFont val="Calibri"/>
        <family val="2"/>
        <scheme val="minor"/>
      </rPr>
      <t>Alcaldía de Filandia:</t>
    </r>
    <r>
      <rPr>
        <sz val="10"/>
        <color theme="1"/>
        <rFont val="Calibri"/>
        <family val="2"/>
        <scheme val="minor"/>
      </rPr>
      <t xml:space="preserve"> Tasa de deserción a largo plazo (semestre 10): 15% a largo plazo.
</t>
    </r>
    <r>
      <rPr>
        <b/>
        <sz val="10"/>
        <color theme="1"/>
        <rFont val="Calibri"/>
        <family val="2"/>
        <scheme val="minor"/>
      </rPr>
      <t>Alcaldía Armenia</t>
    </r>
    <r>
      <rPr>
        <sz val="10"/>
        <color theme="1"/>
        <rFont val="Calibri"/>
        <family val="2"/>
        <scheme val="minor"/>
      </rPr>
      <t xml:space="preserve">: la Secretaría de Educación Municipal no maneja la tasa de deserción universitaria.
</t>
    </r>
    <r>
      <rPr>
        <b/>
        <sz val="10"/>
        <color theme="1"/>
        <rFont val="Calibri"/>
        <family val="2"/>
        <scheme val="minor"/>
      </rPr>
      <t>Alcaldía Génova:</t>
    </r>
    <r>
      <rPr>
        <sz val="10"/>
        <color theme="1"/>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color theme="1"/>
        <rFont val="Calibri"/>
        <family val="2"/>
        <scheme val="minor"/>
      </rPr>
      <t xml:space="preserve">Alcaldía Salento: </t>
    </r>
    <r>
      <rPr>
        <sz val="10"/>
        <color theme="1"/>
        <rFont val="Calibri"/>
        <family val="2"/>
        <scheme val="minor"/>
      </rPr>
      <t xml:space="preserve">Convenio de asociación con la Universidad del Quindío para el sostenimiento del programa Matricula Cero.
</t>
    </r>
    <r>
      <rPr>
        <b/>
        <sz val="10"/>
        <color theme="1"/>
        <rFont val="Calibri"/>
        <family val="2"/>
        <scheme val="minor"/>
      </rPr>
      <t>Alcaldía de Córdoba:</t>
    </r>
    <r>
      <rPr>
        <sz val="10"/>
        <color theme="1"/>
        <rFont val="Calibri"/>
        <family val="2"/>
        <scheme val="minor"/>
      </rPr>
      <t xml:space="preserve">  La Institución Educativa ofrece en todo el ciclo básico lo que contribuye a asegurar la continuidad y el flujo de los estudiantes a través de los niveles de  básica, secundaria y media. Además, se ofrecen dos modalidades en convenio SENA: Sistemas agropecuarios ecológicos y agroindustria alimentaria Implementación de jornada única con énfasis en artística: música- teatro en básica primaria. 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color theme="1"/>
        <rFont val="Calibri"/>
        <family val="2"/>
        <scheme val="minor"/>
      </rPr>
      <t xml:space="preserve">Alcaldía de Calarcá: </t>
    </r>
    <r>
      <rPr>
        <sz val="10"/>
        <color theme="1"/>
        <rFont val="Calibri"/>
        <family val="2"/>
        <scheme val="minor"/>
      </rPr>
      <t xml:space="preserve">Se garantizó póliza de seguro de atención medica, quirúrgica y hospitalaria por accidentes escolares y gastos funerarios para los estudiantes de las 14 IE del área urbana y rural del municipio y de acuerdo a la Resolución 969 de 5/11/2021 por medio del cual se transfiere el recurso del SGP dotación de provisión de la canasta educativa a las 14 IE del municipio. 
</t>
    </r>
  </si>
  <si>
    <r>
      <t xml:space="preserve">
</t>
    </r>
    <r>
      <rPr>
        <b/>
        <sz val="10"/>
        <color theme="1"/>
        <rFont val="Calibri"/>
        <family val="2"/>
        <scheme val="minor"/>
      </rPr>
      <t>Secretaría de Familia:</t>
    </r>
    <r>
      <rPr>
        <sz val="10"/>
        <color theme="1"/>
        <rFont val="Calibri"/>
        <family val="2"/>
        <scheme val="minor"/>
      </rPr>
      <t xml:space="preserve"> La tasa de cobertura de educación superior es del 62,3% según reporte del Ministerio de Educación.
</t>
    </r>
    <r>
      <rPr>
        <b/>
        <sz val="10"/>
        <color rgb="FFFF0000"/>
        <rFont val="Calibri"/>
        <family val="2"/>
        <scheme val="minor"/>
      </rPr>
      <t/>
    </r>
  </si>
  <si>
    <r>
      <rPr>
        <b/>
        <sz val="10"/>
        <color theme="1"/>
        <rFont val="Calibri"/>
        <family val="2"/>
        <scheme val="minor"/>
      </rPr>
      <t xml:space="preserve">Secretaría de Familia: </t>
    </r>
    <r>
      <rPr>
        <sz val="10"/>
        <color theme="1"/>
        <rFont val="Calibri"/>
        <family val="2"/>
        <scheme val="minor"/>
      </rPr>
      <t xml:space="preserve">Se oficiaron los actores respnsables de este indicadr  por misionalidad sin embargo, no se obtuvo reporte alguno.  
</t>
    </r>
    <r>
      <rPr>
        <b/>
        <sz val="10"/>
        <color theme="1"/>
        <rFont val="Calibri"/>
        <family val="2"/>
        <scheme val="minor"/>
      </rPr>
      <t xml:space="preserve">Secretaría de Salud: </t>
    </r>
    <r>
      <rPr>
        <sz val="10"/>
        <color theme="1"/>
        <rFont val="Calibri"/>
        <family val="2"/>
        <scheme val="minor"/>
      </rPr>
      <t>se realizaron asistencias técnicas en las IPS de 11 municipios del Quindío sobre SERVICIOS DE SALUD AMIGABLES PARA ADOLESCENTES Y JOVENES SSAAJ Temas tratados: Reglamentación normas de calidad de aplicación de los SSAAJ.</t>
    </r>
  </si>
  <si>
    <r>
      <t>Alcaldía Filandia:</t>
    </r>
    <r>
      <rPr>
        <sz val="10"/>
        <color theme="1"/>
        <rFont val="Calibri"/>
        <family val="2"/>
        <scheme val="minor"/>
      </rPr>
      <t xml:space="preserve"> 340 jóvenes participan en actividades recreativas, deportivas y de actividad física.</t>
    </r>
    <r>
      <rPr>
        <b/>
        <sz val="10"/>
        <color theme="1"/>
        <rFont val="Calibri"/>
        <family val="2"/>
        <scheme val="minor"/>
      </rPr>
      <t xml:space="preserve">
 Alcaldía Salento: </t>
    </r>
    <r>
      <rPr>
        <sz val="10"/>
        <color theme="1"/>
        <rFont val="Calibri"/>
        <family val="2"/>
        <scheme val="minor"/>
      </rPr>
      <t>Fortalecimiento y apoyo a las Escuelas de Formación Deportiva, reactivación de torneos de fútbol, fútbol de salón.</t>
    </r>
    <r>
      <rPr>
        <b/>
        <sz val="10"/>
        <color theme="1"/>
        <rFont val="Calibri"/>
        <family val="2"/>
        <scheme val="minor"/>
      </rPr>
      <t xml:space="preserve">
Alcaldía Buenavista:</t>
    </r>
    <r>
      <rPr>
        <sz val="10"/>
        <color theme="1"/>
        <rFont val="Calibri"/>
        <family val="2"/>
        <scheme val="minor"/>
      </rPr>
      <t xml:space="preserve"> 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t>
    </r>
    <r>
      <rPr>
        <b/>
        <sz val="10"/>
        <color theme="1"/>
        <rFont val="Calibri"/>
        <family val="2"/>
        <scheme val="minor"/>
      </rPr>
      <t xml:space="preserve">
Alcaldía de La Tebaida:</t>
    </r>
    <r>
      <rPr>
        <sz val="10"/>
        <color theme="1"/>
        <rFont val="Calibri"/>
        <family val="2"/>
        <scheme val="minor"/>
      </rPr>
      <t xml:space="preserve"> No se rindió esta información en este trimestre</t>
    </r>
    <r>
      <rPr>
        <b/>
        <sz val="10"/>
        <color theme="1"/>
        <rFont val="Calibri"/>
        <family val="2"/>
        <scheme val="minor"/>
      </rPr>
      <t xml:space="preserve">
Alcaldía Quimbaya: </t>
    </r>
    <r>
      <rPr>
        <sz val="10"/>
        <color theme="1"/>
        <rFont val="Calibri"/>
        <family val="2"/>
        <scheme val="minor"/>
      </rPr>
      <t>En el municipio de Quimbaya se fortalecen las escuelas de formación deportiva y se realizan eventos deportivos y recreativos con la participación de los jóvenes.</t>
    </r>
    <r>
      <rPr>
        <b/>
        <sz val="10"/>
        <color theme="1"/>
        <rFont val="Calibri"/>
        <family val="2"/>
        <scheme val="minor"/>
      </rPr>
      <t xml:space="preserve">
Alcaldía Génova:  </t>
    </r>
    <r>
      <rPr>
        <sz val="10"/>
        <color theme="1"/>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 y actividades recreativas</t>
    </r>
    <r>
      <rPr>
        <b/>
        <sz val="10"/>
        <color theme="1"/>
        <rFont val="Calibri"/>
        <family val="2"/>
        <scheme val="minor"/>
      </rPr>
      <t xml:space="preserve">
Alcaldía de Armenia: </t>
    </r>
    <r>
      <rPr>
        <sz val="10"/>
        <color theme="1"/>
        <rFont val="Calibri"/>
        <family val="2"/>
        <scheme val="minor"/>
      </rPr>
      <t xml:space="preserve">Promoción, apoyo logístico, ejecución y dotación de grupos de recreación dirigida 4295 jóvenes.      </t>
    </r>
    <r>
      <rPr>
        <b/>
        <sz val="10"/>
        <color theme="1"/>
        <rFont val="Calibri"/>
        <family val="2"/>
        <scheme val="minor"/>
      </rPr>
      <t xml:space="preserve">      
Alcaldía de Montenegro:</t>
    </r>
    <r>
      <rPr>
        <sz val="10"/>
        <color theme="1"/>
        <rFont val="Calibri"/>
        <family val="2"/>
        <scheme val="minor"/>
      </rPr>
      <t xml:space="preserve"> actualmente se benefician 3781 jóvenes de las diferentes escuelas de formación del municipio (23 escuelas de formación).</t>
    </r>
    <r>
      <rPr>
        <b/>
        <sz val="10"/>
        <color theme="1"/>
        <rFont val="Calibri"/>
        <family val="2"/>
        <scheme val="minor"/>
      </rPr>
      <t xml:space="preserve">
Alcaldía de Calarcá: </t>
    </r>
    <r>
      <rPr>
        <sz val="10"/>
        <color theme="1"/>
        <rFont val="Calibri"/>
        <family val="2"/>
        <scheme val="minor"/>
      </rPr>
      <t>Se realizaron adecuaciones locativas en el parque Alto del Río para mejorar las condiciones del mismo e Incentivos para otorgar apoyo a los deportistas destacados que representan el municipio en competencias de orden departamental o nacional.</t>
    </r>
    <r>
      <rPr>
        <b/>
        <sz val="10"/>
        <color theme="1"/>
        <rFont val="Calibri"/>
        <family val="2"/>
        <scheme val="minor"/>
      </rPr>
      <t xml:space="preserve">
INDEPORTES: </t>
    </r>
    <r>
      <rPr>
        <sz val="10"/>
        <color theme="1"/>
        <rFont val="Calibri"/>
        <family val="2"/>
        <scheme val="minor"/>
      </rPr>
      <t xml:space="preserve">Se implementó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(Jóvenes impactados 14.955) 
</t>
    </r>
  </si>
  <si>
    <r>
      <rPr>
        <b/>
        <sz val="10"/>
        <color theme="1"/>
        <rFont val="Calibri"/>
        <family val="2"/>
        <scheme val="minor"/>
      </rPr>
      <t>Secretaría de Salud:</t>
    </r>
    <r>
      <rPr>
        <sz val="10"/>
        <color theme="1"/>
        <rFont val="Calibri"/>
        <family val="2"/>
        <scheme val="minor"/>
      </rPr>
      <t xml:space="preserve"> en 11 municipios centralizados del Quindío se realizaron talleres pedagógicos Salud Sexual y Reproductiva con temas tratados: Derechos sexuales y reproductivos, Prevención de ITS, Prevención de Embarazo y embarazo subsiguiente, métodos anticonceptivos, prevención de violencias sexuales. Población 1296 estudiantes. </t>
    </r>
  </si>
  <si>
    <r>
      <rPr>
        <b/>
        <sz val="10"/>
        <color theme="1"/>
        <rFont val="Calibri"/>
        <family val="2"/>
        <scheme val="minor"/>
      </rPr>
      <t xml:space="preserve">Secretaría de Salud: </t>
    </r>
    <r>
      <rPr>
        <sz val="10"/>
        <color theme="1"/>
        <rFont val="Calibri"/>
        <family val="2"/>
        <scheme val="minor"/>
      </rPr>
      <t>Desde el programa Convivencia Social y Salud Mental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Dentro de las actividades puntuales se realizaron las siguientes:* Tercera sesión consejo territorial de Salud mental.
* Capacitación a Familias y Jóvenes del Barrio las Colinas de Armenia brindando información en temas de violencias, ideación suicida y trastornos mentales.</t>
    </r>
    <r>
      <rPr>
        <b/>
        <sz val="10"/>
        <color theme="1"/>
        <rFont val="Calibri"/>
        <family val="2"/>
        <scheme val="minor"/>
      </rPr>
      <t xml:space="preserve">
</t>
    </r>
  </si>
  <si>
    <r>
      <t xml:space="preserve">
</t>
    </r>
    <r>
      <rPr>
        <b/>
        <sz val="10"/>
        <color theme="1"/>
        <rFont val="Calibri"/>
        <family val="2"/>
        <scheme val="minor"/>
      </rPr>
      <t>Secretaría del Interior:</t>
    </r>
    <r>
      <rPr>
        <sz val="10"/>
        <color theme="1"/>
        <rFont val="Calibri"/>
        <family val="2"/>
        <scheme val="minor"/>
      </rPr>
      <t xml:space="preserve"> Acompañamiento y seguimiento a los 12 municipios en la ejecución de los PISCC.
</t>
    </r>
    <r>
      <rPr>
        <b/>
        <sz val="10"/>
        <color theme="1"/>
        <rFont val="Calibri"/>
        <family val="2"/>
        <scheme val="minor"/>
      </rPr>
      <t>Policía Nacional</t>
    </r>
    <r>
      <rPr>
        <sz val="10"/>
        <color theme="1"/>
        <rFont val="Calibri"/>
        <family val="2"/>
        <scheme val="minor"/>
      </rPr>
      <t xml:space="preserve">: El Grupo de protección a la infancia y adolescencia, durante el IV trimestre realizó en los 12 municipios del Departamento más de 37 acciones de prevención, vigilancia y control en 29 instituciones educativas, beneficiando a más de  2.664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color rgb="FFFF0000"/>
        <rFont val="Calibri"/>
        <family val="2"/>
        <scheme val="minor"/>
      </rPr>
      <t/>
    </r>
  </si>
  <si>
    <r>
      <rPr>
        <b/>
        <sz val="10"/>
        <color theme="1"/>
        <rFont val="Calibri"/>
        <family val="2"/>
        <scheme val="minor"/>
      </rPr>
      <t xml:space="preserve">Secretaría del Interior: </t>
    </r>
    <r>
      <rPr>
        <sz val="10"/>
        <color theme="1"/>
        <rFont val="Calibri"/>
        <family val="2"/>
        <scheme val="minor"/>
      </rPr>
      <t xml:space="preserve">La tasa actual es de  682 por cada 100 mil jóvenes según informe de página JUACO, 2019
</t>
    </r>
    <r>
      <rPr>
        <b/>
        <sz val="10"/>
        <color theme="1"/>
        <rFont val="Calibri"/>
        <family val="2"/>
        <scheme val="minor"/>
      </rPr>
      <t>Secretaría de familia</t>
    </r>
    <r>
      <rPr>
        <sz val="10"/>
        <color theme="1"/>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color theme="1"/>
        <rFont val="Calibri"/>
        <family val="2"/>
        <scheme val="minor"/>
      </rPr>
      <t>Comisaría de Familia La Tebaida</t>
    </r>
    <r>
      <rPr>
        <sz val="10"/>
        <color theme="1"/>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color theme="1"/>
        <rFont val="Calibri"/>
        <family val="2"/>
        <scheme val="minor"/>
      </rPr>
      <t>Comisaría de Familia Córdoba:</t>
    </r>
    <r>
      <rPr>
        <sz val="10"/>
        <color theme="1"/>
        <rFont val="Calibri"/>
        <family val="2"/>
        <scheme val="minor"/>
      </rPr>
      <t xml:space="preserve"> La Administración municipal cuenta con el Comité Convivencia Escolar, en donde se desarrollaron las cinco (05) sesiones, igualmente se dio cumplimiento con el Plan de Acción. La información no puede ser socializada en porcentaje (%) por el municipio. Igualmente se cuenta con el Comité Civil de Convivencia.  
</t>
    </r>
    <r>
      <rPr>
        <b/>
        <sz val="10"/>
        <color theme="1"/>
        <rFont val="Calibri"/>
        <family val="2"/>
        <scheme val="minor"/>
      </rPr>
      <t>Medicina Legal</t>
    </r>
    <r>
      <rPr>
        <sz val="10"/>
        <color theme="1"/>
        <rFont val="Calibri"/>
        <family val="2"/>
        <scheme val="minor"/>
      </rPr>
      <t xml:space="preserve">: Las actividades propuestas no hacen parte de la misión, ni de las funciones del Instituto Nacional de Medicina Legal y Ciencias Forenses.
</t>
    </r>
    <r>
      <rPr>
        <b/>
        <sz val="10"/>
        <color theme="1"/>
        <rFont val="Calibri"/>
        <family val="2"/>
        <scheme val="minor"/>
      </rPr>
      <t>ICBF:</t>
    </r>
    <r>
      <rPr>
        <sz val="10"/>
        <color theme="1"/>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</si>
  <si>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color theme="1"/>
        <rFont val="Calibri"/>
        <family val="2"/>
        <scheme val="minor"/>
      </rPr>
      <t>Secretaría de Familia:</t>
    </r>
    <r>
      <rPr>
        <sz val="10"/>
        <color theme="1"/>
        <rFont val="Calibri"/>
        <family val="2"/>
        <scheme val="minor"/>
      </rPr>
      <t xml:space="preserve"> la tasa de accidentes fatales viales x 100 mil jóvenes es del 18,62% según fuente de verificación.
</t>
    </r>
    <r>
      <rPr>
        <b/>
        <sz val="10"/>
        <color theme="1"/>
        <rFont val="Calibri"/>
        <family val="2"/>
        <scheme val="minor"/>
      </rPr>
      <t>Alcaldía de Armenia:</t>
    </r>
    <r>
      <rPr>
        <sz val="10"/>
        <color theme="1"/>
        <rFont val="Calibri"/>
        <family val="2"/>
        <scheme val="minor"/>
      </rPr>
      <t xml:space="preserve"> Promoción, apoyo logístico, ejecución y dotación de grupos de recreación dirigida a 4216 jóvenes.
</t>
    </r>
    <r>
      <rPr>
        <b/>
        <sz val="10"/>
        <color theme="1"/>
        <rFont val="Calibri"/>
        <family val="2"/>
        <scheme val="minor"/>
      </rPr>
      <t>Alcaldía Salento:</t>
    </r>
    <r>
      <rPr>
        <sz val="10"/>
        <color theme="1"/>
        <rFont val="Calibri"/>
        <family val="2"/>
        <scheme val="minor"/>
      </rPr>
      <t xml:space="preserve"> En proceso la construcción de la Política Pública de Seguridad Vial, proceso a cargo de la Secretaría de Gobierno
</t>
    </r>
    <r>
      <rPr>
        <b/>
        <sz val="10"/>
        <color theme="1"/>
        <rFont val="Calibri"/>
        <family val="2"/>
        <scheme val="minor"/>
      </rPr>
      <t>Alcaldía de Calarcá</t>
    </r>
    <r>
      <rPr>
        <sz val="10"/>
        <color theme="1"/>
        <rFont val="Calibri"/>
        <family val="2"/>
        <scheme val="minor"/>
      </rPr>
      <t xml:space="preserve">: Se han realizado 246 campañas de educación vial en el  Municipio de Calarcá en donde  se han beneficiado los diferentes actores viales, especialmente jóvenes.
</t>
    </r>
    <r>
      <rPr>
        <b/>
        <sz val="10"/>
        <color theme="1"/>
        <rFont val="Calibri"/>
        <family val="2"/>
        <scheme val="minor"/>
      </rPr>
      <t xml:space="preserve">IDTQ: </t>
    </r>
    <r>
      <rPr>
        <sz val="10"/>
        <color theme="1"/>
        <rFont val="Calibri"/>
        <family val="2"/>
        <scheme val="minor"/>
      </rPr>
      <t xml:space="preserve">Estrategia de movilidad saludable, segura y sostenible efectivamente formulada y adoptada por parte del Instituto Departamental de Tránsito del Quindío, con el acompañamiento y el aporte técnico de las acciones de la Secretaría de familia.
Realizando por parte del IDTQ aportaciones en materia de movilidad, control al transito, señalización y educación vial.
</t>
    </r>
  </si>
  <si>
    <r>
      <t xml:space="preserve">
</t>
    </r>
    <r>
      <rPr>
        <b/>
        <sz val="10"/>
        <color theme="1"/>
        <rFont val="Calibri"/>
        <family val="2"/>
        <scheme val="minor"/>
      </rPr>
      <t>Secretaría de Salud:</t>
    </r>
    <r>
      <rPr>
        <sz val="10"/>
        <color theme="1"/>
        <rFont val="Calibri"/>
        <family val="2"/>
        <scheme val="minor"/>
      </rPr>
      <t xml:space="preserve">  Se realizan actividades como el seguimiento a la gestión del riesgo en los eventos violencia de género e intento de suicidio y otros trastornos mentales, en ese sentido se hace articulación con instituciones Prestadoras de Servicios de Salud y  así verificar los servicios de atención en salud mental y la mitigación de brechas de acceso. También se trabaja  de la mano  con planes locales de salud  municipales y/o subsecretarías de salud para planear, ejecutar y poner en marcha estrategias que permitan acceder adecuadamente a los servicios de salud. Se brinda asistencia y acompañamiento en los municipios del departamento, con relación a los eventos de interés en salud pública. Se orienta en las diferentes fases frente a la adopción y adaptación de la política pública de salud mental con el fin de articular todo el Departamento para la implementación de dicha normatividad. Se  brinda acompañamiento en términos de gestión del riesgo a las instituciones educativas de los 11 municipios de competencia también acompañamiento en la mitigación de las brechas de acceso en salud mental para la aplicación de tecnologías enmarcadas en la resolución 3280,  Dentro de las actividades puntuales se realizan las siguientes: * Capacitación a Familias y Jóvenes brindando información en temas de violencias, ideación suicida y trastornos mentales. * Psi coeducación en temática relacionadas a los eventos de interés en salud mental. * Asistencias técnicas a planes locales de salud en temas de salud mental. * Acompañamiento campaña en salud mental en Universidades del Departamento. *Campaña día mundial de la prevención del suicidio.
</t>
    </r>
    <r>
      <rPr>
        <b/>
        <sz val="10"/>
        <color theme="1"/>
        <rFont val="Calibri"/>
        <family val="2"/>
        <scheme val="minor"/>
      </rPr>
      <t>Alcaldía Génova</t>
    </r>
    <r>
      <rPr>
        <sz val="10"/>
        <color theme="1"/>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color theme="1"/>
        <rFont val="Calibri"/>
        <family val="2"/>
        <scheme val="minor"/>
      </rPr>
      <t>Alcaldía de Armenia:</t>
    </r>
    <r>
      <rPr>
        <sz val="10"/>
        <color theme="1"/>
        <rFont val="Calibri"/>
        <family val="2"/>
        <scheme val="minor"/>
      </rPr>
      <t xml:space="preserve"> La población cubierta con acciones de promoción de factores protectores frente a la conducta suicida es de 2935 jóvenes 
</t>
    </r>
    <r>
      <rPr>
        <b/>
        <sz val="10"/>
        <color theme="1"/>
        <rFont val="Calibri"/>
        <family val="2"/>
        <scheme val="minor"/>
      </rPr>
      <t>Alcaldía de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La Administración Municipal, por parte del Plan Local de Salud Territorial maneja la línea de salud mental, con el fin de evitar suicidios en la población del municipio. Se realizan campañas en contra del suicidio a jóvenes de la Institución Educativa José Maria Córdoba a través del convenio celebrado con el hospital San Roque PIC-Plan de Intervenciones Colectivas.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color theme="1"/>
        <rFont val="Calibri"/>
        <family val="2"/>
        <scheme val="minor"/>
      </rPr>
      <t xml:space="preserve">Alcaldía de Calarcá: </t>
    </r>
    <r>
      <rPr>
        <sz val="10"/>
        <color theme="1"/>
        <rFont val="Calibri"/>
        <family val="2"/>
        <scheme val="minor"/>
      </rPr>
      <t xml:space="preserve">Seguimientos realizados por el programa de salud mental, según reporte del SIVIGILA. Se realizaron tres jornadas de sensibilización en temas referentes a la prevención del suicidio y a la sexualidad responsable en la Institución Educativa Segundo Henao, donde se impactaron 75 jóvenes. 
</t>
    </r>
    <r>
      <rPr>
        <b/>
        <sz val="10"/>
        <color theme="1"/>
        <rFont val="Calibri"/>
        <family val="2"/>
        <scheme val="minor"/>
      </rPr>
      <t>Secretaría del Interior</t>
    </r>
    <r>
      <rPr>
        <sz val="10"/>
        <color theme="1"/>
        <rFont val="Calibri"/>
        <family val="2"/>
        <scheme val="minor"/>
      </rPr>
      <t xml:space="preserve">: La tasa actual es de  7.2 por cada 100.000 jóvenes según informe de página JUACO, 2021.
</t>
    </r>
    <r>
      <rPr>
        <b/>
        <sz val="10"/>
        <color rgb="FFFF0000"/>
        <rFont val="Calibri"/>
        <family val="2"/>
        <scheme val="minor"/>
      </rPr>
      <t/>
    </r>
  </si>
  <si>
    <r>
      <rPr>
        <b/>
        <sz val="10"/>
        <color theme="1"/>
        <rFont val="Calibri"/>
        <family val="2"/>
        <scheme val="minor"/>
      </rPr>
      <t>Secretaría del Interior:</t>
    </r>
    <r>
      <rPr>
        <sz val="10"/>
        <color theme="1"/>
        <rFont val="Calibri"/>
        <family val="2"/>
        <scheme val="minor"/>
      </rPr>
      <t xml:space="preserve"> Se realizó la actualización del Plan Integral Departamental de Derechos Humanos donde se establece la ruta de protección y el plan de prevención de derechos humanos. Cada municipio tiene el plan integral de prevención de derechos humanos.  
</t>
    </r>
    <r>
      <rPr>
        <b/>
        <sz val="10"/>
        <color theme="1"/>
        <rFont val="Calibri"/>
        <family val="2"/>
        <scheme val="minor"/>
      </rPr>
      <t xml:space="preserve">Secretaría de Familia: </t>
    </r>
    <r>
      <rPr>
        <sz val="10"/>
        <color theme="1"/>
        <rFont val="Calibri"/>
        <family val="2"/>
        <scheme val="minor"/>
      </rPr>
      <t xml:space="preserve">la tasa de violencia intrafamiliar x 100 mil jóvenes es del 12,27% según fuente de verificación.
</t>
    </r>
    <r>
      <rPr>
        <b/>
        <sz val="10"/>
        <color rgb="FFFF0000"/>
        <rFont val="Calibri"/>
        <family val="2"/>
        <scheme val="minor"/>
      </rPr>
      <t/>
    </r>
  </si>
  <si>
    <r>
      <t>Secretaría del Interior:</t>
    </r>
    <r>
      <rPr>
        <sz val="10"/>
        <color theme="1"/>
        <rFont val="Calibri"/>
        <family val="2"/>
        <scheme val="minor"/>
      </rPr>
      <t xml:space="preserve"> Se consultaron fuentes oficiales como la defensoría del pueblo y no se tiene información referente al reclutamiento de jóvenes víctimas del conflicto armado. Para la prevención se han realizado:  Jornada de sensibilización prevención y socialización del reclutamiento forzado y Jornada de sensibilización sobre la trata de personas en el Departamento del Quindío.
</t>
    </r>
    <r>
      <rPr>
        <b/>
        <sz val="10"/>
        <color theme="1"/>
        <rFont val="Calibri"/>
        <family val="2"/>
        <scheme val="minor"/>
      </rPr>
      <t>Policía Nacional:</t>
    </r>
    <r>
      <rPr>
        <sz val="10"/>
        <color theme="1"/>
        <rFont val="Calibri"/>
        <family val="2"/>
        <scheme val="minor"/>
      </rPr>
      <t xml:space="preserve"> El Grupo de Protección a la Infancia y Adolescencia realizó durante el IV trimestre en los 12 municipios del departamento, diferentes acciones de prevención, vigilancia y control más de 24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642 personas, para finalizar el año 2022 no se cuenta con denuncias antes este grupo por reclutamiento de jóvenes víctimas en la región. </t>
    </r>
  </si>
  <si>
    <r>
      <rPr>
        <b/>
        <sz val="10"/>
        <color theme="1"/>
        <rFont val="Calibri"/>
        <family val="2"/>
        <scheme val="minor"/>
      </rPr>
      <t xml:space="preserve">Alcaldía Génova: </t>
    </r>
    <r>
      <rPr>
        <sz val="10"/>
        <color theme="1"/>
        <rFont val="Calibri"/>
        <family val="2"/>
        <scheme val="minor"/>
      </rPr>
      <t xml:space="preserve">Se realizan campañas sobre espacios libres de humo y consumo de sustancias,  se realiza plan de acción con  los integrantes del subcomité de sustancias psicoactivas.
</t>
    </r>
    <r>
      <rPr>
        <b/>
        <sz val="10"/>
        <color theme="1"/>
        <rFont val="Calibri"/>
        <family val="2"/>
        <scheme val="minor"/>
      </rPr>
      <t>Alcaldía Quimbaya:</t>
    </r>
    <r>
      <rPr>
        <sz val="10"/>
        <color theme="1"/>
        <rFont val="Calibri"/>
        <family val="2"/>
        <scheme val="minor"/>
      </rPr>
      <t xml:space="preserve"> En el municipio de Quimbaya las 7 instituciones educativas ejecutan proyectos de educación sexual y construcción de ciudadanía.
</t>
    </r>
    <r>
      <rPr>
        <b/>
        <sz val="10"/>
        <color theme="1"/>
        <rFont val="Calibri"/>
        <family val="2"/>
        <scheme val="minor"/>
      </rPr>
      <t>Alcaldía Salento:</t>
    </r>
    <r>
      <rPr>
        <sz val="10"/>
        <color theme="1"/>
        <rFont val="Calibri"/>
        <family val="2"/>
        <scheme val="minor"/>
      </rPr>
      <t xml:space="preserve"> 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Se realizan campañas de salud sexual y reproductiva a jóvenes de la Institución Educativa José Maria Córdoba a través del convenio celebrado con el hospital San Roque  PIC-Plan de Intervenciones Colectivas. Se realiza campaña de socialización de la ley 1622 de 2013 y 1757 de 2015 con apoyo de la Secretaría de Familia Departamental a través de la Jefatura de Juventud. La información no puede ser socializada en porcentaje (%) por el municipio.
</t>
    </r>
    <r>
      <rPr>
        <b/>
        <sz val="10"/>
        <color theme="1"/>
        <rFont val="Calibri"/>
        <family val="2"/>
        <scheme val="minor"/>
      </rPr>
      <t>Alcaldía de Montenegro</t>
    </r>
    <r>
      <rPr>
        <sz val="10"/>
        <color theme="1"/>
        <rFont val="Calibri"/>
        <family val="2"/>
        <scheme val="minor"/>
      </rPr>
      <t xml:space="preserve">: se realizan estrategias como la semana andina para reforzar los talleres que se dan constantemente en las instituciones educativas, no se manejan porcentajes estadísticos.
</t>
    </r>
    <r>
      <rPr>
        <b/>
        <sz val="10"/>
        <color theme="1"/>
        <rFont val="Calibri"/>
        <family val="2"/>
        <scheme val="minor"/>
      </rPr>
      <t>Alcaldía de Calarcá:</t>
    </r>
    <r>
      <rPr>
        <sz val="10"/>
        <color theme="1"/>
        <rFont val="Calibri"/>
        <family val="2"/>
        <scheme val="minor"/>
      </rPr>
      <t xml:space="preserve"> Se realizan talleres en las IE, estrategia comunicativa, seguimiento a los servicios amigables en el municipio. 
</t>
    </r>
    <r>
      <rPr>
        <b/>
        <sz val="10"/>
        <color theme="1"/>
        <rFont val="Calibri"/>
        <family val="2"/>
        <scheme val="minor"/>
      </rPr>
      <t>Alcaldía de Armenia</t>
    </r>
    <r>
      <rPr>
        <sz val="10"/>
        <color theme="1"/>
        <rFont val="Calibri"/>
        <family val="2"/>
        <scheme val="minor"/>
      </rPr>
      <t xml:space="preserve">: Personas sensibilizadas en el cuidado de la salud sexual y derechos sexuales y reproductivos 4000.
</t>
    </r>
    <r>
      <rPr>
        <b/>
        <sz val="10"/>
        <color theme="1"/>
        <rFont val="Calibri"/>
        <family val="2"/>
        <scheme val="minor"/>
      </rPr>
      <t>Secretaría de Educación:</t>
    </r>
    <r>
      <rPr>
        <sz val="10"/>
        <color theme="1"/>
        <rFont val="Calibri"/>
        <family val="2"/>
        <scheme val="minor"/>
      </rPr>
      <t xml:space="preserve"> 100% de las Instituciones Educativas Oficiales, llevan a cabo la ejecución de proyectos de Educación Sexual y Construcción de Ciudadania, además del trabajo continúo desde la dirección de calidad educativa en la revisión de los PEI para que contengan los líneamientos en los temas relacionados.</t>
    </r>
  </si>
  <si>
    <r>
      <rPr>
        <b/>
        <sz val="10"/>
        <color theme="1"/>
        <rFont val="Calibri"/>
        <family val="2"/>
        <scheme val="minor"/>
      </rPr>
      <t xml:space="preserve">Observación: </t>
    </r>
    <r>
      <rPr>
        <sz val="10"/>
        <color theme="1"/>
        <rFont val="Calibri"/>
        <family val="2"/>
        <scheme val="minor"/>
      </rPr>
      <t xml:space="preserve">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color theme="1"/>
        <rFont val="Calibri"/>
        <family val="2"/>
        <scheme val="minor"/>
      </rPr>
      <t>Secretaría de Familia</t>
    </r>
    <r>
      <rPr>
        <sz val="10"/>
        <color theme="1"/>
        <rFont val="Calibri"/>
        <family val="2"/>
        <scheme val="minor"/>
      </rPr>
      <t xml:space="preserve">: La prevalencia de consumo de sustancias psicoactivas último año en escolares es del  6,8% según fuente de verificación.
</t>
    </r>
    <r>
      <rPr>
        <b/>
        <sz val="10"/>
        <color theme="1"/>
        <rFont val="Calibri"/>
        <family val="2"/>
        <scheme val="minor"/>
      </rPr>
      <t>Secretaría de Educación</t>
    </r>
    <r>
      <rPr>
        <sz val="10"/>
        <color theme="1"/>
        <rFont val="Calibri"/>
        <family val="2"/>
        <scheme val="minor"/>
      </rPr>
      <t>: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t>
    </r>
  </si>
  <si>
    <r>
      <rPr>
        <b/>
        <sz val="10"/>
        <color theme="1"/>
        <rFont val="Calibri"/>
        <family val="2"/>
        <scheme val="minor"/>
      </rPr>
      <t xml:space="preserve">Indeportes: </t>
    </r>
    <r>
      <rPr>
        <sz val="10"/>
        <color theme="1"/>
        <rFont val="Calibri"/>
        <family val="2"/>
        <scheme val="minor"/>
      </rPr>
      <t xml:space="preserve">En respuesta a la Ordenanza 026 del 18 de diciembre del 2020 se llevaron a cabo los Juegos Deportivos Departamentales y Para Departamentales 2022, donde se inscribieron 1694 deportistas compitiendo en 20 deportes convencionales y 8 adaptados, los municipios de Circasia, Montenegro, Calarcá y Córdoba recibieron a los deportistas en la fase zonal y en la capital Quindiana se disputó la fase final dejando como campeón a Armenia con 189 medallas, la Tebaida en el segundo puesto con 96 medallas y Quimbaya tercer puesto con 36.
</t>
    </r>
    <r>
      <rPr>
        <b/>
        <sz val="10"/>
        <color theme="1"/>
        <rFont val="Calibri"/>
        <family val="2"/>
        <scheme val="minor"/>
      </rPr>
      <t>Alcaldía de Filandia:</t>
    </r>
    <r>
      <rPr>
        <sz val="10"/>
        <color theme="1"/>
        <rFont val="Calibri"/>
        <family val="2"/>
        <scheme val="minor"/>
      </rPr>
      <t xml:space="preserve"> 3 jóvenes con logros deportivos en eventos internacionales, de los cuales uno pertenece a sector de discapacidad. 
</t>
    </r>
    <r>
      <rPr>
        <b/>
        <sz val="10"/>
        <color theme="1"/>
        <rFont val="Calibri"/>
        <family val="2"/>
        <scheme val="minor"/>
      </rPr>
      <t>Alcaldía la Tebaida:</t>
    </r>
    <r>
      <rPr>
        <sz val="10"/>
        <color theme="1"/>
        <rFont val="Calibri"/>
        <family val="2"/>
        <scheme val="minor"/>
      </rPr>
      <t xml:space="preserve"> en el mes de julio se contó con 56 jóvenes para representar al Municipio en los juegos Intercolegiados del Departamento.
</t>
    </r>
  </si>
  <si>
    <r>
      <rPr>
        <b/>
        <sz val="10"/>
        <color theme="1"/>
        <rFont val="Calibri"/>
        <family val="2"/>
        <scheme val="minor"/>
      </rPr>
      <t>Indeportes:</t>
    </r>
    <r>
      <rPr>
        <sz val="10"/>
        <color theme="1"/>
        <rFont val="Calibri"/>
        <family val="2"/>
        <scheme val="minor"/>
      </rPr>
      <t xml:space="preserve"> Se realizó asistencia técnica a 500 deportistas de reserva y altos logros deportivas en las líneas metodológica, jurídica y biomédica a niños y niñas talentos deportivos en diferentes disciplinas deportivas.</t>
    </r>
  </si>
  <si>
    <r>
      <t xml:space="preserve">Indeportes: </t>
    </r>
    <r>
      <rPr>
        <sz val="10"/>
        <color theme="1"/>
        <rFont val="Calibri"/>
        <family val="2"/>
        <scheme val="minor"/>
      </rPr>
      <t>5 deportes no convencionales apoyados.</t>
    </r>
    <r>
      <rPr>
        <b/>
        <sz val="10"/>
        <color theme="1"/>
        <rFont val="Calibri"/>
        <family val="2"/>
        <scheme val="minor"/>
      </rPr>
      <t xml:space="preserve">
Alcaldía de La Tebaida: </t>
    </r>
    <r>
      <rPr>
        <sz val="10"/>
        <color theme="1"/>
        <rFont val="Calibri"/>
        <family val="2"/>
        <scheme val="minor"/>
      </rPr>
      <t>patinaje y levantamiento de pesas</t>
    </r>
    <r>
      <rPr>
        <b/>
        <sz val="10"/>
        <color theme="1"/>
        <rFont val="Calibri"/>
        <family val="2"/>
        <scheme val="minor"/>
      </rPr>
      <t>.</t>
    </r>
  </si>
  <si>
    <r>
      <t>Secretaria de Turismo, Industria y Comercio:</t>
    </r>
    <r>
      <rPr>
        <sz val="10"/>
        <color theme="1"/>
        <rFont val="Calibri"/>
        <family val="2"/>
        <scheme val="minor"/>
      </rPr>
      <t xml:space="preserve"> Secretaría de Turismo Industria y Comercio: Se agotó el presupuesto en el periodo anterior.</t>
    </r>
    <r>
      <rPr>
        <b/>
        <sz val="10"/>
        <color theme="1"/>
        <rFont val="Calibri"/>
        <family val="2"/>
        <scheme val="minor"/>
      </rPr>
      <t xml:space="preserve">
Secretaría de Familia: </t>
    </r>
    <r>
      <rPr>
        <sz val="10"/>
        <color theme="1"/>
        <rFont val="Calibri"/>
        <family val="2"/>
        <scheme val="minor"/>
      </rPr>
      <t xml:space="preserve">Informa la promoción del turismo de naturaleza de aventura a través de la participación de la feria ANATO.
</t>
    </r>
    <r>
      <rPr>
        <b/>
        <sz val="10"/>
        <color theme="1"/>
        <rFont val="Calibri"/>
        <family val="2"/>
        <scheme val="minor"/>
      </rPr>
      <t xml:space="preserve">Alcaldía Salento: </t>
    </r>
    <r>
      <rPr>
        <sz val="10"/>
        <color theme="1"/>
        <rFont val="Calibri"/>
        <family val="2"/>
        <scheme val="minor"/>
      </rPr>
      <t>Actividades desarrolladas por parte del programa Cátedra de la Salentinidad hacia las instituciones educativas y población joven del municipio (Capacitación docentes y dotación material pedagógico).</t>
    </r>
    <r>
      <rPr>
        <b/>
        <sz val="10"/>
        <color theme="1"/>
        <rFont val="Calibri"/>
        <family val="2"/>
        <scheme val="minor"/>
      </rPr>
      <t xml:space="preserve">
Alcaldía de Córdoba: </t>
    </r>
    <r>
      <rPr>
        <sz val="10"/>
        <color theme="1"/>
        <rFont val="Calibri"/>
        <family val="2"/>
        <scheme val="minor"/>
      </rPr>
      <t xml:space="preserve"> En el Municipio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color theme="1"/>
        <rFont val="Calibri"/>
        <family val="2"/>
        <scheme val="minor"/>
      </rPr>
      <t xml:space="preserve">
Alcaldía de Calarcá: </t>
    </r>
    <r>
      <rPr>
        <sz val="10"/>
        <color theme="1"/>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
</t>
    </r>
  </si>
  <si>
    <r>
      <t xml:space="preserve">   
</t>
    </r>
    <r>
      <rPr>
        <b/>
        <sz val="10"/>
        <color theme="1"/>
        <rFont val="Calibri"/>
        <family val="2"/>
        <scheme val="minor"/>
      </rPr>
      <t>Secretaría de Cultura</t>
    </r>
    <r>
      <rPr>
        <sz val="10"/>
        <color theme="1"/>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 DE PROYECTOS ARTÍSTICOS Y CULTURALES EN EL DEPARTAMENTO DEL QUINDÍO AÑO 2022 Y SE DICTAN OTRAS DISPOSICIONES, ninguno de los proyectos presentados y seleccionados benefician a este tipo de población, pero si se pueden beneficiar en la ejecución de estos 1.153 jóvenes.</t>
    </r>
  </si>
  <si>
    <r>
      <rPr>
        <b/>
        <sz val="10"/>
        <color theme="1"/>
        <rFont val="Calibri"/>
        <family val="2"/>
        <scheme val="minor"/>
      </rPr>
      <t>Secretaría de Cultura:</t>
    </r>
    <r>
      <rPr>
        <sz val="10"/>
        <color theme="1"/>
        <rFont val="Calibri"/>
        <family val="2"/>
        <scheme val="minor"/>
      </rPr>
      <t xml:space="preserve"> la Secretaría de Cultura realizó proceso de formación artística en las áreas de música, danzas, teatro y artes plásticas con la población juvenil  con el apoyo de las casas de la cultura,  en los cuales hemos contado con la asistencia de 240   jóvenes en este cuarto trimestre, para un total atendido en la vigencia de 4370 jóvenes.</t>
    </r>
  </si>
  <si>
    <r>
      <rPr>
        <b/>
        <sz val="10"/>
        <color theme="1"/>
        <rFont val="Calibri"/>
        <family val="2"/>
        <scheme val="minor"/>
      </rPr>
      <t>Secretaría de Familia</t>
    </r>
    <r>
      <rPr>
        <sz val="10"/>
        <color theme="1"/>
        <rFont val="Calibri"/>
        <family val="2"/>
        <scheme val="minor"/>
      </rPr>
      <t xml:space="preserve">: Se actualizó un micro sitio en la página web de la Gobernación orientado a difundir y socializar las actividades realizadas en el marco de la implementación de la Política Pública de Juventud.
</t>
    </r>
  </si>
  <si>
    <r>
      <t xml:space="preserve">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r>
      <rPr>
        <b/>
        <sz val="10"/>
        <color theme="1"/>
        <rFont val="Calibri"/>
        <family val="2"/>
        <scheme val="minor"/>
      </rPr>
      <t>Universidad del Quindío:</t>
    </r>
    <r>
      <rPr>
        <sz val="10"/>
        <color theme="1"/>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color theme="1"/>
        <rFont val="Calibri"/>
        <family val="2"/>
        <scheme val="minor"/>
      </rPr>
      <t>Universidad EAM:</t>
    </r>
    <r>
      <rPr>
        <sz val="10"/>
        <color theme="1"/>
        <rFont val="Calibri"/>
        <family val="2"/>
        <scheme val="minor"/>
      </rPr>
      <t xml:space="preserve"> Semilleros de investigación Ponencias .
</t>
    </r>
    <r>
      <rPr>
        <b/>
        <sz val="10"/>
        <color theme="1"/>
        <rFont val="Calibri"/>
        <family val="2"/>
        <scheme val="minor"/>
      </rPr>
      <t>Secretaría de Familia:</t>
    </r>
    <r>
      <rPr>
        <sz val="10"/>
        <color theme="1"/>
        <rFont val="Calibri"/>
        <family val="2"/>
        <scheme val="minor"/>
      </rPr>
      <t xml:space="preserve">  desde la jefatura de juventud no se realizan investigaciones sobre dinámicas juveniles 
</t>
    </r>
    <r>
      <rPr>
        <b/>
        <sz val="10"/>
        <color theme="1"/>
        <rFont val="Calibri"/>
        <family val="2"/>
        <scheme val="minor"/>
      </rPr>
      <t xml:space="preserve">Universidad la Gran Colombia: </t>
    </r>
    <r>
      <rPr>
        <sz val="10"/>
        <color theme="1"/>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color theme="1"/>
        <rFont val="Calibri"/>
        <family val="2"/>
        <scheme val="minor"/>
      </rPr>
      <t>Secretaría del Interior:</t>
    </r>
    <r>
      <rPr>
        <sz val="10"/>
        <color theme="1"/>
        <rFont val="Calibri"/>
        <family val="2"/>
        <scheme val="minor"/>
      </rPr>
      <t xml:space="preserve"> Apoyo a investigaciones, establecimiento de alianzas con entidades de educación superior para el desarrollo de procesos  investigativos, diseño y puesta en marcha de un observatorio de Juventud.
</t>
    </r>
  </si>
  <si>
    <r>
      <t xml:space="preserve">
</t>
    </r>
    <r>
      <rPr>
        <b/>
        <sz val="10"/>
        <color theme="1"/>
        <rFont val="Calibri"/>
        <family val="2"/>
        <scheme val="minor"/>
      </rPr>
      <t xml:space="preserve">Universidad del Quindío: </t>
    </r>
    <r>
      <rPr>
        <sz val="10"/>
        <color theme="1"/>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color theme="1"/>
        <rFont val="Calibri"/>
        <family val="2"/>
        <scheme val="minor"/>
      </rPr>
      <t>Universidad San  Buenaventura</t>
    </r>
    <r>
      <rPr>
        <sz val="10"/>
        <color theme="1"/>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color theme="1"/>
        <rFont val="Calibri"/>
        <family val="2"/>
        <scheme val="minor"/>
      </rPr>
      <t>Universidad EAM:</t>
    </r>
    <r>
      <rPr>
        <sz val="10"/>
        <color theme="1"/>
        <rFont val="Calibri"/>
        <family val="2"/>
        <scheme val="minor"/>
      </rPr>
      <t xml:space="preserve"> 2 diplomados: Diplomado en Pedagogía y Docencia con 14 estudiantes y el Diplomado en Comunicación Digital y Marketing de Contenidos: 14 estudiantes
</t>
    </r>
    <r>
      <rPr>
        <b/>
        <sz val="10"/>
        <color theme="1"/>
        <rFont val="Calibri"/>
        <family val="2"/>
        <scheme val="minor"/>
      </rPr>
      <t>Secretaría de Familia:</t>
    </r>
    <r>
      <rPr>
        <sz val="10"/>
        <color theme="1"/>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color theme="1"/>
        <rFont val="Calibri"/>
        <family val="2"/>
        <scheme val="minor"/>
      </rPr>
      <t>Universidad la Gran Colombia:</t>
    </r>
    <r>
      <rPr>
        <sz val="10"/>
        <color theme="1"/>
        <rFont val="Calibri"/>
        <family val="2"/>
        <scheme val="minor"/>
      </rPr>
      <t xml:space="preserve"> 1. Diplomado en Planificación Participativa y Estratégica, el cual ha contado con la participación de 6 jóvenes - Consejeros Territoriales de Planeación.
</t>
    </r>
    <r>
      <rPr>
        <b/>
        <sz val="10"/>
        <color theme="1"/>
        <rFont val="Calibri"/>
        <family val="2"/>
        <scheme val="minor"/>
      </rPr>
      <t>Secretaría del Interior:</t>
    </r>
    <r>
      <rPr>
        <sz val="10"/>
        <color theme="1"/>
        <rFont val="Calibri"/>
        <family val="2"/>
        <scheme val="minor"/>
      </rPr>
      <t xml:space="preserve"> Realización de cursos, seminarios y diplomados, establecimiento de alianzas con instituciones de educación superior para la oferta de programas relacionados con juventud.
</t>
    </r>
    <r>
      <rPr>
        <b/>
        <sz val="10"/>
        <color theme="1"/>
        <rFont val="Calibri"/>
        <family val="2"/>
        <scheme val="minor"/>
      </rPr>
      <t xml:space="preserve"> Secretaría de Educación:</t>
    </r>
    <r>
      <rPr>
        <sz val="10"/>
        <color theme="1"/>
        <rFont val="Calibri"/>
        <family val="2"/>
        <scheme val="minor"/>
      </rPr>
      <t>Se continúa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r>
  </si>
  <si>
    <r>
      <t xml:space="preserve">
</t>
    </r>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</si>
  <si>
    <r>
      <rPr>
        <b/>
        <sz val="10"/>
        <color theme="1"/>
        <rFont val="Calibri"/>
        <family val="2"/>
        <scheme val="minor"/>
      </rPr>
      <t xml:space="preserve">Secretaría de Planeación: </t>
    </r>
    <r>
      <rPr>
        <sz val="10"/>
        <color theme="1"/>
        <rFont val="Calibri"/>
        <family val="2"/>
        <scheme val="minor"/>
      </rPr>
      <t xml:space="preserve">La Secretaría de Planeación coordinó  durante el primer y segundo trimestre, acciones a través de Comité de Aprestamiento la Rendición Pública de Cuentas de la Administración Departamental vigencia 2021 que se llevó a cabo el día 29 de junio de 2022,  en cumplimiento de las  metas del  Plan de Desarrollo 2020-2023 , por medio de las diferentes líneas estratégicas ( Inclusión Social y Equidad, Productividad y Competitividad, Territorio, Ambiente y Desarrollo Sostenible y Liderazgo Gobernabilidad y Transparencia, en la cual se encuentran descritos logros  de la política Pública  de juventud.
</t>
    </r>
    <r>
      <rPr>
        <b/>
        <sz val="10"/>
        <color theme="1"/>
        <rFont val="Calibri"/>
        <family val="2"/>
        <scheme val="minor"/>
      </rPr>
      <t>Secretaría de Familia:</t>
    </r>
    <r>
      <rPr>
        <sz val="10"/>
        <color theme="1"/>
        <rFont val="Calibri"/>
        <family val="2"/>
        <scheme val="minor"/>
      </rPr>
      <t xml:space="preserve"> Se realizó el seguimiento cuarto trimestre 2022, correspondiente a la implementación de la Política Pública de Juventud.
</t>
    </r>
  </si>
  <si>
    <r>
      <rPr>
        <b/>
        <sz val="10"/>
        <color theme="1"/>
        <rFont val="Calibri"/>
        <family val="2"/>
        <scheme val="minor"/>
      </rPr>
      <t>Alcaldía de Salento</t>
    </r>
    <r>
      <rPr>
        <sz val="10"/>
        <color theme="1"/>
        <rFont val="Calibri"/>
        <family val="2"/>
        <scheme val="minor"/>
      </rPr>
      <t xml:space="preserve">: Aprobación de recursos por valor de $5.000.000, a través del programa Planta para el mejoramiento de la Casa de la Juventud
</t>
    </r>
    <r>
      <rPr>
        <b/>
        <sz val="10"/>
        <color theme="1"/>
        <rFont val="Calibri"/>
        <family val="2"/>
        <scheme val="minor"/>
      </rPr>
      <t xml:space="preserve">Alcaldía de Buenavista: </t>
    </r>
    <r>
      <rPr>
        <sz val="10"/>
        <color theme="1"/>
        <rFont val="Calibri"/>
        <family val="2"/>
        <scheme val="minor"/>
      </rPr>
      <t xml:space="preserve">No se cuenta con casa de la juventud en el municipio.
</t>
    </r>
    <r>
      <rPr>
        <b/>
        <sz val="10"/>
        <color theme="1"/>
        <rFont val="Calibri"/>
        <family val="2"/>
        <scheme val="minor"/>
      </rPr>
      <t xml:space="preserve">Alcaldía de Génova: </t>
    </r>
    <r>
      <rPr>
        <sz val="10"/>
        <color theme="1"/>
        <rFont val="Calibri"/>
        <family val="2"/>
        <scheme val="minor"/>
      </rPr>
      <t xml:space="preserve">No se cuenta con casa de la juventud en el municipio.
</t>
    </r>
    <r>
      <rPr>
        <b/>
        <sz val="10"/>
        <color theme="1"/>
        <rFont val="Calibri"/>
        <family val="2"/>
        <scheme val="minor"/>
      </rPr>
      <t>Alcaldía Quimbaya:</t>
    </r>
    <r>
      <rPr>
        <sz val="10"/>
        <color theme="1"/>
        <rFont val="Calibri"/>
        <family val="2"/>
        <scheme val="minor"/>
      </rPr>
      <t xml:space="preserve"> En el municipio de Quimbaya no existe casa de la juventud.
</t>
    </r>
    <r>
      <rPr>
        <b/>
        <sz val="10"/>
        <color theme="1"/>
        <rFont val="Calibri"/>
        <family val="2"/>
        <scheme val="minor"/>
      </rPr>
      <t xml:space="preserve">Alcaldía de Tebaida: </t>
    </r>
    <r>
      <rPr>
        <sz val="10"/>
        <color theme="1"/>
        <rFont val="Calibri"/>
        <family val="2"/>
        <scheme val="minor"/>
      </rPr>
      <t xml:space="preserve">en este trimestre la administración Municipal, conto con la elaboración de 2 nuevos murales en la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1 casa de la juventud funcionando en el barrio 7 de agosto con la estrategia "parche pa todos" 
</t>
    </r>
    <r>
      <rPr>
        <b/>
        <sz val="10"/>
        <color theme="1"/>
        <rFont val="Calibri"/>
        <family val="2"/>
        <scheme val="minor"/>
      </rPr>
      <t xml:space="preserve">Alcaldía Montenegro: </t>
    </r>
    <r>
      <rPr>
        <sz val="10"/>
        <color theme="1"/>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color theme="1"/>
        <rFont val="Calibri"/>
        <family val="2"/>
        <scheme val="minor"/>
      </rPr>
      <t>Alcaldía de Filandia:</t>
    </r>
    <r>
      <rPr>
        <sz val="10"/>
        <color theme="1"/>
        <rFont val="Calibri"/>
        <family val="2"/>
        <scheme val="minor"/>
      </rPr>
      <t xml:space="preserve"> El municipio de Filandia cuenta con la casa de la cultura , la cual maneja diversos grupos infantiles y juveniles. </t>
    </r>
    <r>
      <rPr>
        <b/>
        <sz val="10"/>
        <color theme="1"/>
        <rFont val="Calibri"/>
        <family val="2"/>
        <scheme val="minor"/>
      </rPr>
      <t xml:space="preserve">
Alcaldía Pijao:</t>
    </r>
    <r>
      <rPr>
        <sz val="10"/>
        <color theme="1"/>
        <rFont val="Calibri"/>
        <family val="2"/>
        <scheme val="minor"/>
      </rPr>
      <t xml:space="preserve"> se cuenta con casa de la juventud, en la que los jóvenes realizan sus distintas actividades, se le han hecho mejoras gracias a la ayuda de la Secretaría de familia y otros entes.
</t>
    </r>
    <r>
      <rPr>
        <b/>
        <sz val="10"/>
        <color theme="1"/>
        <rFont val="Calibri"/>
        <family val="2"/>
        <scheme val="minor"/>
      </rPr>
      <t>Alcaldía de Calarcá:</t>
    </r>
    <r>
      <rPr>
        <sz val="10"/>
        <color theme="1"/>
        <rFont val="Calibri"/>
        <family val="2"/>
        <scheme val="minor"/>
      </rPr>
      <t xml:space="preserve"> 1 casa de la juventud ubicada en la antigua escuela Matilde Buriticá, los jóvenes cuentan con 100 butacas, tres mesas, una cabina de sonido y un video beam, para apoyo en sus actividades.
</t>
    </r>
    <r>
      <rPr>
        <b/>
        <sz val="10"/>
        <color theme="1"/>
        <rFont val="Calibri"/>
        <family val="2"/>
        <scheme val="minor"/>
      </rPr>
      <t>Secretaría de Familia:</t>
    </r>
    <r>
      <rPr>
        <sz val="10"/>
        <color theme="1"/>
        <rFont val="Calibri"/>
        <family val="2"/>
        <scheme val="minor"/>
      </rPr>
      <t xml:space="preserve"> Reporta que en los municipios de Buenavista, Génova, Quimbaya, Circasia, Montenegro, Filandia y Córdoba no ceuntan con Casa de la Juventud. 
</t>
    </r>
    <r>
      <rPr>
        <b/>
        <sz val="10"/>
        <color theme="1"/>
        <rFont val="Calibri"/>
        <family val="2"/>
        <scheme val="minor"/>
      </rPr>
      <t xml:space="preserve">Alcaldía de Córdoba: </t>
    </r>
    <r>
      <rPr>
        <sz val="10"/>
        <color theme="1"/>
        <rFont val="Calibri"/>
        <family val="2"/>
        <scheme val="minor"/>
      </rPr>
      <t xml:space="preserve"> 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</si>
  <si>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color theme="1"/>
        <rFont val="Calibri"/>
        <family val="2"/>
        <scheme val="minor"/>
      </rPr>
      <t>Secretaría de Familia:</t>
    </r>
    <r>
      <rPr>
        <sz val="10"/>
        <color theme="1"/>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color theme="1"/>
        <rFont val="Calibri"/>
        <family val="2"/>
        <scheme val="minor"/>
      </rPr>
      <t>Alcaldía de Calarcá:</t>
    </r>
    <r>
      <rPr>
        <sz val="10"/>
        <color theme="1"/>
        <rFont val="Calibri"/>
        <family val="2"/>
        <scheme val="minor"/>
      </rPr>
      <t xml:space="preserve"> Por medio de la Resolución N° 943 DEL 18 de octubre del 2022 "Por medio de la cual se adopta el procedimiento para la posesión y operación del Consejo Municipal de Juventudes del municipio de Calarcá-Quindío"; para un total de 17 integrantes. Así mismo en el mes de Diciembre se realiza entrega de 17 entradas al parque del café para el fortalecimiento de las instancias del consejo y plataforma de juventudes.</t>
    </r>
  </si>
  <si>
    <r>
      <rPr>
        <b/>
        <sz val="10"/>
        <color theme="1"/>
        <rFont val="Calibri"/>
        <family val="2"/>
        <scheme val="minor"/>
      </rPr>
      <t xml:space="preserve">
Alcaldía Córdoba:</t>
    </r>
    <r>
      <rPr>
        <sz val="10"/>
        <color theme="1"/>
        <rFont val="Calibri"/>
        <family val="2"/>
        <scheme val="minor"/>
      </rPr>
      <t xml:space="preserve"> 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color theme="1"/>
        <rFont val="Calibri"/>
        <family val="2"/>
        <scheme val="minor"/>
      </rPr>
      <t>Secretaría de Familia:</t>
    </r>
    <r>
      <rPr>
        <sz val="10"/>
        <color theme="1"/>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</si>
  <si>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rPr>
        <b/>
        <sz val="10"/>
        <color theme="1"/>
        <rFont val="Calibri"/>
        <family val="2"/>
        <scheme val="minor"/>
      </rPr>
      <t>Secretaría de Turismo Industria y Comercio:</t>
    </r>
    <r>
      <rPr>
        <sz val="10"/>
        <color theme="1"/>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color theme="1"/>
        <rFont val="Calibri"/>
        <family val="2"/>
        <scheme val="minor"/>
      </rPr>
      <t xml:space="preserve">SENA: </t>
    </r>
    <r>
      <rPr>
        <sz val="10"/>
        <color theme="1"/>
        <rFont val="Calibri"/>
        <family val="2"/>
        <scheme val="minor"/>
      </rPr>
      <t xml:space="preserve">Hasta la fecha se han formado 20.286 aprendices.
</t>
    </r>
    <r>
      <rPr>
        <b/>
        <sz val="10"/>
        <color theme="1"/>
        <rFont val="Calibri"/>
        <family val="2"/>
        <scheme val="minor"/>
      </rPr>
      <t>Nota:</t>
    </r>
    <r>
      <rPr>
        <sz val="10"/>
        <color theme="1"/>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</si>
  <si>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color theme="1"/>
        <rFont val="Calibri"/>
        <family val="2"/>
        <scheme val="minor"/>
      </rPr>
      <t xml:space="preserve">
Cámara de Comercio de Armenia y del Quindío:  </t>
    </r>
    <r>
      <rPr>
        <sz val="10"/>
        <color theme="1"/>
        <rFont val="Calibri"/>
        <family val="2"/>
        <scheme val="minor"/>
      </rPr>
      <t xml:space="preserve">La tasa de desempleo juvenil en la ciudad de Armenia es de 20,5 según el DANE en su último informe publicado
</t>
    </r>
    <r>
      <rPr>
        <b/>
        <sz val="10"/>
        <color theme="1"/>
        <rFont val="Calibri"/>
        <family val="2"/>
        <scheme val="minor"/>
      </rPr>
      <t xml:space="preserve">Secretaría Turismo, Industria y Comercio: </t>
    </r>
    <r>
      <rPr>
        <sz val="10"/>
        <color theme="1"/>
        <rFont val="Calibri"/>
        <family val="2"/>
        <scheme val="minor"/>
      </rPr>
      <t>Ciento tres (103) iniciativas vinculadas a proyectos innovadores y de emprendimiento.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t>
    </r>
    <r>
      <rPr>
        <b/>
        <sz val="10"/>
        <color theme="1"/>
        <rFont val="Calibri"/>
        <family val="2"/>
        <scheme val="minor"/>
      </rPr>
      <t xml:space="preserve">
Secretaría de Agricultura:</t>
    </r>
    <r>
      <rPr>
        <sz val="10"/>
        <color theme="1"/>
        <rFont val="Calibri"/>
        <family val="2"/>
        <scheme val="minor"/>
      </rPr>
      <t xml:space="preserve">  En el marco de la ejecución del proyecto de regalías, para la implementación de un modelo innovador de café diferenciado se dio alcance a un proyecto de investigación y CTEL, para la comuidad cafetera del Departamento del Quindío, impactando 705 jóvenes de 325 mujeres y 370 hombres
</t>
    </r>
    <r>
      <rPr>
        <b/>
        <sz val="10"/>
        <color theme="1"/>
        <rFont val="Calibri"/>
        <family val="2"/>
        <scheme val="minor"/>
      </rPr>
      <t xml:space="preserve">Alcaldía de Filandia: </t>
    </r>
    <r>
      <rPr>
        <sz val="10"/>
        <color theme="1"/>
        <rFont val="Calibri"/>
        <family val="2"/>
        <scheme val="minor"/>
      </rPr>
      <t xml:space="preserve">55% de jóvenes vinculados laboralmente.
</t>
    </r>
    <r>
      <rPr>
        <b/>
        <sz val="10"/>
        <color theme="1"/>
        <rFont val="Calibri"/>
        <family val="2"/>
        <scheme val="minor"/>
      </rPr>
      <t xml:space="preserve">Alcaldía de Córdoba: </t>
    </r>
    <r>
      <rPr>
        <sz val="10"/>
        <color theme="1"/>
        <rFont val="Calibri"/>
        <family val="2"/>
        <scheme val="minor"/>
      </rPr>
      <t>Esta información no puede ser reportada en porcentaje (%), sin embargo por parte del municipio a través de la alcaldía municipal ha realizado 2 ferias de empleo con el apoyo y acompañamiento de la Cámara de Comercio del Quindío y el Sena Regional Quindío  a través de su oficina de empleo.</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</si>
  <si>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Universidad del Quindío: </t>
    </r>
    <r>
      <rPr>
        <sz val="10"/>
        <color theme="1"/>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Universidad La Gran Colombia:</t>
    </r>
    <r>
      <rPr>
        <sz val="10"/>
        <color theme="1"/>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color theme="1"/>
        <rFont val="Calibri"/>
        <family val="2"/>
        <scheme val="minor"/>
      </rPr>
      <t xml:space="preserve">Universidad EAM: </t>
    </r>
    <r>
      <rPr>
        <sz val="10"/>
        <color theme="1"/>
        <rFont val="Calibri"/>
        <family val="2"/>
        <scheme val="minor"/>
      </rPr>
      <t xml:space="preserve">Articulación con las políticas de inclusión
</t>
    </r>
    <r>
      <rPr>
        <b/>
        <sz val="10"/>
        <color theme="1"/>
        <rFont val="Calibri"/>
        <family val="2"/>
        <scheme val="minor"/>
      </rPr>
      <t xml:space="preserve">Secretaría de Turismo Industria y Comercio: </t>
    </r>
    <r>
      <rPr>
        <sz val="10"/>
        <color theme="1"/>
        <rFont val="Calibri"/>
        <family val="2"/>
        <scheme val="minor"/>
      </rPr>
      <t xml:space="preserve">Se agotó el presupuesto en el periodo anterior.
</t>
    </r>
    <r>
      <rPr>
        <b/>
        <sz val="10"/>
        <color theme="1"/>
        <rFont val="Calibri"/>
        <family val="2"/>
        <scheme val="minor"/>
      </rPr>
      <t>Secretaría de Agricultura:</t>
    </r>
    <r>
      <rPr>
        <sz val="10"/>
        <color theme="1"/>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4. Convenio No. 080-2021 con la ASOCIACIÓN DE RELEVO GENERACIONAL DEL CAMPO ARMENIA – ASORGEC.  
</t>
    </r>
    <r>
      <rPr>
        <b/>
        <sz val="10"/>
        <color theme="1"/>
        <rFont val="Calibri"/>
        <family val="2"/>
        <scheme val="minor"/>
      </rPr>
      <t>Secretaría de Educación:</t>
    </r>
    <r>
      <rPr>
        <sz val="10"/>
        <color theme="1"/>
        <rFont val="Calibri"/>
        <family val="2"/>
        <scheme val="minor"/>
      </rPr>
      <t xml:space="preserve"> El 13,36%  representa el porcentaje de jóvenes matriculados en la educación media  que participan en proyectos de innovación y emprendimiento en el sector rural. Esta acción se enmarca en la estrategia de doble titulación mediante el convenio interinstitucional 004 de 2016 con el SENA, con la formulación de proyectos productivos innovadores, cumpliendo así con la etapa de certificación para el técnico laboral en cada una de las especialidades de las Instituciones Educativas. Se estima pago anual para 666 estudiantes rurales  que realizan proyectos productivos o emprendimientos innovadores en su etapa práctica, puesto que para su formación técnica es requisito indispensable. Se realiza pago anual de $32.606.000 en promedio para cubir la afiliación a riegos laborales de los estudiantes que realizan sus proyectos productivos y de emprendimiento en el sector rural.
</t>
    </r>
  </si>
  <si>
    <r>
      <rPr>
        <b/>
        <sz val="10"/>
        <color theme="1"/>
        <rFont val="Calibri"/>
        <family val="2"/>
        <scheme val="minor"/>
      </rPr>
      <t>Sena:</t>
    </r>
    <r>
      <rPr>
        <sz val="10"/>
        <color theme="1"/>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color theme="1"/>
        <rFont val="Calibri"/>
        <family val="2"/>
        <scheme val="minor"/>
      </rPr>
      <t>Secretaría de Turismo Industria y Comercio:</t>
    </r>
    <r>
      <rPr>
        <sz val="10"/>
        <color theme="1"/>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color theme="1"/>
        <rFont val="Calibri"/>
        <family val="2"/>
        <scheme val="minor"/>
      </rPr>
      <t xml:space="preserve">Universidad del Quindío: </t>
    </r>
    <r>
      <rPr>
        <sz val="10"/>
        <color theme="1"/>
        <rFont val="Calibri"/>
        <family val="2"/>
        <scheme val="minor"/>
      </rPr>
      <t xml:space="preserve">No se tienen proyectos que reciban estímulo financiero ya que desde la Universidad los que se apoyan se hacen con recursos en especie.
</t>
    </r>
    <r>
      <rPr>
        <b/>
        <sz val="10"/>
        <color theme="1"/>
        <rFont val="Calibri"/>
        <family val="2"/>
        <scheme val="minor"/>
      </rPr>
      <t>Universidad EAM:</t>
    </r>
    <r>
      <rPr>
        <sz val="10"/>
        <color theme="1"/>
        <rFont val="Calibri"/>
        <family val="2"/>
        <scheme val="minor"/>
      </rPr>
      <t xml:space="preserve"> Área de proyectos especiales.
</t>
    </r>
    <r>
      <rPr>
        <b/>
        <sz val="10"/>
        <color theme="1"/>
        <rFont val="Calibri"/>
        <family val="2"/>
        <scheme val="minor"/>
      </rPr>
      <t>Universidad La Gran Colombia:</t>
    </r>
    <r>
      <rPr>
        <sz val="10"/>
        <color theme="1"/>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color theme="1"/>
        <rFont val="Calibri"/>
        <family val="2"/>
        <scheme val="minor"/>
      </rPr>
      <t>Secretaría de Educación:</t>
    </r>
    <r>
      <rPr>
        <sz val="10"/>
        <color theme="1"/>
        <rFont val="Calibri"/>
        <family val="2"/>
        <scheme val="minor"/>
      </rPr>
      <t xml:space="preserve"> Convocatoria programa ONDAS del Minsterio de Ciencia, Tecnología e Innovación: 43 proyectos de investigación, ciencia y tecnología representan el 58,1% de los proyectos presentados a la convocatoria 2022. De acuerdo a esta estrategia se brinda asistencia técnica para su ejecución. Se estimaron 74 proyectos para ingresar a la convocatoria ONDAS 2022 con un presupuesto proyectado de $44.400.000
</t>
    </r>
  </si>
  <si>
    <r>
      <t xml:space="preserve">
</t>
    </r>
    <r>
      <rPr>
        <b/>
        <sz val="10"/>
        <color theme="1"/>
        <rFont val="Calibri"/>
        <family val="2"/>
        <scheme val="minor"/>
      </rPr>
      <t>Alcaldía Buenavista:</t>
    </r>
    <r>
      <rPr>
        <sz val="10"/>
        <color theme="1"/>
        <rFont val="Calibri"/>
        <family val="2"/>
        <scheme val="minor"/>
      </rPr>
      <t xml:space="preserve"> No se registran datos en el tercer trimestre de 2022.
</t>
    </r>
    <r>
      <rPr>
        <b/>
        <sz val="10"/>
        <color theme="1"/>
        <rFont val="Calibri"/>
        <family val="2"/>
        <scheme val="minor"/>
      </rPr>
      <t xml:space="preserve">Alcaldía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Córdoba:</t>
    </r>
    <r>
      <rPr>
        <sz val="10"/>
        <color theme="1"/>
        <rFont val="Calibri"/>
        <family val="2"/>
        <scheme val="minor"/>
      </rPr>
      <t xml:space="preserve"> Teniendo en cuenta las estadísticas de seguridad de la Estación de Policía, Córdoba cuenta con un 0% de homicidios en el municipio. 
</t>
    </r>
    <r>
      <rPr>
        <b/>
        <sz val="10"/>
        <color theme="1"/>
        <rFont val="Calibri"/>
        <family val="2"/>
        <scheme val="minor"/>
      </rPr>
      <t xml:space="preserve">Secretaría de Familia: </t>
    </r>
    <r>
      <rPr>
        <sz val="10"/>
        <color theme="1"/>
        <rFont val="Calibri"/>
        <family val="2"/>
        <scheme val="minor"/>
      </rPr>
      <t xml:space="preserve">Desde la Jefatura de Juventud, e brindan talleres formativos donde de proporcionan herramientas para el diario vivir de los jóvenes.
</t>
    </r>
    <r>
      <rPr>
        <b/>
        <sz val="10"/>
        <color theme="1"/>
        <rFont val="Calibri"/>
        <family val="2"/>
        <scheme val="minor"/>
      </rPr>
      <t xml:space="preserve">Alcaldía Filandia: </t>
    </r>
    <r>
      <rPr>
        <sz val="10"/>
        <color theme="1"/>
        <rFont val="Calibri"/>
        <family val="2"/>
        <scheme val="minor"/>
      </rPr>
      <t xml:space="preserve"> El municipio de Filandia no cuenta con homicidios desde hace mas de 5 años.
</t>
    </r>
    <r>
      <rPr>
        <b/>
        <sz val="10"/>
        <color theme="1"/>
        <rFont val="Calibri"/>
        <family val="2"/>
        <scheme val="minor"/>
      </rPr>
      <t>Secretaría del Interior:</t>
    </r>
    <r>
      <rPr>
        <sz val="10"/>
        <color theme="1"/>
        <rFont val="Calibri"/>
        <family val="2"/>
        <scheme val="minor"/>
      </rPr>
      <t xml:space="preserve"> La tasa actual es de  56,78 por cada 100 mil jóvenes según informe de página JUACO, 2021.
</t>
    </r>
    <r>
      <rPr>
        <b/>
        <sz val="10"/>
        <color theme="1"/>
        <rFont val="Calibri"/>
        <family val="2"/>
        <scheme val="minor"/>
      </rPr>
      <t/>
    </r>
  </si>
  <si>
    <r>
      <t xml:space="preserve">
</t>
    </r>
    <r>
      <rPr>
        <b/>
        <sz val="10"/>
        <color theme="1"/>
        <rFont val="Calibri"/>
        <family val="2"/>
        <scheme val="minor"/>
      </rPr>
      <t xml:space="preserve">Secretaría de Salud: </t>
    </r>
    <r>
      <rPr>
        <sz val="10"/>
        <color theme="1"/>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color theme="1"/>
        <rFont val="Calibri"/>
        <family val="2"/>
        <scheme val="minor"/>
      </rPr>
      <t xml:space="preserve">Secretaría de Familia: </t>
    </r>
    <r>
      <rPr>
        <sz val="10"/>
        <color theme="1"/>
        <rFont val="Calibri"/>
        <family val="2"/>
        <scheme val="minor"/>
      </rPr>
      <t xml:space="preserve">el número de embarazos en menores de 20 años es de 4358 según fuente de verificación. 
</t>
    </r>
    <r>
      <rPr>
        <b/>
        <sz val="10"/>
        <color theme="1"/>
        <rFont val="Calibri"/>
        <family val="2"/>
        <scheme val="minor"/>
      </rPr>
      <t>Alcaldía Buenavista:</t>
    </r>
    <r>
      <rPr>
        <sz val="10"/>
        <color theme="1"/>
        <rFont val="Calibri"/>
        <family val="2"/>
        <scheme val="minor"/>
      </rPr>
      <t xml:space="preserve"> 5 mujeres menores de 20 años en estado de embarazo.
</t>
    </r>
    <r>
      <rPr>
        <b/>
        <sz val="10"/>
        <color theme="1"/>
        <rFont val="Calibri"/>
        <family val="2"/>
        <scheme val="minor"/>
      </rPr>
      <t>Alcaldía Filandia:</t>
    </r>
    <r>
      <rPr>
        <sz val="10"/>
        <color theme="1"/>
        <rFont val="Calibri"/>
        <family val="2"/>
        <scheme val="minor"/>
      </rPr>
      <t xml:space="preserve"> No se cuenta con  el dato.
</t>
    </r>
    <r>
      <rPr>
        <b/>
        <sz val="10"/>
        <color theme="1"/>
        <rFont val="Calibri"/>
        <family val="2"/>
        <scheme val="minor"/>
      </rPr>
      <t xml:space="preserve">Alcaldía Armenia: </t>
    </r>
    <r>
      <rPr>
        <sz val="10"/>
        <color theme="1"/>
        <rFont val="Calibri"/>
        <family val="2"/>
        <scheme val="minor"/>
      </rPr>
      <t xml:space="preserve">Se implementan </t>
    </r>
    <r>
      <rPr>
        <b/>
        <sz val="10"/>
        <color theme="1"/>
        <rFont val="Calibri"/>
        <family val="2"/>
        <scheme val="minor"/>
      </rPr>
      <t>e</t>
    </r>
    <r>
      <rPr>
        <sz val="10"/>
        <color theme="1"/>
        <rFont val="Calibri"/>
        <family val="2"/>
        <scheme val="minor"/>
      </rPr>
      <t xml:space="preserve">strategias de garantía de derechos de los jóvenes a través de actividades en prevención de riesgos, para un total de 1102 jóvenes impactados .
</t>
    </r>
    <r>
      <rPr>
        <b/>
        <sz val="10"/>
        <color theme="1"/>
        <rFont val="Calibri"/>
        <family val="2"/>
        <scheme val="minor"/>
      </rPr>
      <t xml:space="preserve">Alcaldía de Salento: </t>
    </r>
    <r>
      <rPr>
        <sz val="10"/>
        <color theme="1"/>
        <rFont val="Calibri"/>
        <family val="2"/>
        <scheme val="minor"/>
      </rPr>
      <t xml:space="preserve">Sostenimiento de los programas de atención psicológica establecidos en el municipio.
</t>
    </r>
    <r>
      <rPr>
        <b/>
        <sz val="10"/>
        <color theme="1"/>
        <rFont val="Calibri"/>
        <family val="2"/>
        <scheme val="minor"/>
      </rPr>
      <t>Alcaldía de Montenegro:</t>
    </r>
    <r>
      <rPr>
        <sz val="10"/>
        <color theme="1"/>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color theme="1"/>
        <rFont val="Calibri"/>
        <family val="2"/>
        <scheme val="minor"/>
      </rPr>
      <t>Alcaldía de Calarcá</t>
    </r>
    <r>
      <rPr>
        <sz val="10"/>
        <color theme="1"/>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color theme="1"/>
        <rFont val="Calibri"/>
        <family val="2"/>
        <scheme val="minor"/>
      </rPr>
      <t xml:space="preserve">ICBF: </t>
    </r>
    <r>
      <rPr>
        <sz val="10"/>
        <color theme="1"/>
        <rFont val="Calibri"/>
        <family val="2"/>
        <scheme val="minor"/>
      </rPr>
      <t xml:space="preserve">Formación de Agentes en Derechos Sexuales y Reproductivos*Fortalecimiento del PESCC*Acompañamiento Escuela de Padres.
</t>
    </r>
    <r>
      <rPr>
        <b/>
        <sz val="10"/>
        <color theme="1"/>
        <rFont val="Calibri"/>
        <family val="2"/>
        <scheme val="minor"/>
      </rPr>
      <t>Alcaldía Quimbaya:</t>
    </r>
    <r>
      <rPr>
        <sz val="10"/>
        <color theme="1"/>
        <rFont val="Calibri"/>
        <family val="2"/>
        <scheme val="minor"/>
      </rPr>
      <t xml:space="preserve"> En el municipio de Quimbaya se conmemoró la semana andina para la prevención del embarazo en la adolescencia.</t>
    </r>
  </si>
  <si>
    <r>
      <rPr>
        <b/>
        <sz val="10"/>
        <color theme="1"/>
        <rFont val="Calibri"/>
        <family val="2"/>
        <scheme val="minor"/>
      </rPr>
      <t>Secretaría Familia:</t>
    </r>
    <r>
      <rPr>
        <sz val="10"/>
        <color theme="1"/>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</si>
  <si>
    <r>
      <t xml:space="preserve">Secretaría de Familia: Reporta que los doce municipios del Quindío, han realizado las asambleas juveniles, conforme al estatuto de ciudadanía juvenil. Y COORDINÓ LA REALIZACIÓN DE LA ASAMBLEA DE JUVENTUD  DEPARTAMENTAL EN EL RECINTO DE LA ASAMBLEA DEPARTAMENTAL EN EL MES DE DICIEMBRE.  Alcaldía de Buenavista: </t>
    </r>
    <r>
      <rPr>
        <sz val="10"/>
        <color theme="1"/>
        <rFont val="Calibri"/>
        <family val="2"/>
        <scheme val="minor"/>
      </rPr>
      <t>Se realizó Asamblea de Juventud en el mes de Junio de 2022.</t>
    </r>
    <r>
      <rPr>
        <b/>
        <sz val="10"/>
        <color theme="1"/>
        <rFont val="Calibri"/>
        <family val="2"/>
        <scheme val="minor"/>
      </rPr>
      <t xml:space="preserve">
Alcaldía de Salento: </t>
    </r>
    <r>
      <rPr>
        <sz val="10"/>
        <color theme="1"/>
        <rFont val="Calibri"/>
        <family val="2"/>
        <scheme val="minor"/>
      </rPr>
      <t>Hasta la fecha se ha realizada la Asamblea Municipal de Juventud, realizada el pasado 11 de Febrero</t>
    </r>
    <r>
      <rPr>
        <b/>
        <sz val="10"/>
        <color theme="1"/>
        <rFont val="Calibri"/>
        <family val="2"/>
        <scheme val="minor"/>
      </rPr>
      <t xml:space="preserve">
Alcaldía de Montenegro: </t>
    </r>
    <r>
      <rPr>
        <sz val="10"/>
        <color theme="1"/>
        <rFont val="Calibri"/>
        <family val="2"/>
        <scheme val="minor"/>
      </rPr>
      <t>Se han realizado las 2 asambleas de juventud que establece el estatuto de ciudadanía juvenil (ley  Estatutaria 1622 del 2013 modificada por la ley 1885 del 2018) .</t>
    </r>
    <r>
      <rPr>
        <b/>
        <sz val="10"/>
        <color theme="1"/>
        <rFont val="Calibri"/>
        <family val="2"/>
        <scheme val="minor"/>
      </rPr>
      <t xml:space="preserve">
Alcaldía de Córdoba: </t>
    </r>
    <r>
      <rPr>
        <sz val="10"/>
        <color theme="1"/>
        <rFont val="Calibri"/>
        <family val="2"/>
        <scheme val="minor"/>
      </rPr>
      <t xml:space="preserve">Las asambleas juveniles se realizaron en el primer semestre del 2022. </t>
    </r>
    <r>
      <rPr>
        <b/>
        <sz val="10"/>
        <color theme="1"/>
        <rFont val="Calibri"/>
        <family val="2"/>
        <scheme val="minor"/>
      </rPr>
      <t xml:space="preserve">
Alcaldía de la Tebaida:  </t>
    </r>
    <r>
      <rPr>
        <sz val="10"/>
        <color theme="1"/>
        <rFont val="Calibri"/>
        <family val="2"/>
        <scheme val="minor"/>
      </rPr>
      <t xml:space="preserve">El 05 de diciembre, se realizaron en el teatro municipal las 2 asambleas del año en vigencia dándole cumplimiento a la ley 1622 del 2013. En donde asistieron los consejeros de juventud, plataforma de juventud y demás miembros de colectivos juveniles.  </t>
    </r>
    <r>
      <rPr>
        <b/>
        <sz val="10"/>
        <color theme="1"/>
        <rFont val="Calibri"/>
        <family val="2"/>
        <scheme val="minor"/>
      </rPr>
      <t xml:space="preserve">
Alcaldía Armenia: </t>
    </r>
    <r>
      <rPr>
        <sz val="10"/>
        <color theme="1"/>
        <rFont val="Calibri"/>
        <family val="2"/>
        <scheme val="minor"/>
      </rPr>
      <t xml:space="preserve">Se han realizado dos asambleas juveniles en el mes de marzo y julio de 2022, impactando a 136 jóvenes. </t>
    </r>
    <r>
      <rPr>
        <b/>
        <sz val="10"/>
        <color theme="1"/>
        <rFont val="Calibri"/>
        <family val="2"/>
        <scheme val="minor"/>
      </rPr>
      <t xml:space="preserve">
Alcaldía de Filandia: </t>
    </r>
    <r>
      <rPr>
        <sz val="10"/>
        <color theme="1"/>
        <rFont val="Calibri"/>
        <family val="2"/>
        <scheme val="minor"/>
      </rPr>
      <t>1 conformada, para el periodo de octubre a diciembre no se convocó.</t>
    </r>
    <r>
      <rPr>
        <b/>
        <sz val="10"/>
        <color theme="1"/>
        <rFont val="Calibri"/>
        <family val="2"/>
        <scheme val="minor"/>
      </rPr>
      <t xml:space="preserve">
Alcaldía Quimbaya: </t>
    </r>
    <r>
      <rPr>
        <sz val="10"/>
        <color theme="1"/>
        <rFont val="Calibri"/>
        <family val="2"/>
        <scheme val="minor"/>
      </rPr>
      <t>En el municipio de Quimbaya se realizó una asamblea juvenil durante la vigencia 2022</t>
    </r>
    <r>
      <rPr>
        <b/>
        <sz val="10"/>
        <color theme="1"/>
        <rFont val="Calibri"/>
        <family val="2"/>
        <scheme val="minor"/>
      </rPr>
      <t xml:space="preserve">
Alcaldía de Génova: </t>
    </r>
    <r>
      <rPr>
        <sz val="10"/>
        <color theme="1"/>
        <rFont val="Calibri"/>
        <family val="2"/>
        <scheme val="minor"/>
      </rPr>
      <t>1 asamblea realizada.</t>
    </r>
    <r>
      <rPr>
        <b/>
        <sz val="10"/>
        <color theme="1"/>
        <rFont val="Calibri"/>
        <family val="2"/>
        <scheme val="minor"/>
      </rPr>
      <t xml:space="preserve">
</t>
    </r>
  </si>
  <si>
    <r>
      <rPr>
        <b/>
        <sz val="10"/>
        <color theme="1"/>
        <rFont val="Calibri"/>
        <family val="2"/>
        <scheme val="minor"/>
      </rPr>
      <t xml:space="preserve">Se beneficiaron: 11693 Personas 79% Por encima de la linea de base de 6500 beneficiados.    Alcaldía de Filandia: </t>
    </r>
    <r>
      <rPr>
        <sz val="10"/>
        <color theme="1"/>
        <rFont val="Calibri"/>
        <family val="2"/>
        <scheme val="minor"/>
      </rPr>
      <t>230 menores.</t>
    </r>
    <r>
      <rPr>
        <b/>
        <sz val="10"/>
        <color theme="1"/>
        <rFont val="Calibri"/>
        <family val="2"/>
        <scheme val="minor"/>
      </rPr>
      <t xml:space="preserve">
Alcaldía de Circasia: </t>
    </r>
    <r>
      <rPr>
        <sz val="10"/>
        <color theme="1"/>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 xml:space="preserve">Alcaldía de la Tebaida: </t>
    </r>
    <r>
      <rPr>
        <sz val="10"/>
        <color theme="1"/>
        <rFont val="Calibri"/>
        <family val="2"/>
        <scheme val="minor"/>
      </rPr>
      <t xml:space="preserve">70 adultos.
</t>
    </r>
    <r>
      <rPr>
        <b/>
        <sz val="10"/>
        <color theme="1"/>
        <rFont val="Calibri"/>
        <family val="2"/>
        <scheme val="minor"/>
      </rPr>
      <t>Alcaldía de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 xml:space="preserve">Alcaldía de Calarcá: </t>
    </r>
    <r>
      <rPr>
        <sz val="10"/>
        <color theme="1"/>
        <rFont val="Calibri"/>
        <family val="2"/>
        <scheme val="minor"/>
      </rPr>
      <t xml:space="preserve">Programa recreativo para adolescencia y juventud y programa recreativo y fitness.
</t>
    </r>
    <r>
      <rPr>
        <b/>
        <sz val="10"/>
        <color theme="1"/>
        <rFont val="Calibri"/>
        <family val="2"/>
        <scheme val="minor"/>
      </rPr>
      <t xml:space="preserve">Alcaldía de Montenegro: </t>
    </r>
    <r>
      <rPr>
        <sz val="10"/>
        <color theme="1"/>
        <rFont val="Calibri"/>
        <family val="2"/>
        <scheme val="minor"/>
      </rPr>
      <t xml:space="preserve">328 personas mayores a través de hábitos y estilos de vida saludable y actividad musicalizada y recreativa para el adulto mayor.
</t>
    </r>
    <r>
      <rPr>
        <b/>
        <sz val="10"/>
        <color theme="1"/>
        <rFont val="Calibri"/>
        <family val="2"/>
        <scheme val="minor"/>
      </rPr>
      <t xml:space="preserve">Alcaldía de Armenia: </t>
    </r>
    <r>
      <rPr>
        <sz val="10"/>
        <color theme="1"/>
        <rFont val="Calibri"/>
        <family val="2"/>
        <scheme val="minor"/>
      </rPr>
      <t xml:space="preserve">Promoción, apoyo logístico, ejecución y dotación de programas de Hábitos y Estilos de Vida Saludable y Actividad Física (8945) 
</t>
    </r>
    <r>
      <rPr>
        <b/>
        <sz val="10"/>
        <color theme="1"/>
        <rFont val="Calibri"/>
        <family val="2"/>
        <scheme val="minor"/>
      </rPr>
      <t xml:space="preserve">Universidad EAM: </t>
    </r>
    <r>
      <rPr>
        <sz val="10"/>
        <color theme="1"/>
        <rFont val="Calibri"/>
        <family val="2"/>
        <scheme val="minor"/>
      </rPr>
      <t xml:space="preserve">16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Indeportes: </t>
    </r>
    <r>
      <rPr>
        <sz val="10"/>
        <color theme="1"/>
        <rFont val="Calibri"/>
        <family val="2"/>
        <scheme val="minor"/>
      </rPr>
      <t>1290</t>
    </r>
  </si>
  <si>
    <t xml:space="preserve">20%
</t>
  </si>
  <si>
    <r>
      <rPr>
        <b/>
        <sz val="10"/>
        <color theme="1"/>
        <rFont val="Calibri"/>
        <family val="2"/>
        <scheme val="minor"/>
      </rPr>
      <t>Se beneficiaron en total 7592 jóvenes</t>
    </r>
    <r>
      <rPr>
        <sz val="10"/>
        <color theme="1"/>
        <rFont val="Calibri"/>
        <family val="2"/>
        <scheme val="minor"/>
      </rPr>
      <t xml:space="preserve">
</t>
    </r>
    <r>
      <rPr>
        <b/>
        <sz val="10"/>
        <color theme="1"/>
        <rFont val="Calibri"/>
        <family val="2"/>
        <scheme val="minor"/>
      </rPr>
      <t>Alcaldía Salento:</t>
    </r>
    <r>
      <rPr>
        <sz val="10"/>
        <color theme="1"/>
        <rFont val="Calibri"/>
        <family val="2"/>
        <scheme val="minor"/>
      </rPr>
      <t xml:space="preserve"> Fortalecimiento y apoyo a las Escuelas de Formación Deportiva, reactivación de torneos de fútbol, fútbol de salón.
</t>
    </r>
    <r>
      <rPr>
        <b/>
        <sz val="10"/>
        <color theme="1"/>
        <rFont val="Calibri"/>
        <family val="2"/>
        <scheme val="minor"/>
      </rPr>
      <t>Alcaldía de Buenavista</t>
    </r>
    <r>
      <rPr>
        <sz val="10"/>
        <color theme="1"/>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color theme="1"/>
        <rFont val="Calibri"/>
        <family val="2"/>
        <scheme val="minor"/>
      </rPr>
      <t>Alcaldía de la Tebaida:</t>
    </r>
    <r>
      <rPr>
        <sz val="10"/>
        <color theme="1"/>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color theme="1"/>
        <rFont val="Calibri"/>
        <family val="2"/>
        <scheme val="minor"/>
      </rPr>
      <t>Alcaldía Génova:</t>
    </r>
    <r>
      <rPr>
        <sz val="10"/>
        <color theme="1"/>
        <rFont val="Calibri"/>
        <family val="2"/>
        <scheme val="minor"/>
      </rPr>
      <t xml:space="preserve"> Menores integrados a las actividades de los programas de actividad física y recreación
</t>
    </r>
    <r>
      <rPr>
        <b/>
        <sz val="10"/>
        <color theme="1"/>
        <rFont val="Calibri"/>
        <family val="2"/>
        <scheme val="minor"/>
      </rPr>
      <t>Alcaldía Armenia</t>
    </r>
    <r>
      <rPr>
        <sz val="10"/>
        <color theme="1"/>
        <rFont val="Calibri"/>
        <family val="2"/>
        <scheme val="minor"/>
      </rPr>
      <t xml:space="preserve">: Se implementan escuelas de formación deportiva en diferentes disciplinas, 144 escuelas y  4225 jóvenes impactados 
</t>
    </r>
    <r>
      <rPr>
        <b/>
        <sz val="10"/>
        <color theme="1"/>
        <rFont val="Calibri"/>
        <family val="2"/>
        <scheme val="minor"/>
      </rPr>
      <t>Alcaldía de Montenegro:</t>
    </r>
    <r>
      <rPr>
        <sz val="10"/>
        <color theme="1"/>
        <rFont val="Calibri"/>
        <family val="2"/>
        <scheme val="minor"/>
      </rPr>
      <t xml:space="preserve"> Actualmente se benefician 3781 jóvenes de las diferentes escuelas de formación del municipio (23 escuelas de formación).
</t>
    </r>
    <r>
      <rPr>
        <b/>
        <sz val="10"/>
        <color theme="1"/>
        <rFont val="Calibri"/>
        <family val="2"/>
        <scheme val="minor"/>
      </rPr>
      <t>Alcaldía de Filandia</t>
    </r>
    <r>
      <rPr>
        <sz val="10"/>
        <color theme="1"/>
        <rFont val="Calibri"/>
        <family val="2"/>
        <scheme val="minor"/>
      </rPr>
      <t xml:space="preserve">: 230 menores 
</t>
    </r>
    <r>
      <rPr>
        <b/>
        <sz val="10"/>
        <color theme="1"/>
        <rFont val="Calibri"/>
        <family val="2"/>
        <scheme val="minor"/>
      </rPr>
      <t>Indeportes:</t>
    </r>
    <r>
      <rPr>
        <sz val="10"/>
        <color theme="1"/>
        <rFont val="Calibri"/>
        <family val="2"/>
        <scheme val="minor"/>
      </rPr>
      <t xml:space="preserve"> 900.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color theme="1"/>
        <rFont val="Calibri"/>
        <family val="2"/>
        <scheme val="minor"/>
      </rPr>
      <t>Universidad San  Buenaventura:</t>
    </r>
    <r>
      <rPr>
        <sz val="10"/>
        <color theme="1"/>
        <rFont val="Calibri"/>
        <family val="2"/>
        <scheme val="minor"/>
      </rPr>
      <t xml:space="preserve"> El voluntariado Transformarte de la Universidad de San Buenaventura realizó actividad recreativa a adultos de la tercera edad en el Hogar geriátrico El Carmen de Calarcá.
</t>
    </r>
    <r>
      <rPr>
        <b/>
        <sz val="10"/>
        <color theme="1"/>
        <rFont val="Calibri"/>
        <family val="2"/>
        <scheme val="minor"/>
      </rPr>
      <t>Universidad EAM:</t>
    </r>
    <r>
      <rPr>
        <sz val="10"/>
        <color theme="1"/>
        <rFont val="Calibri"/>
        <family val="2"/>
        <scheme val="minor"/>
      </rPr>
      <t xml:space="preserve"> 92 personas en promedio por mes.
</t>
    </r>
    <r>
      <rPr>
        <b/>
        <sz val="10"/>
        <color theme="1"/>
        <rFont val="Calibri"/>
        <family val="2"/>
        <scheme val="minor"/>
      </rPr>
      <t>Universidad la Gran Colombia:</t>
    </r>
    <r>
      <rPr>
        <sz val="10"/>
        <color theme="1"/>
        <rFont val="Calibri"/>
        <family val="2"/>
        <scheme val="minor"/>
      </rPr>
      <t xml:space="preserve"> La UGCA no realizó actividades de promoción de la actividad física con entornos comunitarios.
</t>
    </r>
    <r>
      <rPr>
        <b/>
        <sz val="10"/>
        <color theme="1"/>
        <rFont val="Calibri"/>
        <family val="2"/>
        <scheme val="minor"/>
      </rPr>
      <t xml:space="preserve">Secretaría de Educación: </t>
    </r>
    <r>
      <rPr>
        <sz val="10"/>
        <color theme="1"/>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</si>
  <si>
    <r>
      <rPr>
        <b/>
        <sz val="10"/>
        <color theme="1"/>
        <rFont val="Calibri"/>
        <family val="2"/>
        <scheme val="minor"/>
      </rPr>
      <t xml:space="preserve">Se ejecutó el seguimiento a la ejecución de los planes de acción en un 100%.                                                  Secretaría del Interior: </t>
    </r>
    <r>
      <rPr>
        <sz val="10"/>
        <color theme="1"/>
        <rFont val="Calibri"/>
        <family val="2"/>
        <scheme val="minor"/>
      </rPr>
      <t xml:space="preserve">Se realizó la actualización del Plan Integral Departamental de Derechos Humanos donde se establece la ruta de protección y el plan de prevención de derechos humanos.Cada municipio tiene el plan integral de prevención de derechos humanos.  
</t>
    </r>
  </si>
  <si>
    <r>
      <t xml:space="preserve">la Red departamental de emprendimiento cuenta con un representante del Consejo Departamental de Juventudes.  Secretaría de Turismo Industria y Comercio: </t>
    </r>
    <r>
      <rPr>
        <sz val="10"/>
        <color theme="1"/>
        <rFont val="Calibri"/>
        <family val="2"/>
        <scheme val="minor"/>
      </rPr>
      <t>Durante el presente trimestre se lleva a cabo sesión o reunión de la Red Regional de Emprendimiento del Departamento del Quindío.</t>
    </r>
  </si>
  <si>
    <r>
      <rPr>
        <b/>
        <sz val="10"/>
        <color theme="1"/>
        <rFont val="Calibri"/>
        <family val="2"/>
        <scheme val="minor"/>
      </rPr>
      <t xml:space="preserve">Observación: SEGÚN REPORTE DE SEC. EDUCACIÓN SE IMPLEMENTAN 4 METODOLOGÍAS.                        </t>
    </r>
    <r>
      <rPr>
        <sz val="10"/>
        <color theme="1"/>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color theme="1"/>
        <rFont val="Calibri"/>
        <family val="2"/>
        <scheme val="minor"/>
      </rPr>
      <t xml:space="preserve">Secretaría de Educación: </t>
    </r>
    <r>
      <rPr>
        <sz val="10"/>
        <color theme="1"/>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</si>
  <si>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color theme="1"/>
        <rFont val="Calibri"/>
        <family val="2"/>
        <scheme val="minor"/>
      </rPr>
      <t>SEGÚN LOS REPORTES OBTENIDOS SE VINCULARON 193 JÓVENES A PROYECTOS INNOVADORES Y DE EMPRENDIMIENTO. 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Secretaría Turismo, Industria y Comercio: </t>
    </r>
    <r>
      <rPr>
        <sz val="10"/>
        <color theme="1"/>
        <rFont val="Calibri"/>
        <family val="2"/>
        <scheme val="minor"/>
      </rPr>
      <t xml:space="preserve">Ciento tres (103) iniciativas vinculadas a proyectos innovadores y de emprendimiento. Por medio del proyecto "Fortalecimiento del ecosistema de emprendimiento mediante el acompañamiento técnico y servicio de apoyo financiero para emprendedores en el Departamento del Quindío."CÓDIGO BPPIN: 2021003630014, financiado con recursos del SGR (Sistema General de Regalías), Además de la realización de asistencias técnicas a los emprendimientos del grupo poblacional.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t>
    </r>
    <r>
      <rPr>
        <b/>
        <sz val="10"/>
        <color theme="1"/>
        <rFont val="Calibri"/>
        <family val="2"/>
        <scheme val="minor"/>
      </rPr>
      <t xml:space="preserve">Cámara de Comercio de Armenia y del Quindío: </t>
    </r>
    <r>
      <rPr>
        <sz val="10"/>
        <color theme="1"/>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color theme="1"/>
        <rFont val="Calibri"/>
        <family val="2"/>
        <scheme val="minor"/>
      </rPr>
      <t>Secretaría de Agricultura:</t>
    </r>
    <r>
      <rPr>
        <sz val="10"/>
        <color theme="1"/>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color theme="1"/>
        <rFont val="Calibri"/>
        <family val="2"/>
        <scheme val="minor"/>
      </rPr>
      <t>Universidad del Quindío:</t>
    </r>
    <r>
      <rPr>
        <sz val="10"/>
        <color theme="1"/>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color theme="1"/>
        <rFont val="Calibri"/>
        <family val="2"/>
        <scheme val="minor"/>
      </rPr>
      <t xml:space="preserve">Universidad EAM: </t>
    </r>
    <r>
      <rPr>
        <sz val="10"/>
        <color theme="1"/>
        <rFont val="Calibri"/>
        <family val="2"/>
        <scheme val="minor"/>
      </rPr>
      <t xml:space="preserve">15 estudiantes asesorados en creación de empresas
</t>
    </r>
    <r>
      <rPr>
        <b/>
        <sz val="10"/>
        <color theme="1"/>
        <rFont val="Calibri"/>
        <family val="2"/>
        <scheme val="minor"/>
      </rPr>
      <t>Universidad la Gran Colombia</t>
    </r>
    <r>
      <rPr>
        <sz val="10"/>
        <color theme="1"/>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color theme="1"/>
        <rFont val="Calibri"/>
        <family val="2"/>
        <scheme val="minor"/>
      </rPr>
      <t>Alcaldía de Calarcá</t>
    </r>
    <r>
      <rPr>
        <sz val="10"/>
        <color theme="1"/>
        <rFont val="Calibri"/>
        <family val="2"/>
        <scheme val="minor"/>
      </rPr>
      <t xml:space="preserve">: Se apoyó la iniciativa comunitaria BOXEANDO POR LA PAZ. Implementada en la Institución Educativa Jesús María Morales. Se beneficiaron 30 jóvenes. Esta en proceso la entrega de los implementos requeridos.
</t>
    </r>
    <r>
      <rPr>
        <b/>
        <sz val="10"/>
        <color theme="1"/>
        <rFont val="Calibri"/>
        <family val="2"/>
        <scheme val="minor"/>
      </rPr>
      <t xml:space="preserve">Alcaldía Filandia: </t>
    </r>
    <r>
      <rPr>
        <sz val="10"/>
        <color theme="1"/>
        <rFont val="Calibri"/>
        <family val="2"/>
        <scheme val="minor"/>
      </rPr>
      <t xml:space="preserve">12 jóvenes vinculados a proyectos innovadores  y 6 iniciativas empresariales apoyadas.
</t>
    </r>
    <r>
      <rPr>
        <b/>
        <sz val="10"/>
        <color theme="1"/>
        <rFont val="Calibri"/>
        <family val="2"/>
        <scheme val="minor"/>
      </rPr>
      <t>Alcaldía Quimbaya:</t>
    </r>
    <r>
      <rPr>
        <sz val="10"/>
        <color theme="1"/>
        <rFont val="Calibri"/>
        <family val="2"/>
        <scheme val="minor"/>
      </rPr>
      <t xml:space="preserve"> En el municipio de Quimbaya hay 40 jóvenes vinculados a proyectos de emprendimientos</t>
    </r>
  </si>
  <si>
    <r>
      <t xml:space="preserve">Alcaldía de Salento: </t>
    </r>
    <r>
      <rPr>
        <sz val="10"/>
        <color theme="1"/>
        <rFont val="Calibri"/>
        <family val="2"/>
        <scheme val="minor"/>
      </rPr>
      <t>Actualmente el municipio de Salento cuenta con Enlace de Juventud, el cual está a cargo de la Subsecretaría de Cultura y Deporte.</t>
    </r>
    <r>
      <rPr>
        <b/>
        <sz val="10"/>
        <color theme="1"/>
        <rFont val="Calibri"/>
        <family val="2"/>
        <scheme val="minor"/>
      </rPr>
      <t xml:space="preserve">
Alcaldía Calarcá: </t>
    </r>
    <r>
      <rPr>
        <sz val="10"/>
        <color theme="1"/>
        <rFont val="Calibri"/>
        <family val="2"/>
        <scheme val="minor"/>
      </rPr>
      <t>La alcaldía municipal designo a la Secretaria de Servicios Sociales y Salud para la articulación y asistencia técnica con las instancias de participación de los jóvenes, así mismo esta secretaría cuenta con el programa de  atención a jóvenes del municipio de Calarcá.</t>
    </r>
    <r>
      <rPr>
        <b/>
        <sz val="10"/>
        <color theme="1"/>
        <rFont val="Calibri"/>
        <family val="2"/>
        <scheme val="minor"/>
      </rPr>
      <t xml:space="preserve">
Alcaldía Quimbaya: </t>
    </r>
    <r>
      <rPr>
        <sz val="10"/>
        <color theme="1"/>
        <rFont val="Calibri"/>
        <family val="2"/>
        <scheme val="minor"/>
      </rPr>
      <t>El municipio de Quimbaya cuenta con el P:U: de Atención a grupos Vulnerables; encargado de supervisar la ejecución del proyecto de juventud.</t>
    </r>
    <r>
      <rPr>
        <b/>
        <sz val="10"/>
        <color theme="1"/>
        <rFont val="Calibri"/>
        <family val="2"/>
        <scheme val="minor"/>
      </rPr>
      <t xml:space="preserve">
Alcaldía de Montenegro:</t>
    </r>
    <r>
      <rPr>
        <sz val="10"/>
        <color theme="1"/>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color theme="1"/>
        <rFont val="Calibri"/>
        <family val="2"/>
        <scheme val="minor"/>
      </rPr>
      <t xml:space="preserve">
Alcaldía de Filandia: </t>
    </r>
    <r>
      <rPr>
        <sz val="10"/>
        <color theme="1"/>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color theme="1"/>
        <rFont val="Calibri"/>
        <family val="2"/>
        <scheme val="minor"/>
      </rPr>
      <t xml:space="preserve">
Alcaldía de Armenia: </t>
    </r>
    <r>
      <rPr>
        <sz val="10"/>
        <color theme="1"/>
        <rFont val="Calibri"/>
        <family val="2"/>
        <scheme val="minor"/>
      </rPr>
      <t>Cuenta con un</t>
    </r>
    <r>
      <rPr>
        <b/>
        <sz val="10"/>
        <color theme="1"/>
        <rFont val="Calibri"/>
        <family val="2"/>
        <scheme val="minor"/>
      </rPr>
      <t xml:space="preserve"> </t>
    </r>
    <r>
      <rPr>
        <sz val="10"/>
        <color theme="1"/>
        <rFont val="Calibri"/>
        <family val="2"/>
        <scheme val="minor"/>
      </rPr>
      <t xml:space="preserve">programa juventud pa todos desde la Secretaría de Desarrollo Social la cual cuenta con 4 contratistas                     </t>
    </r>
    <r>
      <rPr>
        <b/>
        <sz val="10"/>
        <color theme="1"/>
        <rFont val="Calibri"/>
        <family val="2"/>
        <scheme val="minor"/>
      </rPr>
      <t xml:space="preserve">
Alcaldía de Buenavista: </t>
    </r>
    <r>
      <rPr>
        <sz val="10"/>
        <color theme="1"/>
        <rFont val="Calibri"/>
        <family val="2"/>
        <scheme val="minor"/>
      </rPr>
      <t>Actualmente, se cuenta con un enlace de juventud para realizar el seguimiento a la Política Pública y dinamizar los espacios de participación</t>
    </r>
    <r>
      <rPr>
        <b/>
        <sz val="10"/>
        <color theme="1"/>
        <rFont val="Calibri"/>
        <family val="2"/>
        <scheme val="minor"/>
      </rPr>
      <t xml:space="preserve">
Alcaldía de Córdoba: </t>
    </r>
    <r>
      <rPr>
        <sz val="10"/>
        <color theme="1"/>
        <rFont val="Calibri"/>
        <family val="2"/>
        <scheme val="minor"/>
      </rPr>
      <t>En el municipio la Secretaría General y de Gobierno tiene a cargo el programa de Juventud y es quien se encarga del desarrollo de actividades con esta población.</t>
    </r>
    <r>
      <rPr>
        <b/>
        <sz val="10"/>
        <color theme="1"/>
        <rFont val="Calibri"/>
        <family val="2"/>
        <scheme val="minor"/>
      </rPr>
      <t xml:space="preserve">
Secretaría de Familia: </t>
    </r>
    <r>
      <rPr>
        <sz val="10"/>
        <color theme="1"/>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</si>
  <si>
    <r>
      <rPr>
        <b/>
        <sz val="10"/>
        <color theme="1"/>
        <rFont val="Calibri"/>
        <family val="2"/>
        <scheme val="minor"/>
      </rPr>
      <t xml:space="preserve">
Secretaría de Familia: </t>
    </r>
    <r>
      <rPr>
        <sz val="10"/>
        <color theme="1"/>
        <rFont val="Calibri"/>
        <family val="2"/>
        <scheme val="minor"/>
      </rPr>
      <t xml:space="preserve">La Tasa de deserción a largo plazo (semestre 10) es del 54,3% según reporte del Ministerio de Educación y la tasa de absorcion de bachilleres es del 47,3%
</t>
    </r>
    <r>
      <rPr>
        <b/>
        <sz val="10"/>
        <color theme="1"/>
        <rFont val="Calibri"/>
        <family val="2"/>
        <scheme val="minor"/>
      </rPr>
      <t xml:space="preserve">Alcaldía de Buenavista: </t>
    </r>
    <r>
      <rPr>
        <sz val="10"/>
        <color theme="1"/>
        <rFont val="Calibri"/>
        <family val="2"/>
        <scheme val="minor"/>
      </rPr>
      <t xml:space="preserve">Estímulos para el acceso y permanencia en la educación superior  1 convenio con el SENA - (TÉCNICO LABORAL EN PROCESOS AGROINDUSTRIALES.
</t>
    </r>
    <r>
      <rPr>
        <b/>
        <sz val="10"/>
        <color theme="1"/>
        <rFont val="Calibri"/>
        <family val="2"/>
        <scheme val="minor"/>
      </rPr>
      <t>Alcaldía de Filandia:</t>
    </r>
    <r>
      <rPr>
        <sz val="10"/>
        <color theme="1"/>
        <rFont val="Calibri"/>
        <family val="2"/>
        <scheme val="minor"/>
      </rPr>
      <t xml:space="preserve"> Tasa de absorción de bachilleres: 35% de 140 recién graduados en el municipio de Filandia, ingresan al menos 25 a la Universidad en el siguiente año.
</t>
    </r>
    <r>
      <rPr>
        <b/>
        <sz val="10"/>
        <color theme="1"/>
        <rFont val="Calibri"/>
        <family val="2"/>
        <scheme val="minor"/>
      </rPr>
      <t>Alcaldía Génova:</t>
    </r>
    <r>
      <rPr>
        <sz val="10"/>
        <color theme="1"/>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color theme="1"/>
        <rFont val="Calibri"/>
        <family val="2"/>
        <scheme val="minor"/>
      </rPr>
      <t>Alcaldía Salento:</t>
    </r>
    <r>
      <rPr>
        <sz val="10"/>
        <color theme="1"/>
        <rFont val="Calibri"/>
        <family val="2"/>
        <scheme val="minor"/>
      </rPr>
      <t xml:space="preserve"> Procesos a cargo de las instituciones educativas del municipio
</t>
    </r>
    <r>
      <rPr>
        <b/>
        <sz val="10"/>
        <color theme="1"/>
        <rFont val="Calibri"/>
        <family val="2"/>
        <scheme val="minor"/>
      </rPr>
      <t>Alcaldía de Córdoba:</t>
    </r>
    <r>
      <rPr>
        <sz val="10"/>
        <color theme="1"/>
        <rFont val="Calibri"/>
        <family val="2"/>
        <scheme val="minor"/>
      </rPr>
      <t xml:space="preserve"> El municipio fortaleció las metodologías para la oferta educativa, en los siguientes: Escuela Nueva, enfoque Epc , Etnoeducación, flexibilización curricular programa de apoyo para estudiantes con discapacidad y trastornos del aprendizaje.
</t>
    </r>
    <r>
      <rPr>
        <b/>
        <sz val="10"/>
        <color theme="1"/>
        <rFont val="Calibri"/>
        <family val="2"/>
        <scheme val="minor"/>
      </rPr>
      <t>Alcaldía de Montenegro:</t>
    </r>
    <r>
      <rPr>
        <sz val="10"/>
        <color theme="1"/>
        <rFont val="Calibri"/>
        <family val="2"/>
        <scheme val="minor"/>
      </rPr>
      <t xml:space="preserve"> Las instituciones educativas de Marco Fidel Suarez e Instituto Montenegro, realizan educación inclusiva o flexible en donde estudian por módulos.
</t>
    </r>
    <r>
      <rPr>
        <b/>
        <sz val="10"/>
        <color theme="1"/>
        <rFont val="Calibri"/>
        <family val="2"/>
        <scheme val="minor"/>
      </rPr>
      <t xml:space="preserve">Alcaldía de Calarcá: </t>
    </r>
    <r>
      <rPr>
        <sz val="10"/>
        <color theme="1"/>
        <rFont val="Calibri"/>
        <family val="2"/>
        <scheme val="minor"/>
      </rPr>
      <t xml:space="preserve">Realizamos el pago a las 14 instituciones educativas urbanas y rurales (30 sedes) con servicios públicos como energía, alcantarillado, acueducto y aseo. Aproximadamente 3.174 jóvenes beneficiados y se apoyó al 100% de los estudiantes de las 14 Instituciones Educativas sector urbano y rural con recursos de gratuidad escolar.
</t>
    </r>
    <r>
      <rPr>
        <b/>
        <sz val="10"/>
        <color theme="1"/>
        <rFont val="Calibri"/>
        <family val="2"/>
        <scheme val="minor"/>
      </rPr>
      <t xml:space="preserve">Alcaldía Armenia: </t>
    </r>
    <r>
      <rPr>
        <sz val="10"/>
        <color theme="1"/>
        <rFont val="Calibri"/>
        <family val="2"/>
        <scheme val="minor"/>
      </rPr>
      <t xml:space="preserve">35.500 Niños, Niñas, Jóvenes según la información reportada de la SEM no clasifica por edad.
</t>
    </r>
    <r>
      <rPr>
        <b/>
        <sz val="10"/>
        <color rgb="FFFF0000"/>
        <rFont val="Calibri"/>
        <family val="2"/>
        <scheme val="minor"/>
      </rPr>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</si>
  <si>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Se tiene un aseguramiento del 100% y se hace a través del Sistema de Afiliación Transaccional (SAT) o afiliación de oficio.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 xml:space="preserve">Alcaldía de Pijao: </t>
    </r>
    <r>
      <rPr>
        <sz val="10"/>
        <color theme="1"/>
        <rFont val="Calibri"/>
        <family val="2"/>
        <scheme val="minor"/>
      </rPr>
      <t xml:space="preserve">Los representantes de los jóvenes son miembros activos y participan en el Comité de Salud Municipal.
</t>
    </r>
    <r>
      <rPr>
        <b/>
        <sz val="10"/>
        <color theme="1"/>
        <rFont val="Calibri"/>
        <family val="2"/>
        <scheme val="minor"/>
      </rPr>
      <t xml:space="preserve">Alcaldía Calarcá: </t>
    </r>
    <r>
      <rPr>
        <sz val="10"/>
        <color theme="1"/>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Alcaldía de Córdoba:</t>
    </r>
    <r>
      <rPr>
        <sz val="10"/>
        <color theme="1"/>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la cobertura de aseguramiento en poblacion joven es del 85%.
</t>
    </r>
  </si>
  <si>
    <r>
      <rPr>
        <b/>
        <sz val="10"/>
        <color theme="1"/>
        <rFont val="Calibri"/>
        <family val="2"/>
        <scheme val="minor"/>
      </rPr>
      <t>Indeportes: 69% de deportistas participantes jovenes quindianos en juegos nacionales</t>
    </r>
    <r>
      <rPr>
        <sz val="10"/>
        <color theme="1"/>
        <rFont val="Calibri"/>
        <family val="2"/>
        <scheme val="minor"/>
      </rPr>
      <t>.</t>
    </r>
  </si>
  <si>
    <r>
      <rPr>
        <b/>
        <sz val="10"/>
        <color theme="1"/>
        <rFont val="Calibri"/>
        <family val="2"/>
        <scheme val="minor"/>
      </rPr>
      <t xml:space="preserve">Secretaría de Cultura: </t>
    </r>
    <r>
      <rPr>
        <sz val="10"/>
        <color theme="1"/>
        <rFont val="Calibri"/>
        <family val="2"/>
        <scheme val="minor"/>
      </rPr>
      <t>se realizaron talleres de promoción de lectura y escritura en los diferentes municipios  con el apoyo de los instituciones educativas, impactando a 250  jóvenes en este cuarto  trimestre, así como también desde las bibliotecas públicas hemos atendido a 1250  jóvenes. 118 estimulos otorgados a talentos jovenes.</t>
    </r>
  </si>
  <si>
    <r>
      <t xml:space="preserve">   
</t>
    </r>
    <r>
      <rPr>
        <b/>
        <sz val="10"/>
        <color theme="1"/>
        <rFont val="Calibri"/>
        <family val="2"/>
        <scheme val="minor"/>
      </rPr>
      <t xml:space="preserve">Secretaría de Cultura: </t>
    </r>
    <r>
      <rPr>
        <sz val="10"/>
        <color theme="1"/>
        <rFont val="Calibri"/>
        <family val="2"/>
        <scheme val="minor"/>
      </rPr>
      <t>En la ejecución del programa  de concertación los proyectos siguientes fueron los que mas beneficiaron población juvenil: asociación libre teatro con un total de : 2.200 jóvenes realizando el festival calle arriba calle abajo en los municipios de Calarcá, Armenia, Quimbaya el corregimiento de Barcelona. La fundación torre de palabras realizó talleres de literatura y cine en donde se beneficiaron 500 jóvenes en los municipios de Calarcá y Armenia. La corporación los muñecos del teatro escondido realizó un proceso de realización en artes con 1100 jóvenes en el municipio de Armenia. La fundación acción para la vida realizó talleres de música y danza folclórica con 610 jóvenes en el corregimiento de Barcelona.
la fundación talento cafetero realizó un festival de música andina colombiana con la participación de 900 jóvenes. La corporación kymera realizó el laboratorio de creación audiovisual elaborando vídeos de animación con 1447 en losm12 municipios del Departamento. La corporación red apoyó la realización de talleres de formación en música con 12 jóvenes del CAE la Primavera del municipio de Montenegro . 92 proyectos de concertacion con organizaciones juveniles, culturales apoyados</t>
    </r>
  </si>
  <si>
    <t>PROGRAMADO 
(Meta al 2023)</t>
  </si>
  <si>
    <t>11.5%</t>
  </si>
  <si>
    <t>3.41%</t>
  </si>
  <si>
    <t>54.3%</t>
  </si>
  <si>
    <t>EJECUTADO HASTA EL PRIMER TRIMESTRE DEL 2023</t>
  </si>
  <si>
    <r>
      <rPr>
        <b/>
        <sz val="10"/>
        <rFont val="Calibri"/>
        <family val="2"/>
        <scheme val="minor"/>
      </rPr>
      <t xml:space="preserve">Secretaría de Familia: </t>
    </r>
    <r>
      <rPr>
        <sz val="10"/>
        <rFont val="Calibri"/>
        <family val="2"/>
        <scheme val="minor"/>
      </rPr>
      <t xml:space="preserve">Reporta que en el Departamento del Quindío, nueve de los doce municipios cuentan con política pública de juventud formulada y en ejecución. Los municipios que no cuentan con política pública de juventud, son Génova, Córdoba y  Pijao.
</t>
    </r>
    <r>
      <rPr>
        <b/>
        <sz val="10"/>
        <rFont val="Calibri"/>
        <family val="2"/>
        <scheme val="minor"/>
      </rPr>
      <t xml:space="preserve">
Alcaldía de Circasia: </t>
    </r>
    <r>
      <rPr>
        <sz val="10"/>
        <rFont val="Calibri"/>
        <family val="2"/>
        <scheme val="minor"/>
      </rPr>
      <t xml:space="preserve">Cuenta con el Acuerdo Municipal 011 del 29 de mayo de 2015, que adopta la Política Pública de Juventud Municipal "Circasia  para la Juventud" 2015-2024
</t>
    </r>
    <r>
      <rPr>
        <b/>
        <sz val="10"/>
        <rFont val="Calibri"/>
        <family val="2"/>
        <scheme val="minor"/>
      </rPr>
      <t xml:space="preserve">Alcaldía de Salento: </t>
    </r>
    <r>
      <rPr>
        <sz val="10"/>
        <rFont val="Calibri"/>
        <family val="2"/>
        <scheme val="minor"/>
      </rPr>
      <t xml:space="preserve">Salento cuenta con Política Pública de Juventud vigente (Acuerdo Municipal 013 del 15 de Noviembre de 2017), de igual manera, está articulada al Plan de Desarrollo Municipal "Salento Somos Todos" 2020-2023, en conjunto con otras políticas, planes y proyectos de ámbito social.
</t>
    </r>
    <r>
      <rPr>
        <b/>
        <sz val="10"/>
        <rFont val="Calibri"/>
        <family val="2"/>
        <scheme val="minor"/>
      </rPr>
      <t>Alcaldía de Armenia:</t>
    </r>
    <r>
      <rPr>
        <sz val="10"/>
        <rFont val="Calibri"/>
        <family val="2"/>
        <scheme val="minor"/>
      </rPr>
      <t xml:space="preserve"> Se cuenta con la POLÍTICA PÚBLICA JÓVENES CONSTRUYENDO CIUDAD 2014-2024 adoptada mediante el  DECRETO 169 DEL 11 DE FEBRERO DE 2015, se realizan dos seguimientos al año de manera semestral y en concordancia a los planes de acción de las diferentes secretarías del municipio, se socializan en el sistema municipal de juventud  y el  consejo de política social.  
</t>
    </r>
    <r>
      <rPr>
        <b/>
        <sz val="10"/>
        <rFont val="Calibri"/>
        <family val="2"/>
        <scheme val="minor"/>
      </rPr>
      <t>Alcaldía La  Tebaida:</t>
    </r>
    <r>
      <rPr>
        <sz val="10"/>
        <rFont val="Calibri"/>
        <family val="2"/>
        <scheme val="minor"/>
      </rPr>
      <t xml:space="preserve"> La Administración Municipal, cuenta Política Pública formulada y adoptada mediante el acuerdo municipal 015 de 2019, en el momento se encuentra en etapa de ejecución.
</t>
    </r>
    <r>
      <rPr>
        <b/>
        <sz val="10"/>
        <rFont val="Calibri"/>
        <family val="2"/>
        <scheme val="minor"/>
      </rPr>
      <t>Alcaldía de Quimbaya</t>
    </r>
    <r>
      <rPr>
        <sz val="10"/>
        <rFont val="Calibri"/>
        <family val="2"/>
        <scheme val="minor"/>
      </rPr>
      <t xml:space="preserve">: El Municipio de Quimbaya adoptó la política pública de juventud mediante el acuerdo municipal 016 de 2019.
</t>
    </r>
    <r>
      <rPr>
        <b/>
        <sz val="10"/>
        <rFont val="Calibri"/>
        <family val="2"/>
        <scheme val="minor"/>
      </rPr>
      <t>Alcaldía de Buenavista</t>
    </r>
    <r>
      <rPr>
        <sz val="10"/>
        <rFont val="Calibri"/>
        <family val="2"/>
        <scheme val="minor"/>
      </rPr>
      <t xml:space="preserve">: El Municipio cuenta con la Politica Pública de Juventud, "Buenavista… un lugar para crear, soñar y construir",  adoptada mediante decreto 087 de diciembre 15 de 2017, con 10 años para su ejecución; para lo cual se está implementando y dándole cumplimiento.
</t>
    </r>
    <r>
      <rPr>
        <b/>
        <sz val="10"/>
        <rFont val="Calibri"/>
        <family val="2"/>
        <scheme val="minor"/>
      </rPr>
      <t>Alcaldía Génova:</t>
    </r>
    <r>
      <rPr>
        <sz val="10"/>
        <rFont val="Calibri"/>
        <family val="2"/>
        <scheme val="minor"/>
      </rPr>
      <t xml:space="preserve"> El municipio de Génova se encuentra en etapa de formulación de la política pública de Juventud                         
</t>
    </r>
    <r>
      <rPr>
        <b/>
        <sz val="10"/>
        <rFont val="Calibri"/>
        <family val="2"/>
        <scheme val="minor"/>
      </rPr>
      <t>Alcaldía de Montenegro:</t>
    </r>
    <r>
      <rPr>
        <sz val="10"/>
        <rFont val="Calibri"/>
        <family val="2"/>
        <scheme val="minor"/>
      </rPr>
      <t xml:space="preserve"> el Municipio de Montenegro cuenta con Política Pública de Juventud, la cual fue adoptada  bajo el acuerdo 07 de septiembre de 2022, al momento se encuentra en ejecución.
</t>
    </r>
    <r>
      <rPr>
        <b/>
        <sz val="10"/>
        <rFont val="Calibri"/>
        <family val="2"/>
        <scheme val="minor"/>
      </rPr>
      <t>Alcaldía de Filandia</t>
    </r>
    <r>
      <rPr>
        <sz val="10"/>
        <rFont val="Calibri"/>
        <family val="2"/>
        <scheme val="minor"/>
      </rPr>
      <t xml:space="preserve">: El  municipio de Filandia cuenta con política de juventud adoptada bajo acuerdo N°021 de 2019, cuya medición se realiza en el COMPOS municipal.
</t>
    </r>
    <r>
      <rPr>
        <b/>
        <sz val="10"/>
        <rFont val="Calibri"/>
        <family val="2"/>
        <scheme val="minor"/>
      </rPr>
      <t xml:space="preserve">Alcaldía de Pijao: </t>
    </r>
    <r>
      <rPr>
        <sz val="10"/>
        <rFont val="Calibri"/>
        <family val="2"/>
        <scheme val="minor"/>
      </rPr>
      <t xml:space="preserve">No cuenta con Política Pública.
</t>
    </r>
    <r>
      <rPr>
        <b/>
        <sz val="10"/>
        <rFont val="Calibri"/>
        <family val="2"/>
        <scheme val="minor"/>
      </rPr>
      <t>Alcaldía de Córdoba:</t>
    </r>
    <r>
      <rPr>
        <sz val="10"/>
        <rFont val="Calibri"/>
        <family val="2"/>
        <scheme val="minor"/>
      </rPr>
      <t xml:space="preserve"> El municipio no cuenta con la política pública de juventud implementada, sin embargo se realizan actividades teniendo en cuenta la Política Departamental de Juventud. 
</t>
    </r>
    <r>
      <rPr>
        <b/>
        <sz val="10"/>
        <rFont val="Calibri"/>
        <family val="2"/>
        <scheme val="minor"/>
      </rPr>
      <t>Alcaldía Calarcá:</t>
    </r>
    <r>
      <rPr>
        <sz val="10"/>
        <rFont val="Calibri"/>
        <family val="2"/>
        <scheme val="minor"/>
      </rPr>
      <t xml:space="preserve"> El Municipio cuenta con la Política Pública de Juventudes "LOS JÓVENES SOMOS EL CAMBIO" adopata mediante el acuerdo municipal 019 del 06 de septiembre de 2018. 
</t>
    </r>
  </si>
  <si>
    <r>
      <t xml:space="preserve">Secretaría de Familia: </t>
    </r>
    <r>
      <rPr>
        <sz val="10"/>
        <rFont val="Calibri"/>
        <family val="2"/>
        <scheme val="minor"/>
      </rPr>
      <t xml:space="preserve">Reporta que las alcaldías municipales a través de las Secretarías de Gobierno y/o de Desarrollo Social, cuentan con un programa de juventud a través del cual tienen personal contratado para ejecutar obligaciones relacionadas con juventud, La meta financiera que se reporta corresponde a estas, No obstante en ninguna se han constituido oficinas con capacidad política, técnica y financiera.
</t>
    </r>
    <r>
      <rPr>
        <b/>
        <sz val="10"/>
        <rFont val="Calibri"/>
        <family val="2"/>
        <scheme val="minor"/>
      </rPr>
      <t xml:space="preserve">
Alcaldía de Salento: </t>
    </r>
    <r>
      <rPr>
        <sz val="10"/>
        <rFont val="Calibri"/>
        <family val="2"/>
        <scheme val="minor"/>
      </rPr>
      <t xml:space="preserve">Actualmente el municipio de Salento cuenta con Enlace de Juventud, el cual está a cargo de la Subsecretaría de Cultura y Deporte.
</t>
    </r>
    <r>
      <rPr>
        <b/>
        <sz val="10"/>
        <rFont val="Calibri"/>
        <family val="2"/>
        <scheme val="minor"/>
      </rPr>
      <t xml:space="preserve">Alcaldía Armenia: </t>
    </r>
    <r>
      <rPr>
        <sz val="10"/>
        <rFont val="Calibri"/>
        <family val="2"/>
        <scheme val="minor"/>
      </rPr>
      <t>programa juventud pa todos desde la secretaria de desarrollo social la cual cuenta con 4 contratistas.</t>
    </r>
    <r>
      <rPr>
        <b/>
        <sz val="10"/>
        <rFont val="Calibri"/>
        <family val="2"/>
        <scheme val="minor"/>
      </rPr>
      <t xml:space="preserve">
Alcaldía Calarcá: </t>
    </r>
    <r>
      <rPr>
        <sz val="10"/>
        <rFont val="Calibri"/>
        <family val="2"/>
        <scheme val="minor"/>
      </rPr>
      <t xml:space="preserve"> de acuerdo al Plan de Desarrollo Calarca Para Todos en el Eje 1. Arquitectura Institucional Línea de Acción 1.1. Promover la Politica Publica de Juventud en la Meta 1.1.1. Designar dependencia encargada para la articulación de acciones en la implementacion seguimiento y monitoreo de la Política Pública "Los Jóvenes Somos el Cambio,  Se realiza a través de Gestión. y se asigna profesional encargado. </t>
    </r>
    <r>
      <rPr>
        <b/>
        <sz val="10"/>
        <rFont val="Calibri"/>
        <family val="2"/>
        <scheme val="minor"/>
      </rPr>
      <t xml:space="preserve">
Alcaldía Quimbaya: </t>
    </r>
    <r>
      <rPr>
        <sz val="10"/>
        <rFont val="Calibri"/>
        <family val="2"/>
        <scheme val="minor"/>
      </rPr>
      <t xml:space="preserve">El Municipio de Quimbaya cuenta con el profesional universitario de atención a grupos vulnerables, el cual es el encargado de supervisar el proyecto de juventud. </t>
    </r>
    <r>
      <rPr>
        <b/>
        <sz val="10"/>
        <rFont val="Calibri"/>
        <family val="2"/>
        <scheme val="minor"/>
      </rPr>
      <t xml:space="preserve">
Alcaldía de Montenegro:</t>
    </r>
    <r>
      <rPr>
        <sz val="10"/>
        <rFont val="Calibri"/>
        <family val="2"/>
        <scheme val="minor"/>
      </rPr>
      <t xml:space="preserve"> En el momento se cuenta con un programa de juventud adscrito a la Subsecretaría de Desarrollo Social Y Educativo, la cual es la encargada de acompañar al Consejo de Juventud, a la Plataforma de Juventud y de hacer seguimiento a la Política Pública de Juventud.</t>
    </r>
    <r>
      <rPr>
        <b/>
        <sz val="10"/>
        <rFont val="Calibri"/>
        <family val="2"/>
        <scheme val="minor"/>
      </rPr>
      <t xml:space="preserve">
Alcaldía de Filandia: </t>
    </r>
    <r>
      <rPr>
        <sz val="10"/>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rFont val="Calibri"/>
        <family val="2"/>
        <scheme val="minor"/>
      </rPr>
      <t xml:space="preserve">
Alcaldía de Buenavista: N</t>
    </r>
    <r>
      <rPr>
        <sz val="10"/>
        <rFont val="Calibri"/>
        <family val="2"/>
        <scheme val="minor"/>
      </rPr>
      <t xml:space="preserve">o cuenta con oficina de juventud, no obstante, desde la oficina de Seretaría de Gobierno y Participación Comunitaria, cuenta con un contratista quien es el encargado de realizar seguimiento y cumplimiento a algunas actividades de la Politica Pública de juventud. 
</t>
    </r>
    <r>
      <rPr>
        <b/>
        <sz val="10"/>
        <rFont val="Calibri"/>
        <family val="2"/>
        <scheme val="minor"/>
      </rPr>
      <t xml:space="preserve">Alcaldía Tebaida: </t>
    </r>
    <r>
      <rPr>
        <sz val="10"/>
        <rFont val="Calibri"/>
        <family val="2"/>
        <scheme val="minor"/>
      </rPr>
      <t>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t>
    </r>
    <r>
      <rPr>
        <b/>
        <sz val="10"/>
        <rFont val="Calibri"/>
        <family val="2"/>
        <scheme val="minor"/>
      </rPr>
      <t xml:space="preserve">
Alcaldía de Córdoba: </t>
    </r>
    <r>
      <rPr>
        <sz val="10"/>
        <rFont val="Calibri"/>
        <family val="2"/>
        <scheme val="minor"/>
      </rPr>
      <t xml:space="preserve">En el municipio la Secretaria General y de Gobierno tiene a cargo el programa de Juventud y es quien se encarga del desarrollo de actividades con esta población. Igualmente se cuenta con el contratista enlace municipal de juventud mediante contrato de prestación de servicios  CPS163-2023, quien apoya en la ejecución de las actividades relacionadas con el programa de juventud.
</t>
    </r>
  </si>
  <si>
    <r>
      <rPr>
        <b/>
        <sz val="10"/>
        <rFont val="Calibri"/>
        <family val="2"/>
        <scheme val="minor"/>
      </rPr>
      <t xml:space="preserve">Secretaría de Familia: </t>
    </r>
    <r>
      <rPr>
        <sz val="10"/>
        <rFont val="Calibri"/>
        <family val="2"/>
        <scheme val="minor"/>
      </rPr>
      <t xml:space="preserve">Reporta que los planes y políticas del Plan de Desarrollo Departamental se encuentran armonizadas con la política pública de juventud.
</t>
    </r>
    <r>
      <rPr>
        <b/>
        <sz val="10"/>
        <rFont val="Calibri"/>
        <family val="2"/>
        <scheme val="minor"/>
      </rPr>
      <t xml:space="preserve">
Consejo municipal de política Social de Filandia: </t>
    </r>
    <r>
      <rPr>
        <sz val="10"/>
        <rFont val="Calibri"/>
        <family val="2"/>
        <scheme val="minor"/>
      </rPr>
      <t xml:space="preserve">En lo que va del año se han realizado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rFont val="Calibri"/>
        <family val="2"/>
        <scheme val="minor"/>
      </rPr>
      <t>Consejo municipal de política Social La Tebaida:</t>
    </r>
    <r>
      <rPr>
        <sz val="10"/>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rFont val="Calibri"/>
        <family val="2"/>
        <scheme val="minor"/>
      </rPr>
      <t>Consejo municipal de política Social Calarcá:</t>
    </r>
    <r>
      <rPr>
        <sz val="10"/>
        <rFont val="Calibri"/>
        <family val="2"/>
        <scheme val="minor"/>
      </rPr>
      <t xml:space="preserve"> La alcaldía municipal designó a la Secretaría de Servicios Sociales y Salud para la articulación y asistencia técnica con las instancias de participación de los jóvenes, así mismo esta Secretaría cuenta con el Programa de  atención a jóvenes del municipio de Calarcá.
</t>
    </r>
    <r>
      <rPr>
        <b/>
        <sz val="10"/>
        <rFont val="Calibri"/>
        <family val="2"/>
        <scheme val="minor"/>
      </rPr>
      <t>Consejo municipal de política Social Córdoba</t>
    </r>
    <r>
      <rPr>
        <sz val="10"/>
        <rFont val="Calibri"/>
        <family val="2"/>
        <scheme val="minor"/>
      </rPr>
      <t xml:space="preserve">: Desde el Consejo Municipal de Política Social de Municipio de Córdoba se realiza seguimiento a las acciones establecidas a las líneas estratégicas de las políticas públicas del municipio las cuales van armonizadas con el plan de desarrollo y el plan de acción del compos, vale resaltar que el municipio aún no cuenta con política pública de juventud.
</t>
    </r>
  </si>
  <si>
    <r>
      <rPr>
        <b/>
        <sz val="10"/>
        <rFont val="Calibri"/>
        <family val="2"/>
        <scheme val="minor"/>
      </rPr>
      <t xml:space="preserve">Secretaría de Familia: </t>
    </r>
    <r>
      <rPr>
        <sz val="10"/>
        <rFont val="Calibri"/>
        <family val="2"/>
        <scheme val="minor"/>
      </rPr>
      <t xml:space="preserve">Reporta la existencia de un Sistema Departamental de Juventud conformado por la Plataforma Departamental de Juventud, realización de Asambleas Juveniles, Comisiones de Concertación y Decisión y fortalecimiento de los Consejos de Juventud.
</t>
    </r>
  </si>
  <si>
    <r>
      <t xml:space="preserve">
Secretaría de Familia: </t>
    </r>
    <r>
      <rPr>
        <sz val="10"/>
        <rFont val="Calibri"/>
        <family val="2"/>
        <scheme val="minor"/>
      </rPr>
      <t>Reporta que los doce municipios del Departamento, han sido asistidos técnicamente desde la Jefatura de Juventud, para la conformación y operación de los sistemas municipales de juventud.</t>
    </r>
    <r>
      <rPr>
        <b/>
        <sz val="10"/>
        <rFont val="Calibri"/>
        <family val="2"/>
        <scheme val="minor"/>
      </rPr>
      <t xml:space="preserve">
Alcaldía de Armenia:</t>
    </r>
    <r>
      <rPr>
        <sz val="10"/>
        <rFont val="Calibri"/>
        <family val="2"/>
        <scheme val="minor"/>
      </rPr>
      <t xml:space="preserve"> Mediante el decreto 349 del 09 de noviembre de 2020,  se crea el sistema municipal de juventud, se realizan cuatro reuniones al año </t>
    </r>
    <r>
      <rPr>
        <b/>
        <sz val="10"/>
        <rFont val="Calibri"/>
        <family val="2"/>
        <scheme val="minor"/>
      </rPr>
      <t xml:space="preserve">
Alcaldía de Circasia: </t>
    </r>
    <r>
      <rPr>
        <sz val="10"/>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rFont val="Calibri"/>
        <family val="2"/>
        <scheme val="minor"/>
      </rPr>
      <t xml:space="preserve">
Alcaldía Quimbaya: </t>
    </r>
    <r>
      <rPr>
        <sz val="10"/>
        <rFont val="Calibri"/>
        <family val="2"/>
        <scheme val="minor"/>
      </rPr>
      <t>El municipio de Quimbaya durante el trimestre aportó la información de los delegados departamentales a la plataforma y al consejo de juventud.</t>
    </r>
    <r>
      <rPr>
        <b/>
        <sz val="10"/>
        <rFont val="Calibri"/>
        <family val="2"/>
        <scheme val="minor"/>
      </rPr>
      <t xml:space="preserve">
Alcaldía de Salento: </t>
    </r>
    <r>
      <rPr>
        <sz val="10"/>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rFont val="Calibri"/>
        <family val="2"/>
        <scheme val="minor"/>
      </rPr>
      <t xml:space="preserve">
Alcaldía de Filandia: </t>
    </r>
    <r>
      <rPr>
        <sz val="10"/>
        <rFont val="Calibri"/>
        <family val="2"/>
        <scheme val="minor"/>
      </rPr>
      <t xml:space="preserve">el municipio de Filandia cuenta con Consejo Municipal de Juventud  y Plataforma de Juventud operando. </t>
    </r>
    <r>
      <rPr>
        <b/>
        <sz val="10"/>
        <rFont val="Calibri"/>
        <family val="2"/>
        <scheme val="minor"/>
      </rPr>
      <t xml:space="preserve">
Alcaldía de Calarcá: </t>
    </r>
    <r>
      <rPr>
        <sz val="10"/>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rFont val="Calibri"/>
        <family val="2"/>
        <scheme val="minor"/>
      </rPr>
      <t xml:space="preserve">
Alcaldía de Génova: </t>
    </r>
    <r>
      <rPr>
        <sz val="10"/>
        <rFont val="Calibri"/>
        <family val="2"/>
        <scheme val="minor"/>
      </rPr>
      <t>Plataforma Deptal y Consejo Deptal activo y con delegados de Génova.</t>
    </r>
    <r>
      <rPr>
        <b/>
        <sz val="10"/>
        <rFont val="Calibri"/>
        <family val="2"/>
        <scheme val="minor"/>
      </rPr>
      <t xml:space="preserve">
Alcaldía Pijao: </t>
    </r>
    <r>
      <rPr>
        <sz val="10"/>
        <rFont val="Calibri"/>
        <family val="2"/>
        <scheme val="minor"/>
      </rPr>
      <t xml:space="preserve">Se cuenta con la plataforma Municipal de juventud actualizada, consejo de juventud, cada uno con sus reglamentos internos y en total funcionamiento.
</t>
    </r>
    <r>
      <rPr>
        <b/>
        <sz val="10"/>
        <rFont val="Calibri"/>
        <family val="2"/>
        <scheme val="minor"/>
      </rPr>
      <t>Alcaldiía Córdoba:</t>
    </r>
    <r>
      <rPr>
        <sz val="10"/>
        <rFont val="Calibri"/>
        <family val="2"/>
        <scheme val="minor"/>
      </rPr>
      <t xml:space="preserve"> El Municipio de Córdoba cuenta con el Consejo municipal de jueventudes,  conformado mediante Resolución Nº06 de enero 11 de 2022  y la plataforma de juventudes registrada mediante acta de la personeria municipal
</t>
    </r>
    <r>
      <rPr>
        <b/>
        <sz val="10"/>
        <rFont val="Calibri"/>
        <family val="2"/>
        <scheme val="minor"/>
      </rPr>
      <t xml:space="preserve">Alcaldia Buenavista: </t>
    </r>
    <r>
      <rPr>
        <sz val="10"/>
        <rFont val="Calibri"/>
        <family val="2"/>
        <scheme val="minor"/>
      </rPr>
      <t xml:space="preserve"> Cuenta con los delegados a la diferentes instancias que conforman el Sistema de Juventud.
</t>
    </r>
    <r>
      <rPr>
        <b/>
        <sz val="10"/>
        <rFont val="Calibri"/>
        <family val="2"/>
        <scheme val="minor"/>
      </rPr>
      <t xml:space="preserve">Alcaldia Montenegro: </t>
    </r>
    <r>
      <rPr>
        <sz val="10"/>
        <rFont val="Calibri"/>
        <family val="2"/>
        <scheme val="minor"/>
      </rPr>
      <t>Al</t>
    </r>
    <r>
      <rPr>
        <b/>
        <sz val="10"/>
        <rFont val="Calibri"/>
        <family val="2"/>
        <scheme val="minor"/>
      </rPr>
      <t xml:space="preserve"> </t>
    </r>
    <r>
      <rPr>
        <sz val="10"/>
        <rFont val="Calibri"/>
        <family val="2"/>
        <scheme val="minor"/>
      </rPr>
      <t xml:space="preserve">momento contamos con una plataforma, un consejo de juventud. Sin embargo, la plataforma está funcionando de manera activa pero el consejo se encuentra desarticualdo, solo 1 consejero acompañando los espacios de participación. Por otra parte, se ha cumplido de manera puntual con la asamblea de juventud y con las comisiones de concertación y decisión.
</t>
    </r>
    <r>
      <rPr>
        <b/>
        <sz val="10"/>
        <rFont val="Calibri"/>
        <family val="2"/>
        <scheme val="minor"/>
      </rPr>
      <t xml:space="preserve">Alcadia Calarca: </t>
    </r>
    <r>
      <rPr>
        <sz val="10"/>
        <rFont val="Calibri"/>
        <family val="2"/>
        <scheme val="minor"/>
      </rPr>
      <t>se cuenta con plataforma municipal de juventudes y consejo municipal de juventudes los cuales sesionan 1 vez al mes</t>
    </r>
    <r>
      <rPr>
        <b/>
        <sz val="10"/>
        <rFont val="Calibri"/>
        <family val="2"/>
        <scheme val="minor"/>
      </rPr>
      <t xml:space="preserve">.
</t>
    </r>
    <r>
      <rPr>
        <sz val="10"/>
        <rFont val="Calibri"/>
        <family val="2"/>
        <scheme val="minor"/>
      </rPr>
      <t xml:space="preserve">
</t>
    </r>
  </si>
  <si>
    <r>
      <rPr>
        <b/>
        <sz val="10"/>
        <rFont val="Calibri"/>
        <family val="2"/>
        <scheme val="minor"/>
      </rPr>
      <t>Secretaría de Turismo Industria y Comercio:</t>
    </r>
    <r>
      <rPr>
        <sz val="10"/>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rFont val="Calibri"/>
        <family val="2"/>
        <scheme val="minor"/>
      </rPr>
      <t xml:space="preserve">SENA: </t>
    </r>
    <r>
      <rPr>
        <sz val="10"/>
        <rFont val="Calibri"/>
        <family val="2"/>
        <scheme val="minor"/>
      </rPr>
      <t xml:space="preserve">Hasta la fecha se han formado 20.286 aprendices.
</t>
    </r>
    <r>
      <rPr>
        <b/>
        <sz val="10"/>
        <rFont val="Calibri"/>
        <family val="2"/>
        <scheme val="minor"/>
      </rPr>
      <t>Nota:</t>
    </r>
    <r>
      <rPr>
        <sz val="10"/>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</si>
  <si>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r>
      <rPr>
        <b/>
        <sz val="10"/>
        <rFont val="Calibri"/>
        <family val="2"/>
        <scheme val="minor"/>
      </rPr>
      <t xml:space="preserve">Secretaría de familia: </t>
    </r>
    <r>
      <rPr>
        <sz val="10"/>
        <rFont val="Calibri"/>
        <family val="2"/>
        <scheme val="minor"/>
      </rPr>
      <t>La información reportada por los actores responsables no es la adecuada para medir el indicador en porcentaje.</t>
    </r>
    <r>
      <rPr>
        <b/>
        <sz val="10"/>
        <rFont val="Calibri"/>
        <family val="2"/>
        <scheme val="minor"/>
      </rPr>
      <t xml:space="preserve">
Sena:</t>
    </r>
    <r>
      <rPr>
        <sz val="10"/>
        <rFont val="Calibri"/>
        <family val="2"/>
        <scheme val="minor"/>
      </rPr>
      <t xml:space="preserve"> Se realizó una convocatoria "fondo emprender" con apoyo de la Gobernación del Quindío, en ella fueron viables 24 planes de negocio. Adicionalmente a nivel nacional se lanzó la convocatoria 93 para jóvenes emprendedores. *5 planes de negocio formulados en la convocatoria 260 del Quindío, corresponde al 20.8% de jóvenes.
</t>
    </r>
    <r>
      <rPr>
        <b/>
        <sz val="10"/>
        <rFont val="Calibri"/>
        <family val="2"/>
        <scheme val="minor"/>
      </rPr>
      <t>Secretaría de Turismo Industria y Comercio:</t>
    </r>
    <r>
      <rPr>
        <sz val="10"/>
        <rFont val="Calibri"/>
        <family val="2"/>
        <scheme val="minor"/>
      </rPr>
      <t xml:space="preserve"> La Ordenanza 022 de 2021,  guarda  coherencia con el PROYECTO: APOYO A LA GENERACIÓN  Y  FORMALIZACIÓN  DEL  EMPLEO  EN EL DEPARTAMENTO DEL QUINDÍO,  PARA EL CUMPLIMIENTO DE LA  META  PRODUCTO: SERVICIOS  DE  APOYO FINANCIERO PARA  LA  CREACIÓN  DE  EMPRESAS 
A través de un proceso de convocatoria se beneficiaron los siguientes emprendimientos con un apoyo financiero, plan semilla por valor de $20.000.000 de pesos cada uno.
*Industria de alimentos Arepas el Quindiano 
*Pagoda By Tuk Tuk 
*Anonima Cocina. 
</t>
    </r>
    <r>
      <rPr>
        <b/>
        <sz val="10"/>
        <rFont val="Calibri"/>
        <family val="2"/>
        <scheme val="minor"/>
      </rPr>
      <t xml:space="preserve">Universidad del Quindío: </t>
    </r>
    <r>
      <rPr>
        <sz val="10"/>
        <rFont val="Calibri"/>
        <family val="2"/>
        <scheme val="minor"/>
      </rPr>
      <t xml:space="preserve">No se tienen proyectos que reciban estímulo financiero ya que desde la Universidad los que se apoyan se hacen con recursos en especie.
</t>
    </r>
    <r>
      <rPr>
        <b/>
        <sz val="10"/>
        <rFont val="Calibri"/>
        <family val="2"/>
        <scheme val="minor"/>
      </rPr>
      <t>Universidad EAM:</t>
    </r>
    <r>
      <rPr>
        <sz val="10"/>
        <rFont val="Calibri"/>
        <family val="2"/>
        <scheme val="minor"/>
      </rPr>
      <t xml:space="preserve"> 1
</t>
    </r>
    <r>
      <rPr>
        <b/>
        <sz val="10"/>
        <rFont val="Calibri"/>
        <family val="2"/>
        <scheme val="minor"/>
      </rPr>
      <t>Universidad San Buenaventura:</t>
    </r>
    <r>
      <rPr>
        <sz val="10"/>
        <rFont val="Calibri"/>
        <family val="2"/>
        <scheme val="minor"/>
      </rPr>
      <t xml:space="preserve"> Programa de Becas y/o descuentos: La Universidad de San Buenaventura cada semestre cuenta con el programa de Becas y/o descuentos donde se otorga descuentos a estudiantes de egresados de colegios bachillerato que cumplen con los requisitos exigidos por la Resolución de Rectoría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víctimas de conflicto armado y comunidades indígenas y también a egresados de instituciones que tienen convenio con la Universidad.  
</t>
    </r>
    <r>
      <rPr>
        <b/>
        <sz val="10"/>
        <rFont val="Calibri"/>
        <family val="2"/>
        <scheme val="minor"/>
      </rPr>
      <t>Universidad Vom Humbolt:</t>
    </r>
    <r>
      <rPr>
        <sz val="10"/>
        <rFont val="Calibri"/>
        <family val="2"/>
        <scheme val="minor"/>
      </rPr>
      <t xml:space="preserve">La Facultad de Ciencias Administrativas, no cuenta en su presupuesto con un rubro que aporte recursos económicos para impulsar emprendimientos, pero nuestra ruta de emprendimiento está conectada al CINNE que es la ruta de emprendimiento de la Cámara de Comercio de Armenia y también somos aliados del SENA con el programa Fondo Emprender.
</t>
    </r>
    <r>
      <rPr>
        <b/>
        <sz val="10"/>
        <rFont val="Calibri"/>
        <family val="2"/>
        <scheme val="minor"/>
      </rPr>
      <t>Universidad La Gran Colombia:</t>
    </r>
    <r>
      <rPr>
        <sz val="10"/>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r>
      <rPr>
        <b/>
        <sz val="10"/>
        <rFont val="Calibri"/>
        <family val="2"/>
        <scheme val="minor"/>
      </rPr>
      <t>Secretaría de Educación:</t>
    </r>
    <r>
      <rPr>
        <sz val="10"/>
        <rFont val="Calibri"/>
        <family val="2"/>
        <scheme val="minor"/>
      </rPr>
      <t xml:space="preserve"> No hay actividades planeadas sobre el tema para mención para este periodo de tiempo.
</t>
    </r>
  </si>
  <si>
    <r>
      <rPr>
        <b/>
        <sz val="10"/>
        <rFont val="Calibri"/>
        <family val="2"/>
        <scheme val="minor"/>
      </rPr>
      <t>Observación: SEGÚN REPORTE DE SEC. EDUCACIÓN SE IMPLEMENTAN 4 METODOLOGÍAS.</t>
    </r>
    <r>
      <rPr>
        <sz val="10"/>
        <rFont val="Calibri"/>
        <family val="2"/>
        <scheme val="minor"/>
      </rPr>
      <t xml:space="preserve"> Se verifica en la página del Ministerio de Educación Nacional cinco (5) metodologías flexibles.  (ESCUELA NUEVA - POST PRIMARIA RURAL - SECUNDARÍA ACTIVA - ACELERACIÓN DEL APRENDIZAJE - CAMINAR EN SECUNDARIA).
</t>
    </r>
    <r>
      <rPr>
        <b/>
        <sz val="10"/>
        <rFont val="Calibri"/>
        <family val="2"/>
        <scheme val="minor"/>
      </rPr>
      <t xml:space="preserve">Secretaría de Educación: </t>
    </r>
    <r>
      <rPr>
        <sz val="10"/>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r>
      <rPr>
        <b/>
        <sz val="10"/>
        <rFont val="Calibri"/>
        <family val="2"/>
        <scheme val="minor"/>
      </rPr>
      <t>Alcaldia Buenavista:</t>
    </r>
    <r>
      <rPr>
        <sz val="10"/>
        <rFont val="Calibri"/>
        <family val="2"/>
        <scheme val="minor"/>
      </rPr>
      <t xml:space="preserve"> desde la institución educativa se cuenta con un programa de estudio los días sabados que permite a los jovenes con extra edad, terminar su bachillerato.
</t>
    </r>
    <r>
      <rPr>
        <b/>
        <sz val="10"/>
        <rFont val="Calibri"/>
        <family val="2"/>
        <scheme val="minor"/>
      </rPr>
      <t>Alcaldía de Pijao:</t>
    </r>
    <r>
      <rPr>
        <sz val="10"/>
        <rFont val="Calibri"/>
        <family val="2"/>
        <scheme val="minor"/>
      </rPr>
      <t xml:space="preserve"> no cuenta con metodologias flexibles implementadas
</t>
    </r>
    <r>
      <rPr>
        <b/>
        <sz val="10"/>
        <rFont val="Calibri"/>
        <family val="2"/>
        <scheme val="minor"/>
      </rPr>
      <t xml:space="preserve">Alcaldía Armenia: </t>
    </r>
    <r>
      <rPr>
        <sz val="10"/>
        <rFont val="Calibri"/>
        <family val="2"/>
        <scheme val="minor"/>
      </rPr>
      <t xml:space="preserve">731 jóvenes y adultos atendido a través de modelo flexibles.
</t>
    </r>
    <r>
      <rPr>
        <b/>
        <sz val="10"/>
        <rFont val="Calibri"/>
        <family val="2"/>
        <scheme val="minor"/>
      </rPr>
      <t>Alcaldia Cordoba:</t>
    </r>
    <r>
      <rPr>
        <sz val="10"/>
        <rFont val="Calibri"/>
        <family val="2"/>
        <scheme val="minor"/>
      </rPr>
      <t xml:space="preserve"> El municipio fortalecio las metodologias para la oferta educativa, en los siguientes: Escuela Nueva, enfoque Epc , Etnoeducación, flexibilización curricular  programa de apoyo para estudiantes con discapacidad y trastornos del aprendizaje</t>
    </r>
  </si>
  <si>
    <r>
      <t xml:space="preserve">
</t>
    </r>
    <r>
      <rPr>
        <b/>
        <sz val="10"/>
        <rFont val="Calibri"/>
        <family val="2"/>
        <scheme val="minor"/>
      </rPr>
      <t xml:space="preserve">Secretaría de Salud: </t>
    </r>
    <r>
      <rPr>
        <sz val="10"/>
        <rFont val="Calibri"/>
        <family val="2"/>
        <scheme val="minor"/>
      </rPr>
      <t>• Comités departamentales de salud sexual y reproductiva, se envió el plan de acción a las IPS y EAPB del  Departamento del Quindío.
• Asistencias técnicas y aplicación de lista de chequeo sobre Ruta de atención integral en salud sexual y reproductiva Res. 3280 curso de vida adolescente en las IPS de los municipios del Quindío.
• Se realizaron talleres pedagógicos con  padres de familia y estudiantes  y docentes de los 12 municipios del Quindío para el tema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 Se realizaron auditoria de historias clínicas de seguimiento de gestantes que viven con VIH SIDA Hepatitis B C como seguimiento del programa de ITS, valoración integral a través de lista de chequeo en IPS.
• Se realizaron auditoria de historias clínicas de seguimiento de personas que viven con VIH SIDA Hepatitis B C como seguimiento del programa de ITS, valoración integral a través de lista de chequeo en IPS.
• Se realizó aplicación de lista de chequeo de calidad de los servicios de salud amigables para adolescentes y jóvenes en las IPS de los 11 municipios y con usuarios adolescentes y padres de familia.
• Realización de subcomités sobre ITS VIH SIDA Hepatitis B C.
• Mesas de trabajo para la creación de la Red departamental de VIH (participación social)
• Auditorías a las EAPB que operan en el departamento del Quindío y a las IPS QUE atienden PVV, con seguimiento respecto la calidad de atención de personas que viven con VIH Sida y Hepatitis B C.
• Acciones de gestión del riesgo para los eventos VIH y hepatitis B C de los pacientes con riesgos detectados.  
• Mediante el plan de intervenciones colectivas se realizaron tamizajes para VIH Hepatitis B C en los municipios. En conjunto con el PAI, se realizaron campañas de vacunación de hepatitis B a las población clave.
• Asistencia técnica certificación en toma de pruebas rápidas de VIH hepatitis b c sífilis.
• Fortalecimiento en RIAS en salud, sexualidad, salud sexual y reproductiva en los 5 cursos de vida, curso de vida adolescente, transversal para todos los cursos de vida, ETMI plus, aguanta cuidarte, gpc vih y hepatitis b y c.Temas tratados: RIAS SSR Res. 3280 Curso de vida adolescente, ITS - Planificacion familiar -  Estrategia Aguanta cuidarte, Escala de Tanner - Estrategia Etmi Plus,  GPC VIH , GPC Hepatitis B y C  , Resolución 1904 de 2007 (salud sexual y reproductiva en discapacidad).</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</si>
  <si>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Buenavista:</t>
    </r>
    <r>
      <rPr>
        <sz val="10"/>
        <rFont val="Calibri"/>
        <family val="2"/>
        <scheme val="minor"/>
      </rPr>
      <t xml:space="preserve"> Se revisa la prestación del servicio a jóvenes por parte del plan local de Salud al Hospital San Camilo  
</t>
    </r>
    <r>
      <rPr>
        <b/>
        <sz val="10"/>
        <rFont val="Calibri"/>
        <family val="2"/>
        <scheme val="minor"/>
      </rPr>
      <t xml:space="preserve">Alcaldía de Pijao: </t>
    </r>
    <r>
      <rPr>
        <sz val="10"/>
        <rFont val="Calibri"/>
        <family val="2"/>
        <scheme val="minor"/>
      </rPr>
      <t xml:space="preserve">Los representantes de los jóvenes son miembros activos y participan en el Comité de Salud Municipal.
</t>
    </r>
    <r>
      <rPr>
        <b/>
        <sz val="10"/>
        <rFont val="Calibri"/>
        <family val="2"/>
        <scheme val="minor"/>
      </rPr>
      <t xml:space="preserve">Alcaldía Calarcá: </t>
    </r>
    <r>
      <rPr>
        <sz val="10"/>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Hospital San Roque de Córdoba, en los espacios de participación en cuanto a al Comité Operativo de Infancia y Adolescencia, Consejo Municipal de Policía Social - CMPS.
</t>
    </r>
    <r>
      <rPr>
        <b/>
        <sz val="10"/>
        <rFont val="Calibri"/>
        <family val="2"/>
        <scheme val="minor"/>
      </rPr>
      <t xml:space="preserve">Secretaría de Salud: </t>
    </r>
    <r>
      <rPr>
        <sz val="10"/>
        <rFont val="Calibri"/>
        <family val="2"/>
        <scheme val="minor"/>
      </rPr>
      <t xml:space="preserve">Población: IPS que manejan pacientes con VIH, Hepatitis B y C
Cantidad de personas: 40 historias clínicas
Institución: Sies Salud y Grupo Vihda
Actividad o acción:Análisis de Historias clínicas
Temas tratados: Análisis según resolución 0273 del 2019 del ministerio de salud
y protección social
Población: IPS que manejan pacientes con VIH, Hepatitis B y C
Cantidad de personas: 320 pacientes a los cuales se les verificó la entrega de
medicamentos mensual
Institución: Sies Salud y Grupo Vihda
Actividad o acción: Revisión de la entrega de medicamentos antirretrovirales en la
IPS y/o servicio farmacéutico
Temas tratados:Entrega en la completitud de medicamentos antirretrovirales en la IPS
y/o servicio farmacéutico
Población: Pacientes que viven con el virus del VIH y Hepatitis B y C
Cantidad de personas: 73 pacientes a los cuales se les realizó gestión del riego según
reportes sivigila
Institución: Reportes SIVIGILA
Actividad o acción: Gestión del riesgo respecto al acceso a la ruta de atención y
continuidad de atención de los pacientes reportados en Sivigila con VIH SIDA,
Hepatitis B C
Temas tratados: Ruta de atención de los pacientes reportados en Sivigila con VIH
SIDA, Hepatitis B C
Población: Pacientes que viven con el virus del VIH y Hepatitis B y C
Cantidad de personas: 120 pacientes a los cuales se les realizo llamadas telefonicas
Institución: Sies Salud y Grupo Vihda
Actividad o acción: Verificación en la calidad de la atención recibida en las IPS que
atienden personas que viven con el virus
Temas tratados: Calidad de la atención recibida en las IPS que atienden a personas
que viven con el virus.
Población: Funcionarios IPS Sies Salud y Grupo Vihda, Funcionarios de diferentes IPS
del Departamento del Quindío
Cantidad de personas: 26
Institución: Sies Salud y Grupo Vihda y diferentes IPS del Departamento del Quindío
Actividad o acción: Fortalecimiento en prevención, promoción de la salud en
temas de Infecciones de transmisión sexual/VIH/SIDA, Hepatitis B C D, Sífilis,
Enfermedad de Chagas (estrategia 95-95-95), (estrategia aguanta cuidarte)
(Estrategia ETMI Plus), Modelo de gestión programática en VIH/sida, aplicación
de guías de práctica clínica VIH/Hepatitis B C.-Capacitación pruebas rápidas VIH y
Hepatitis B y C.
Temas tratados: Infecciones de transmisión sexual/VIH/SIDA, Hepatitis B C D,
Sífilis, Enfermedad de Chagas (estrategia 95-95-95), (estrategia aguanta
cuidarte) (Estrategia ETMI Plus), Modelo de gestión programática en VIH/sida, aplicación de guías de práctica clínica VIH/Hepatitis B C.-Capacitación pruebas
rápidas VIH y Hepatitis B y C.
Este es el resumen de población alcanzada y los lugares donde se realizó actividades de la dimensión en salud sexual reproductiva en las que se trataron derechos sexuales y reproductivos, prevención del embarazo en adolescentes, prevención del embarazo subsiguiente, ruta y proceso de acercamiento a las IPS para adolescentes, síndrome de infección cervical, síndrome de descarga uretral, síndrome de úlcera genital, síndrome de flujo vaginal, síndrome de inflamación escrotal, síndrome de dolor abdominal bajo agudo (enfermedad pélvica inflamatoria), bubón inguinal, VIH, Hepatitis B C, Sífilis, Enfermedad de Chagas, virus del papiloma humano.
Asistencias técnicas y aplicación de lista de chequeo sobre Ruta de atención integral en salud sexual y reproductiva Res. 3280 curso de vida adolescente en las IPS de los municipios del Quindio.
Población: Funcionarios P y D
Cantidad de personas: 37
Institución: IPS de los municipios del departamento del Quindío
Actividad o acción: Aplicación lista de chequeo y verificación sobre ruta de atención integral en salud sexual y reproductiva Res, 3280 curso de vida adolescente
Temas tratados: Ruta de atención integral en salud sexual y reproductiva Res, 3280 curso de vida adolescente.
Población: Funcionarios P y D
Cantidad de personas: 26
Institución: IPS de los municipios del departamento del Quindío
Actividad o acción: Asistencia técnica sobre ruta de atención integral en salud sexual y reproductiva Res, 3280 curso de vida adolescente
Temas tratados: Ruta de atención integral en salud sexual y reproductiva Res, 3280 curso de vida adolescente-capacitación herramienta Tanner.
Población: Pacientes adolescentes
Cantidad de personas: 19
Institución: IPS de los municipios del departamento del Quindío
Actividad o acción: Aplicación lista de chequeo sobre ruta de atención integral en salud sexual y reproductiva Res, 3280 curso de vida adolescente
Temas tratados: Ruta de atención integral en salud sexual y reproductiva Res, 3280 curso de vida adolescente-capacitación herramienta Tanner.
</t>
    </r>
    <r>
      <rPr>
        <b/>
        <sz val="10"/>
        <rFont val="Calibri"/>
        <family val="2"/>
        <scheme val="minor"/>
      </rPr>
      <t>Alcaldía Tebaida:</t>
    </r>
    <r>
      <rPr>
        <sz val="10"/>
        <rFont val="Calibri"/>
        <family val="2"/>
        <scheme val="minor"/>
      </rPr>
      <t xml:space="preserve">  El total de la población activa que corresponde al Régimen Subsidiado es de 22.281 de este total,  5.394 es población joven que está en el rango de 14 a 28 año y El total de la población activa que corresponde al Régimen Contributivo es de 9.522 de este total 2.610 es población joven que está en el rango de 14 a 28 años.
</t>
    </r>
  </si>
  <si>
    <r>
      <t>Alcaldía Filandia:</t>
    </r>
    <r>
      <rPr>
        <sz val="10"/>
        <rFont val="Calibri"/>
        <family val="2"/>
        <scheme val="minor"/>
      </rPr>
      <t xml:space="preserve"> 340 jóvenes participan en actividades recreativas, deportivas y de actividad física.</t>
    </r>
    <r>
      <rPr>
        <b/>
        <sz val="10"/>
        <rFont val="Calibri"/>
        <family val="2"/>
        <scheme val="minor"/>
      </rPr>
      <t xml:space="preserve">
Alcaldía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
Alcaldía Génova:  </t>
    </r>
    <r>
      <rPr>
        <sz val="10"/>
        <rFont val="Calibri"/>
        <family val="2"/>
        <scheme val="minor"/>
      </rPr>
      <t>Jóvenes integrando las escuelas de formación en fútbol, baloncesto, jóvenes participando en torneos de fútbol categoría libre, jóvenes participando en torneo nacional de baloncesto, jóvenes participando en campamentos juveniles y actividades recreativas.</t>
    </r>
    <r>
      <rPr>
        <b/>
        <sz val="10"/>
        <rFont val="Calibri"/>
        <family val="2"/>
        <scheme val="minor"/>
      </rPr>
      <t xml:space="preserve">
Alcaldía de Armenia: </t>
    </r>
    <r>
      <rPr>
        <sz val="10"/>
        <rFont val="Calibri"/>
        <family val="2"/>
        <scheme val="minor"/>
      </rPr>
      <t>Promoción, apoyo logístico, ejecución y dotación  de programas de Hábitos y Estilos de Vida Saludable y Actividad Física.</t>
    </r>
    <r>
      <rPr>
        <b/>
        <sz val="10"/>
        <rFont val="Calibri"/>
        <family val="2"/>
        <scheme val="minor"/>
      </rPr>
      <t xml:space="preserve">       
Alcaldía de Montenegro: S</t>
    </r>
    <r>
      <rPr>
        <sz val="10"/>
        <rFont val="Calibri"/>
        <family val="2"/>
        <scheme val="minor"/>
      </rPr>
      <t xml:space="preserve">e ha fortalecido la oferta institucional frente a la actividad física al igual que los grupos de formación deportiva, se hace promoción y seguimiento de eventos y actividades
</t>
    </r>
    <r>
      <rPr>
        <b/>
        <sz val="10"/>
        <rFont val="Calibri"/>
        <family val="2"/>
        <scheme val="minor"/>
      </rPr>
      <t>Alcaldía de Pijao:</t>
    </r>
    <r>
      <rPr>
        <sz val="10"/>
        <rFont val="Calibri"/>
        <family val="2"/>
        <scheme val="minor"/>
      </rPr>
      <t xml:space="preserve"> Entrenamientos permanentes con las escuelas deportivas, actividades recreativas con el colegio la mariela (rural), apoyo actividades eninstituciones educativas urbanas en los interclases.</t>
    </r>
    <r>
      <rPr>
        <b/>
        <sz val="10"/>
        <rFont val="Calibri"/>
        <family val="2"/>
        <scheme val="minor"/>
      </rPr>
      <t xml:space="preserve">
Alcaldía de Calarcá: </t>
    </r>
    <r>
      <rPr>
        <sz val="10"/>
        <rFont val="Calibri"/>
        <family val="2"/>
        <scheme val="minor"/>
      </rPr>
      <t xml:space="preserve">Desde la Subsecretaría de Cultura se realizó el evento "Caciques más fuertes" y "Color fest".
</t>
    </r>
    <r>
      <rPr>
        <b/>
        <sz val="10"/>
        <rFont val="Calibri"/>
        <family val="2"/>
        <scheme val="minor"/>
      </rPr>
      <t>Alcaldía Córdoba:</t>
    </r>
    <r>
      <rPr>
        <sz val="10"/>
        <rFont val="Calibri"/>
        <family val="2"/>
        <scheme val="minor"/>
      </rPr>
      <t xml:space="preserve"> El municipio de Córdoba Quindío, cuenta con las 6 escuelas de formacion deportiva y el centro de alto rendimiento gimnasio, con un total población atendida: 223 de la siguiente manera:- Futbol: 60 Deportistas- Microfútbol: 70 Deportistas - Natación: 35 Deportistas- Ciclismo: 13 Deportistas- Patinaje: 28 Deportistas-Gimnasio: 25 deportistas.
se ha realizo encuentros deportivos en las instalaciones deportivas del municipio de Córdoba (estadio y coliseo); tales como: -Escuela de formación de futbol de Córdoba V&amp; equipo de pijao. -Escuela de microfútbol de Córdoba V&amp; equipo de Buenavista.
-Se participo en una salida deportiva al corregimiento de Barcelona.
INDEPORTES: 1325  jóvenes atendidos con el Servicio de promoción de la actividad física, la recreación y el deporte, mediante Hábitos y Estilos de Vida Saludable, Acompañamiento a Grupos de Campistas Juveniles y recreación.
</t>
    </r>
    <r>
      <rPr>
        <b/>
        <sz val="10"/>
        <rFont val="Calibri"/>
        <family val="2"/>
        <scheme val="minor"/>
      </rPr>
      <t xml:space="preserve">Alcaldía salento: </t>
    </r>
    <r>
      <rPr>
        <sz val="10"/>
        <rFont val="Calibri"/>
        <family val="2"/>
        <scheme val="minor"/>
      </rPr>
      <t xml:space="preserve">177 jóvenes que pertenecen a escuelas deportivas.
</t>
    </r>
  </si>
  <si>
    <r>
      <rPr>
        <b/>
        <sz val="10"/>
        <rFont val="Calibri"/>
        <family val="2"/>
        <scheme val="minor"/>
      </rPr>
      <t xml:space="preserve">Secretaría de Salud:  </t>
    </r>
    <r>
      <rPr>
        <sz val="10"/>
        <rFont val="Calibri"/>
        <family val="2"/>
        <scheme val="minor"/>
      </rPr>
      <t>11  municipios alcanzados en sus diferentes instituciones educativas 
Población: Estudiantes
Cantidad de Personas: 2500
Instituciónes Educativas
Actividad o acción: 
Asistencia técnica sobre estrategias de salud sexual y reproductiva, prevención de enfermedades de transmisión sexual.
Temas tratados: Derechos sexuales y reproductivos, prevención del embarazo, prevención del embarazo subsiguiente, ruta y proceso de acercamiento a las IPS para adolescentes, síndrome de infección cervical, Síndrome de descarga uretral, Síndrome de ulcera Genital, Síndrome de flujo vaginal, Síndrome de inflamación escrotal, Síndrome de dolor abdominal bajo agudo (enfermedad pélvica inflamatoria) bubón inguinal, VIH, Hepatitis B, C, Sífilis, Enfermedad de 
Chagas, Virus del papiloma humano.</t>
    </r>
  </si>
  <si>
    <r>
      <rPr>
        <b/>
        <sz val="10"/>
        <rFont val="Calibri"/>
        <family val="2"/>
        <scheme val="minor"/>
      </rPr>
      <t xml:space="preserve">Secretaría de Salud: </t>
    </r>
    <r>
      <rPr>
        <sz val="10"/>
        <rFont val="Calibri"/>
        <family val="2"/>
        <scheme val="minor"/>
      </rPr>
      <t>Desde el programa Convivencia Social y Salud Mental se orienta de manera permanente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Se realizan actividades de garantía de los derechos en salud en relación al curso de vida JUVENTUD tales como el seguimiento a la gestión del riesgo en eventos de interés en salud mental como el 875 violencia intrafamiliar y 356 conducta suicida, en el que se realizan actividades de gestión  en relación a la activación de ruta en salud mental  referente a los casos reportados a través de la plataforma epidemiológica SIVIGILA (Sistema Nacional de Vigilancia en Salud Pública). Se han realizado además, asistencias técnicas en los temas de servicios amigables de salud para jóvenes y adolescentes.</t>
    </r>
  </si>
  <si>
    <r>
      <t xml:space="preserve">
</t>
    </r>
    <r>
      <rPr>
        <b/>
        <sz val="10"/>
        <rFont val="Calibri"/>
        <family val="2"/>
        <scheme val="minor"/>
      </rPr>
      <t xml:space="preserve">Secretaría del Interior: </t>
    </r>
    <r>
      <rPr>
        <sz val="10"/>
        <rFont val="Calibri"/>
        <family val="2"/>
        <scheme val="minor"/>
      </rPr>
      <t xml:space="preserve">Acompañamiento y seguimiento en los municipios de Filandia, Córdoba, Montenegro y Quimbaya
</t>
    </r>
    <r>
      <rPr>
        <b/>
        <sz val="10"/>
        <rFont val="Calibri"/>
        <family val="2"/>
        <scheme val="minor"/>
      </rPr>
      <t>Policía Nacional:</t>
    </r>
    <r>
      <rPr>
        <sz val="10"/>
        <rFont val="Calibri"/>
        <family val="2"/>
        <scheme val="minor"/>
      </rPr>
      <t xml:space="preserve"> El Grupo de protección a la infancia y adolescencia, durante el periodo comprometido de julio a septiembre realizó en los 12 municipios del Departamento más de 128 acciones en instituciones educativas, beneficiando a más de  2.630 estudiantes en temáticas como legislación nacional, violencia intrafamiliar, pautas y crianza, valores y principios, explotación sexual y comercial de NNA, trabajo infantil entre otros, logrando afianzar la cultura de la denuncia para mitigar y reducir la vulneración de sus derechos a través de la líneas de emergencia 123 y 141. 
</t>
    </r>
    <r>
      <rPr>
        <b/>
        <sz val="10"/>
        <rFont val="Calibri"/>
        <family val="2"/>
        <scheme val="minor"/>
      </rPr>
      <t>ICBF:</t>
    </r>
    <r>
      <rPr>
        <sz val="10"/>
        <rFont val="Calibri"/>
        <family val="2"/>
        <scheme val="minor"/>
      </rPr>
      <t xml:space="preserve"> Asistencias técnicas, acompañamiento en los comités municipales 
Divulgación ruta de convivencia escolar
*Acompañamiento a los comités de los municipios de Armenia, Filandia, Circasia, La Tebaida y Córdoba.
</t>
    </r>
    <r>
      <rPr>
        <b/>
        <sz val="10"/>
        <rFont val="Calibri"/>
        <family val="2"/>
        <scheme val="minor"/>
      </rPr>
      <t xml:space="preserve">
Secretaría de Salud: </t>
    </r>
    <r>
      <rPr>
        <sz val="10"/>
        <rFont val="Calibri"/>
        <family val="2"/>
        <scheme val="minor"/>
      </rPr>
      <t>Se realizaron asistencias técnicas en los temas de servicios amigables de salud para jóvenes y adolescentes en los municipios de Filandia, Circasia, Salento, Pijao, Génova, Córdoba, Buenavista, Calarcá, Quimbaya, La Tebaida y Montenegro como también se socializó con líderes COVECOM de los municipios de tebaida y Quimbaya. 
Se realizaron asistencias técnicas extraordinarias con los municipios de Circasia y La Tebaida para revisión del seguimiento a la activación de ruta en los casos de violencia de género e intrafamiliar.
Se realizó asistencia técnica sobre Rutas de atención en salud mental sobre intento de Suicidio, en  los once (11) municipios de competencia departamental. 2 presenciales en campo, el resto de municipios en una reunión que fueron invitados.
Se realiza intervención sobre la importancia del cuidado de la salud mental para prevenir el suicidio, con los grado 11 de algunos I. E de la Tebaida, y se hizo esta misma charla con todos los grados de secundaria de la I. E Antonio Nariño de Calarcá.</t>
    </r>
  </si>
  <si>
    <r>
      <t xml:space="preserve">
 No se encuentra definida la tasa nacional
</t>
    </r>
    <r>
      <rPr>
        <b/>
        <sz val="10"/>
        <rFont val="Calibri"/>
        <family val="2"/>
        <scheme val="minor"/>
      </rPr>
      <t xml:space="preserve">Alcaldía Montenegro: </t>
    </r>
    <r>
      <rPr>
        <sz val="10"/>
        <rFont val="Calibri"/>
        <family val="2"/>
        <scheme val="minor"/>
      </rPr>
      <t xml:space="preserve">se han realizado campañas y talleres en las instituciones educativas sobre prevención al sexting, convivencia ciudadana y demás
</t>
    </r>
    <r>
      <rPr>
        <b/>
        <sz val="10"/>
        <rFont val="Calibri"/>
        <family val="2"/>
        <scheme val="minor"/>
      </rPr>
      <t>Alcaldía de Córdoba:</t>
    </r>
    <r>
      <rPr>
        <sz val="10"/>
        <rFont val="Calibri"/>
        <family val="2"/>
        <scheme val="minor"/>
      </rPr>
      <t xml:space="preserve"> Teniendo encuenta los informes de las estadisticas de seguridad y convivencia presentados en el consejo de seguridad del municipio por parte de la Estacion de Policia Cordoba, se cuenta con un 0% de homicidios en el municipio. 
</t>
    </r>
    <r>
      <rPr>
        <b/>
        <sz val="10"/>
        <rFont val="Calibri"/>
        <family val="2"/>
        <scheme val="minor"/>
      </rPr>
      <t xml:space="preserve">Alcaldía de Pijao: </t>
    </r>
    <r>
      <rPr>
        <sz val="10"/>
        <rFont val="Calibri"/>
        <family val="2"/>
        <scheme val="minor"/>
      </rPr>
      <t xml:space="preserve">No cuenta con casos, no se adelanta ninguna acción.
</t>
    </r>
    <r>
      <rPr>
        <b/>
        <sz val="10"/>
        <rFont val="Calibri"/>
        <family val="2"/>
        <scheme val="minor"/>
      </rPr>
      <t xml:space="preserve">Secretaría de Familia: </t>
    </r>
    <r>
      <rPr>
        <sz val="10"/>
        <rFont val="Calibri"/>
        <family val="2"/>
        <scheme val="minor"/>
      </rPr>
      <t xml:space="preserve">Desde la Jefatura de Juventud, se brindan talleres formativos donde de proporcionan herramientas para el diario vivir de los jóvenes.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Secretaría del Interior:</t>
    </r>
    <r>
      <rPr>
        <sz val="10"/>
        <rFont val="Calibri"/>
        <family val="2"/>
        <scheme val="minor"/>
      </rPr>
      <t xml:space="preserve"> La tasa actual es de  56,78 por cada 100 mil jóvenes según informe de página JUACO, 2021.
</t>
    </r>
  </si>
  <si>
    <r>
      <t xml:space="preserve">
</t>
    </r>
    <r>
      <rPr>
        <b/>
        <sz val="10"/>
        <rFont val="Calibri"/>
        <family val="2"/>
        <scheme val="minor"/>
      </rPr>
      <t>Secretaría de Familia:</t>
    </r>
    <r>
      <rPr>
        <sz val="10"/>
        <rFont val="Calibri"/>
        <family val="2"/>
        <scheme val="minor"/>
      </rPr>
      <t xml:space="preserve"> la tasa de accidentes fatales viales x 100 mil jóvenes es 131 según fuente de verificación, sin embargo la tasa nacional no fue encontrada en esta fuente.
</t>
    </r>
    <r>
      <rPr>
        <b/>
        <sz val="10"/>
        <rFont val="Calibri"/>
        <family val="2"/>
        <scheme val="minor"/>
      </rPr>
      <t>Alcaldía de Armenia:</t>
    </r>
    <r>
      <rPr>
        <sz val="10"/>
        <rFont val="Calibri"/>
        <family val="2"/>
        <scheme val="minor"/>
      </rPr>
      <t xml:space="preserve"> Realización de educación a personas en todos los cursos de vida en la prevención del accidente de tránsito 301.
</t>
    </r>
    <r>
      <rPr>
        <b/>
        <sz val="10"/>
        <rFont val="Calibri"/>
        <family val="2"/>
        <scheme val="minor"/>
      </rPr>
      <t>Alcaldía Salento:</t>
    </r>
    <r>
      <rPr>
        <sz val="10"/>
        <rFont val="Calibri"/>
        <family val="2"/>
        <scheme val="minor"/>
      </rPr>
      <t xml:space="preserve"> En ejecución la Política Pública de Seguridad Vial, proceso a cargo de la Secretaría de Gobierno
</t>
    </r>
    <r>
      <rPr>
        <b/>
        <sz val="10"/>
        <rFont val="Calibri"/>
        <family val="2"/>
        <scheme val="minor"/>
      </rPr>
      <t>Alcaldía de Calarcá</t>
    </r>
    <r>
      <rPr>
        <sz val="10"/>
        <rFont val="Calibri"/>
        <family val="2"/>
        <scheme val="minor"/>
      </rPr>
      <t xml:space="preserve">: Jornadas de capacitación en las 17 Instituciones Educativas del Municipio.
</t>
    </r>
    <r>
      <rPr>
        <b/>
        <sz val="10"/>
        <rFont val="Calibri"/>
        <family val="2"/>
        <scheme val="minor"/>
      </rPr>
      <t>Alcaldía de Pijao</t>
    </r>
    <r>
      <rPr>
        <sz val="10"/>
        <rFont val="Calibri"/>
        <family val="2"/>
        <scheme val="minor"/>
      </rPr>
      <t xml:space="preserve">: No cuenta con casos, no se adelanta ninguna acción.
</t>
    </r>
    <r>
      <rPr>
        <b/>
        <sz val="10"/>
        <rFont val="Calibri"/>
        <family val="2"/>
        <scheme val="minor"/>
      </rPr>
      <t>IDTQ:</t>
    </r>
    <r>
      <rPr>
        <sz val="10"/>
        <rFont val="Calibri"/>
        <family val="2"/>
        <scheme val="minor"/>
      </rPr>
      <t xml:space="preserve"> Se ejecutó el  Programa de control y atención de tránsito y  transporte   en los Municipios de Salento, Filandia, Circasia y Montenegro, este último donde se suscribió un convenio interinstitucional con la Alcaldía de Montenegro en el mes de Junio, contratándose a 4 agentes de tránsito y 4 reguladores, fortaleciendo la acción de la movilidad y seguridad vial a través de operativos con enfoque especial en : cumplimiento de la normatividad de tránsito, control de velocidad y Transporte informal en el departamento del Quindío, donde se realizaron para este tercer trimestre 58 controles, como parte de la implementación de su plan estratégico Tú y yo juntos por la seguridad vial. En los Municipios de:
Salento, Filandia, Circasia, Montenegro, Buenavista, Córdoba, Pijao y Génova. Para lo cual se Benefició a 557 personas en campañas educativas sobre normas de tránsito, en los municipios de injerencia del IDTQ
</t>
    </r>
    <r>
      <rPr>
        <b/>
        <sz val="10"/>
        <rFont val="Calibri"/>
        <family val="2"/>
        <scheme val="minor"/>
      </rPr>
      <t>Alcaldía de Montenegro:</t>
    </r>
    <r>
      <rPr>
        <sz val="10"/>
        <rFont val="Calibri"/>
        <family val="2"/>
        <scheme val="minor"/>
      </rPr>
      <t xml:space="preserve"> Planes adelantados frente a la movilidad, la educación en seguridad vial, fortalecimiento cultural y el compromiso por la seguridad vial por Montenegro. Una coordinación interinstitucional con policía nacional y agentes de tránsito en un recorrido por el municipio para generar conciencia e impacto en la comunidad
</t>
    </r>
  </si>
  <si>
    <r>
      <rPr>
        <b/>
        <sz val="10"/>
        <rFont val="Calibri"/>
        <family val="2"/>
        <scheme val="minor"/>
      </rPr>
      <t>Observación</t>
    </r>
    <r>
      <rPr>
        <sz val="10"/>
        <rFont val="Calibri"/>
        <family val="2"/>
        <scheme val="minor"/>
      </rPr>
      <t xml:space="preserve">: No se encuentra definida la tasa nacional
</t>
    </r>
    <r>
      <rPr>
        <b/>
        <sz val="10"/>
        <rFont val="Calibri"/>
        <family val="2"/>
        <scheme val="minor"/>
      </rPr>
      <t xml:space="preserve">Secretaría de Familia: </t>
    </r>
    <r>
      <rPr>
        <sz val="10"/>
        <rFont val="Calibri"/>
        <family val="2"/>
        <scheme val="minor"/>
      </rPr>
      <t>la tasa de suicidios x 100 mil jóvenes es 7,2 según fuente de verificación, sin embargo la tasa nacional no fue encontrada en esta fuente.</t>
    </r>
    <r>
      <rPr>
        <b/>
        <sz val="10"/>
        <rFont val="Calibri"/>
        <family val="2"/>
        <scheme val="minor"/>
      </rPr>
      <t xml:space="preserve">
Secretaría de Salud:</t>
    </r>
    <r>
      <rPr>
        <sz val="10"/>
        <rFont val="Calibri"/>
        <family val="2"/>
        <scheme val="minor"/>
      </rPr>
      <t xml:space="preserve">  Desde el programa Convivencia Social y Salud Mental se orienta de manera permanente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Se realizan actividades de garantía de los derechos en salud en relación al curso de vida JUVENTUD tales como el seguimiento a la gestión del riesgo en eventos de interés en salud mental como el 875 violencia intrafamiliar y 356 conducta suicida, en el que se realizan actividades de gestión  en relación a la activación de ruta en salud mental  referente a los casos reportados a través de la plataforma epidemiológica SIVIGILA (Sistema Nacional de Vigilancia en Salud Pública). Se han realizado además, asistencias técnicas en los temas de servicios amigables de salud para jóvenes y adolescentes.y demás que lo requieren frente a temas de atención en salud mental.
</t>
    </r>
    <r>
      <rPr>
        <b/>
        <sz val="10"/>
        <rFont val="Calibri"/>
        <family val="2"/>
        <scheme val="minor"/>
      </rPr>
      <t>Alcaldía Génova</t>
    </r>
    <r>
      <rPr>
        <sz val="10"/>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rFont val="Calibri"/>
        <family val="2"/>
        <scheme val="minor"/>
      </rPr>
      <t>Alcaldía de Armenia:</t>
    </r>
    <r>
      <rPr>
        <sz val="10"/>
        <rFont val="Calibri"/>
        <family val="2"/>
        <scheme val="minor"/>
      </rPr>
      <t xml:space="preserve"> Población cubierta con acciones de promoción de factores protectores frente a la conducta suicida, 5000 jóvenes 
</t>
    </r>
    <r>
      <rPr>
        <b/>
        <sz val="10"/>
        <rFont val="Calibri"/>
        <family val="2"/>
        <scheme val="minor"/>
      </rPr>
      <t>Alcaldía de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La Administración Municipal, por parte del Plan Local de Salud Territorial ha realizado campañas en contra del suicidio a la población en general, con el fin de evitar y prevenir estos casos en el municipio. 
 La información no puede ser socializada en porcentaje (%) por el municipio.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 xml:space="preserve">Alcaldía de Pijao: </t>
    </r>
    <r>
      <rPr>
        <sz val="10"/>
        <rFont val="Calibri"/>
        <family val="2"/>
        <scheme val="minor"/>
      </rPr>
      <t xml:space="preserve">1 capacitación sobre prevención al suicidio y rutas de atención, en la Institución Educativa Santa Teresita.
</t>
    </r>
    <r>
      <rPr>
        <b/>
        <sz val="10"/>
        <rFont val="Calibri"/>
        <family val="2"/>
        <scheme val="minor"/>
      </rPr>
      <t xml:space="preserve">Alcaldía de Calarcá: </t>
    </r>
    <r>
      <rPr>
        <sz val="10"/>
        <rFont val="Calibri"/>
        <family val="2"/>
        <scheme val="minor"/>
      </rPr>
      <t xml:space="preserve">Se han realizado talleres de prevencion del suicidio, manejo de emociones y habilidades para la vida en diferentes instituciones del municipio de Calarcá 
</t>
    </r>
    <r>
      <rPr>
        <b/>
        <sz val="10"/>
        <rFont val="Calibri"/>
        <family val="2"/>
        <scheme val="minor"/>
      </rPr>
      <t>Secretaría del Interior</t>
    </r>
    <r>
      <rPr>
        <sz val="10"/>
        <rFont val="Calibri"/>
        <family val="2"/>
        <scheme val="minor"/>
      </rPr>
      <t xml:space="preserve">: La tasa actual es de  7.2 por cada 100.000 jóvenes según informe de página JUACO, 2021.
</t>
    </r>
  </si>
  <si>
    <r>
      <t xml:space="preserve">Se ejecutó el seguimiento a la ejecución de los planes de acción en un 100%.   </t>
    </r>
    <r>
      <rPr>
        <b/>
        <sz val="10"/>
        <rFont val="Calibri"/>
        <family val="2"/>
        <scheme val="minor"/>
      </rPr>
      <t xml:space="preserve">                                              
Secretaría del Interior: </t>
    </r>
    <r>
      <rPr>
        <sz val="10"/>
        <rFont val="Calibri"/>
        <family val="2"/>
        <scheme val="minor"/>
      </rPr>
      <t xml:space="preserve">Se realizó la actualización del plan integral departamental de derechos humanos donde se establece la ruta de protección y el plan de prevención de derechos humanos. Cada municipio tiene el plan integral de prevención de derechos humanos.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</si>
  <si>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t>
    </r>
    <r>
      <rPr>
        <sz val="10"/>
        <rFont val="Calibri"/>
        <family val="2"/>
        <scheme val="minor"/>
      </rPr>
      <t xml:space="preserve"> Se realizó en el primer trimestre, donde se actualizó el plan integral departamental de derechos humanos, estableciendo la ruta de protección y el plan de prevención de derechos humanos. Cada municipio cuenta con el plan integral. 
</t>
    </r>
    <r>
      <rPr>
        <b/>
        <sz val="10"/>
        <rFont val="Calibri"/>
        <family val="2"/>
        <scheme val="minor"/>
      </rPr>
      <t xml:space="preserve">Secretaría de Familia: </t>
    </r>
    <r>
      <rPr>
        <sz val="10"/>
        <rFont val="Calibri"/>
        <family val="2"/>
        <scheme val="minor"/>
      </rPr>
      <t xml:space="preserve">la tasa de violencia intrafamiliar x 100 mil jóvenes es del 12,27% según fuente de verificación, sin embargo la tasa nacional no fue encontrada en esta fuente.
</t>
    </r>
    <r>
      <rPr>
        <b/>
        <sz val="10"/>
        <rFont val="Calibri"/>
        <family val="2"/>
        <scheme val="minor"/>
      </rPr>
      <t xml:space="preserve">Secretaria de Salud: </t>
    </r>
    <r>
      <rPr>
        <sz val="10"/>
        <rFont val="Calibri"/>
        <family val="2"/>
        <scheme val="minor"/>
      </rPr>
      <t>Desde el Programa Convivencia Social y Salud Mental se realizaron asistencias técnicas en los temas de servicios amigables de salud para jóvenes y adolescentes en los municipios de Filandia, Circasia, Salento, Pijao, Génova, Córdoba, Buenavista, Calarcá, Quimbaya, La Tebaida y Montenegro como también se socializó con líderes COVECOM de los municipios de tebaida y Quimbaya. 
Se realizaron asistencias técnicas extraordinarias con los municipios de Circasia y La Tebaida para revisión del seguimiento a la activación de ruta en los casos de violencia de género e intrafamiliar.
Se realizó asistencia técnica sobre Rutas de atención en salud mental sobre intento de Suicidio y Violencias de Género, en  los once (11) municipios de competencia departamental. 2 presenciales en campo, el resto de municipios en una reunión que fueron invitados.
Se realiza intervención sobre la importancia del cuidado de la salud mental para prevenir el suicidio, con los grado 11 de algunos I. E de la Tebaida, y se hizo esta misma charla con todos los grados de secundaria de la I. E Antonio Nariño de Calarcá.</t>
    </r>
  </si>
  <si>
    <r>
      <t xml:space="preserve">Secretaría del Interior: </t>
    </r>
    <r>
      <rPr>
        <sz val="10"/>
        <rFont val="Calibri"/>
        <family val="2"/>
        <scheme val="minor"/>
      </rPr>
      <t xml:space="preserve">En fuentes oficiales no se tiene registro de información referente al reclutamiento de jóvenes víctimas del conflicto armado. Para la prevención se han realizado jornadas de sensibilización, prevención y socialización del reclutamiento y forzado y jornada de sensibilización sobre trata de personas.
</t>
    </r>
    <r>
      <rPr>
        <b/>
        <sz val="10"/>
        <rFont val="Calibri"/>
        <family val="2"/>
        <scheme val="minor"/>
      </rPr>
      <t>Policía Nacional:</t>
    </r>
    <r>
      <rPr>
        <sz val="10"/>
        <rFont val="Calibri"/>
        <family val="2"/>
        <scheme val="minor"/>
      </rPr>
      <t xml:space="preserve"> El Grupo de Protección a la Infancia y Adolescencia realizó durante el periodo comprendido de julio a septiembre realizó en los 12 municipios del departamento, mas de 32 acciones de prevención, actividades enmarcadas en el cumplimiento de la política de prevención del reclutamiento y utilización de niños, niñas, adolescentes por parte de los grupos armados organizados al margen de la ley y de los grupos delictivos organizados, logrando sensibilizar y beneficiar a más de 1.850 personas, en lo corrido de esta vigencia no se cuenta con denuncias antes este grupo por  reclutamiento de jovénes victimas en la región. </t>
    </r>
  </si>
  <si>
    <r>
      <t xml:space="preserve">
</t>
    </r>
    <r>
      <rPr>
        <b/>
        <sz val="10"/>
        <rFont val="Calibri"/>
        <family val="2"/>
        <scheme val="minor"/>
      </rPr>
      <t>Alcaldía Quimbaya:</t>
    </r>
    <r>
      <rPr>
        <sz val="10"/>
        <rFont val="Calibri"/>
        <family val="2"/>
        <scheme val="minor"/>
      </rPr>
      <t xml:space="preserve"> Actualmente las siete (7) instituciones educativas cuentan con las Zonas de Orientación Escolar, donde se trabaja el PESCC
</t>
    </r>
    <r>
      <rPr>
        <b/>
        <sz val="10"/>
        <rFont val="Calibri"/>
        <family val="2"/>
        <scheme val="minor"/>
      </rPr>
      <t>Alcaldía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para el primer trimestre no se han realizado acciones pare este indicador, pero se ha adelantado el proceso de convenio por medio del PIC con el ESE San Roque que se encarga de estos proyectos ya que cuenta con el personal idóneo en materia de educación sexual.
</t>
    </r>
    <r>
      <rPr>
        <b/>
        <sz val="10"/>
        <rFont val="Calibri"/>
        <family val="2"/>
        <scheme val="minor"/>
      </rPr>
      <t xml:space="preserve">Alcaldía de Montenegro: </t>
    </r>
    <r>
      <rPr>
        <sz val="10"/>
        <rFont val="Calibri"/>
        <family val="2"/>
        <scheme val="minor"/>
      </rPr>
      <t xml:space="preserve">se han realizado talleres enfocados en el autoestima al igual que talleres sobre la promoción del respeto y la garantía de los derechos sexuales y la igualdad entre hombres y mujeres.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r>
      <rPr>
        <b/>
        <sz val="10"/>
        <rFont val="Calibri"/>
        <family val="2"/>
        <scheme val="minor"/>
      </rPr>
      <t xml:space="preserve">Alcaldía de Calarcá: </t>
    </r>
    <r>
      <rPr>
        <sz val="10"/>
        <rFont val="Calibri"/>
        <family val="2"/>
        <scheme val="minor"/>
      </rPr>
      <t xml:space="preserve">se realizaron 5 talleres a grupos focales de jóvenes de 14 a 28 años en riesgo en el marco de la implementacion de la política pública de juventud en 4 instituciones educativas del municipio de Calarcá. Por otra parte, se realizó un taller para socializar la ley estatutaria de juventudes con los líderes de consejos estudiantiles de las 14 instituciones del municipio.
</t>
    </r>
    <r>
      <rPr>
        <b/>
        <sz val="10"/>
        <rFont val="Calibri"/>
        <family val="2"/>
        <scheme val="minor"/>
      </rPr>
      <t>Alcaldía de Armenia:</t>
    </r>
    <r>
      <rPr>
        <sz val="10"/>
        <rFont val="Calibri"/>
        <family val="2"/>
        <scheme val="minor"/>
      </rPr>
      <t xml:space="preserve"> Personas sensibilizadas en el cuidado de la salud sexual y derechos sexuales y reproductivos (410 participantes).
A</t>
    </r>
    <r>
      <rPr>
        <b/>
        <sz val="10"/>
        <rFont val="Calibri"/>
        <family val="2"/>
        <scheme val="minor"/>
      </rPr>
      <t>lcaldia Buenavista: L</t>
    </r>
    <r>
      <rPr>
        <sz val="10"/>
        <rFont val="Calibri"/>
        <family val="2"/>
        <scheme val="minor"/>
      </rPr>
      <t xml:space="preserve">as instituciones educativas del municipio, tienen el Proyecto Educativo Institucional PEI, en el cual abordan estos temas por medio de campañas o talleres, también dede la comisaría de familia se realizan campañas a nivel municipal, que involucran a las instituciones educativas.
</t>
    </r>
    <r>
      <rPr>
        <b/>
        <sz val="10"/>
        <rFont val="Calibri"/>
        <family val="2"/>
        <scheme val="minor"/>
      </rPr>
      <t xml:space="preserve">Secretaría de Educación: </t>
    </r>
    <r>
      <rPr>
        <sz val="10"/>
        <rFont val="Calibri"/>
        <family val="2"/>
        <scheme val="minor"/>
      </rPr>
      <t xml:space="preserve">Acompañamiento a 48 instituciones educativas con proyectos de educación sexual y construcción de ciudadanía  </t>
    </r>
  </si>
  <si>
    <r>
      <rPr>
        <b/>
        <sz val="10"/>
        <rFont val="Calibri"/>
        <family val="2"/>
        <scheme val="minor"/>
      </rPr>
      <t xml:space="preserve">Observación: </t>
    </r>
    <r>
      <rPr>
        <sz val="10"/>
        <rFont val="Calibri"/>
        <family val="2"/>
        <scheme val="minor"/>
      </rPr>
      <t xml:space="preserve">Según el observatorio de Drogas los últimos datos corresponden al año 2013 y el Quindío se sitúa por encima de la media nacional.
</t>
    </r>
    <r>
      <rPr>
        <b/>
        <sz val="10"/>
        <rFont val="Calibri"/>
        <family val="2"/>
        <scheme val="minor"/>
      </rPr>
      <t>Secretaría de Salud:</t>
    </r>
    <r>
      <rPr>
        <sz val="10"/>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es de anotar que este trimestre se envió para revisión la propuesta de Decreto y se ajustó el Plan de Acción para la adopción de la Resolución 089.
</t>
    </r>
    <r>
      <rPr>
        <b/>
        <sz val="10"/>
        <rFont val="Calibri"/>
        <family val="2"/>
        <scheme val="minor"/>
      </rPr>
      <t>Secretaría del Interior</t>
    </r>
    <r>
      <rPr>
        <sz val="10"/>
        <rFont val="Calibri"/>
        <family val="2"/>
        <scheme val="minor"/>
      </rPr>
      <t xml:space="preserve">: Se impactó a  diez (10) jóvenes en la sede fundación familiar pro-rehabilitacion de farmacodependientes FARO modalidad internado sede San Carlos con Capacitación en el código nacional de seguridad y convivencia ciudadana de conformidad para promover la resolución pacífica de conflictos.  
</t>
    </r>
    <r>
      <rPr>
        <b/>
        <sz val="10"/>
        <rFont val="Calibri"/>
        <family val="2"/>
        <scheme val="minor"/>
      </rPr>
      <t>Secretaría de Familia</t>
    </r>
    <r>
      <rPr>
        <sz val="10"/>
        <rFont val="Calibri"/>
        <family val="2"/>
        <scheme val="minor"/>
      </rPr>
      <t xml:space="preserve">: La prevalencia de consumo de sustancias psicoactivas en escolares y último año en escolares es del  6,8% según fuente de verificación,  sin embargo la tasa nacional no fue encontrada en esta fuente.
</t>
    </r>
    <r>
      <rPr>
        <b/>
        <sz val="10"/>
        <rFont val="Calibri"/>
        <family val="2"/>
        <scheme val="minor"/>
      </rPr>
      <t>Secretaría de Educación</t>
    </r>
    <r>
      <rPr>
        <sz val="10"/>
        <rFont val="Calibri"/>
        <family val="2"/>
        <scheme val="minor"/>
      </rPr>
      <t xml:space="preserve">: La Secretaría de Educación Departamental no lleva dentro de sus datos estadísticos, el número o porcentaje de estudiantes con prevalencia de consumo de sustancias psicoactivas, No obstante. A través de la Dirección de Cobertura Educativa se formula e implenta un trabajo dirigido al sector educativo:"Entidades territoriales con estrategias para la prevención de riesgos sociales en los entornos escolares implementadas" .
</t>
    </r>
    <r>
      <rPr>
        <b/>
        <sz val="10"/>
        <rFont val="Calibri"/>
        <family val="2"/>
        <scheme val="minor"/>
      </rPr>
      <t>Secretaría del Interior:</t>
    </r>
    <r>
      <rPr>
        <sz val="10"/>
        <rFont val="Calibri"/>
        <family val="2"/>
        <scheme val="minor"/>
      </rPr>
      <t xml:space="preserve"> Se tienen 4 jóvenes dentro del programa de seguimiento judicial al tratamiento de drogas en el sistema penal para adolescentes que se encuentran privados de la libertad, para el estudio de sus casos
</t>
    </r>
    <r>
      <rPr>
        <b/>
        <sz val="10"/>
        <rFont val="Calibri"/>
        <family val="2"/>
        <scheme val="minor"/>
      </rPr>
      <t>Alcaldia Armenia:</t>
    </r>
    <r>
      <rPr>
        <sz val="10"/>
        <rFont val="Calibri"/>
        <family val="2"/>
        <scheme val="minor"/>
      </rPr>
      <t>Población cubierta con acciones educativas para el fortalecimiento de habilidades psicosociales, difusión de riesgos relacionados a la salud mental 4419 jóvenes beneficiados.
A</t>
    </r>
    <r>
      <rPr>
        <b/>
        <sz val="10"/>
        <rFont val="Calibri"/>
        <family val="2"/>
        <scheme val="minor"/>
      </rPr>
      <t>lcaldia Montenegro:</t>
    </r>
    <r>
      <rPr>
        <sz val="10"/>
        <rFont val="Calibri"/>
        <family val="2"/>
        <scheme val="minor"/>
      </rPr>
      <t xml:space="preserve"> se han realizado talleres en los colegios sobre prevención al consumo de spa y salud mental al igual que intervenciones para activación de rutas en salud mental
</t>
    </r>
    <r>
      <rPr>
        <b/>
        <sz val="10"/>
        <rFont val="Calibri"/>
        <family val="2"/>
        <scheme val="minor"/>
      </rPr>
      <t>Alcaldia Calarcá:</t>
    </r>
    <r>
      <rPr>
        <sz val="10"/>
        <rFont val="Calibri"/>
        <family val="2"/>
        <scheme val="minor"/>
      </rPr>
      <t xml:space="preserve"> se realizó una jornada ppedagogica en articulación con la subsecretaria de cultura en la fundacion familiar FARO, sede san gabriel del municipio de calarcá 
</t>
    </r>
    <r>
      <rPr>
        <b/>
        <sz val="10"/>
        <rFont val="Calibri"/>
        <family val="2"/>
        <scheme val="minor"/>
      </rPr>
      <t>Alcaldia Buenavista:</t>
    </r>
    <r>
      <rPr>
        <sz val="10"/>
        <rFont val="Calibri"/>
        <family val="2"/>
        <scheme val="minor"/>
      </rPr>
      <t xml:space="preserve"> Las instituciones educativas del municipio, tiene el Proyecto Educativo Institucional PEI, en el cual abordan estos temas por medio de campañas o talleres, tambien dede la comisaria de familia se realizan campañas a nivel municipal, que involucran a las instituciones educativas
</t>
    </r>
    <r>
      <rPr>
        <b/>
        <sz val="10"/>
        <rFont val="Calibri"/>
        <family val="2"/>
        <scheme val="minor"/>
      </rPr>
      <t xml:space="preserve">Alcaldía de Pijao: </t>
    </r>
    <r>
      <rPr>
        <sz val="10"/>
        <rFont val="Calibri"/>
        <family val="2"/>
        <scheme val="minor"/>
      </rPr>
      <t xml:space="preserve">Se llevó a cabo la proyección de la dimensión de salud mental y convivencia social.
</t>
    </r>
    <r>
      <rPr>
        <b/>
        <sz val="10"/>
        <rFont val="Calibri"/>
        <family val="2"/>
        <scheme val="minor"/>
      </rPr>
      <t>Alcaldia Quimbaya:</t>
    </r>
    <r>
      <rPr>
        <sz val="10"/>
        <rFont val="Calibri"/>
        <family val="2"/>
        <scheme val="minor"/>
      </rPr>
      <t xml:space="preserve"> Este indicador no es claro en su medición. El municipio realiza campañas en entornos escolares para prevenir el consumo de sustencias psicoactivas.
</t>
    </r>
  </si>
  <si>
    <r>
      <rPr>
        <b/>
        <sz val="10"/>
        <rFont val="Calibri"/>
        <family val="2"/>
        <scheme val="minor"/>
      </rPr>
      <t xml:space="preserve">Secretaria de Familia: </t>
    </r>
    <r>
      <rPr>
        <sz val="10"/>
        <rFont val="Calibri"/>
        <family val="2"/>
        <scheme val="minor"/>
      </rPr>
      <t xml:space="preserve"> Los datos corresponden a la suma de los tres trimestres 2023.</t>
    </r>
    <r>
      <rPr>
        <b/>
        <sz val="10"/>
        <rFont val="Calibri"/>
        <family val="2"/>
        <scheme val="minor"/>
      </rPr>
      <t xml:space="preserve">
Indeportes:</t>
    </r>
    <r>
      <rPr>
        <sz val="10"/>
        <rFont val="Calibri"/>
        <family val="2"/>
        <scheme val="minor"/>
      </rPr>
      <t xml:space="preserve">   1 deportista de la Liga de Atletismo del Quindío participó de Torneo en Sevilla-España. 3 deportistas de taekwondo que participaron en campeonato internacional. Deportista de Atletismo que participó en Juegos Centro Americanos y de Caribe 2023 obteniendo medalla de bronce. Deportista femenina de atletismo,  participó en Alemania en prueba de media maratón, Otra atleta femenina participó en el Campeonato Iberoamericano de Atletismo en la prueba de salto alto ocupando el cuarto lugar. Un deportista masculino de bowling participó en los juegos Centro americanos y del Caribe obteniendo medallas de oro, plata y bronce.</t>
    </r>
    <r>
      <rPr>
        <b/>
        <sz val="10"/>
        <rFont val="Calibri"/>
        <family val="2"/>
        <scheme val="minor"/>
      </rPr>
      <t xml:space="preserve">
Alcaldía de Filandia:</t>
    </r>
    <r>
      <rPr>
        <sz val="10"/>
        <rFont val="Calibri"/>
        <family val="2"/>
        <scheme val="minor"/>
      </rPr>
      <t xml:space="preserve"> 1 joven.
</t>
    </r>
    <r>
      <rPr>
        <b/>
        <sz val="10"/>
        <rFont val="Calibri"/>
        <family val="2"/>
        <scheme val="minor"/>
      </rPr>
      <t>Alcaldía la Tebaida:</t>
    </r>
    <r>
      <rPr>
        <sz val="10"/>
        <rFont val="Calibri"/>
        <family val="2"/>
        <scheme val="minor"/>
      </rPr>
      <t xml:space="preserve"> en el mes de julio se contó con 56 jóvenes para representar al Municipio en los juegos Intercolegiados del Departamento.
</t>
    </r>
    <r>
      <rPr>
        <b/>
        <sz val="10"/>
        <rFont val="Calibri"/>
        <family val="2"/>
        <scheme val="minor"/>
      </rPr>
      <t>Alcaldía Córdoba:</t>
    </r>
    <r>
      <rPr>
        <sz val="10"/>
        <rFont val="Calibri"/>
        <family val="2"/>
        <scheme val="minor"/>
      </rPr>
      <t xml:space="preserve"> El municipio cuanta con las escuelas de formación deportiva y el centro de alto rendimiento gimnasio, en donde los jóvenes realizan la actividad física. 
</t>
    </r>
    <r>
      <rPr>
        <b/>
        <sz val="10"/>
        <rFont val="Calibri"/>
        <family val="2"/>
        <scheme val="minor"/>
      </rPr>
      <t xml:space="preserve">Alcaldía Salento: </t>
    </r>
    <r>
      <rPr>
        <sz val="10"/>
        <rFont val="Calibri"/>
        <family val="2"/>
        <scheme val="minor"/>
      </rPr>
      <t xml:space="preserve">Sostenimiento de los programas de atención psicosocial establecidos en el municipio.
</t>
    </r>
    <r>
      <rPr>
        <b/>
        <sz val="10"/>
        <rFont val="Calibri"/>
        <family val="2"/>
        <scheme val="minor"/>
      </rPr>
      <t xml:space="preserve">Alcaldía de pijao: </t>
    </r>
    <r>
      <rPr>
        <sz val="10"/>
        <rFont val="Calibri"/>
        <family val="2"/>
        <scheme val="minor"/>
      </rPr>
      <t xml:space="preserve">DANIEL VACA atletismo, segundo en los juegos departamentales. Selección juvenil de fútbol, segundo a nivel departamental, selección de fútbol de salon segundos a nivel departamental; baloncesto juvenil tercera a nivel departamental, selección de baloncesto femenina segunda a nivel departamental.
</t>
    </r>
    <r>
      <rPr>
        <b/>
        <sz val="10"/>
        <rFont val="Calibri"/>
        <family val="2"/>
        <scheme val="minor"/>
      </rPr>
      <t>Alcaldia Armenia:</t>
    </r>
    <r>
      <rPr>
        <sz val="10"/>
        <rFont val="Calibri"/>
        <family val="2"/>
        <scheme val="minor"/>
      </rPr>
      <t xml:space="preserve"> apoyo  a deportistas, clubes deportivos, ligas deportivas y organizaciones afines al deporte. 23 escuelas  
</t>
    </r>
    <r>
      <rPr>
        <b/>
        <sz val="10"/>
        <rFont val="Calibri"/>
        <family val="2"/>
        <scheme val="minor"/>
      </rPr>
      <t>Alcaldia Montenegro:</t>
    </r>
    <r>
      <rPr>
        <sz val="10"/>
        <rFont val="Calibri"/>
        <family val="2"/>
        <scheme val="minor"/>
      </rPr>
      <t xml:space="preserve"> Se participó en campeonato internacional de hiphop españa</t>
    </r>
  </si>
  <si>
    <r>
      <rPr>
        <b/>
        <sz val="10"/>
        <rFont val="Calibri"/>
        <family val="2"/>
        <scheme val="minor"/>
      </rPr>
      <t xml:space="preserve">Indeportes: </t>
    </r>
    <r>
      <rPr>
        <sz val="10"/>
        <rFont val="Calibri"/>
        <family val="2"/>
        <scheme val="minor"/>
      </rPr>
      <t>115 deportistas jóvenes quindianos de alto rendimiento apoyados en la preparación para Juegos Nacionales y Paranacionales 2023.</t>
    </r>
  </si>
  <si>
    <r>
      <rPr>
        <b/>
        <sz val="10"/>
        <rFont val="Calibri"/>
        <family val="2"/>
        <scheme val="minor"/>
      </rPr>
      <t>Indeportes:</t>
    </r>
    <r>
      <rPr>
        <sz val="10"/>
        <rFont val="Calibri"/>
        <family val="2"/>
        <scheme val="minor"/>
      </rPr>
      <t xml:space="preserve"> 20 deportistas jóvenes de alto rendimiento apoyados económicamente de manera mensual</t>
    </r>
  </si>
  <si>
    <r>
      <rPr>
        <b/>
        <sz val="10"/>
        <rFont val="Calibri"/>
        <family val="2"/>
        <scheme val="minor"/>
      </rPr>
      <t xml:space="preserve">
Se beneficiaron: 11693 Personas 79% Por encima de la línea de base de 6500 beneficiados.   
Alcaldía de Circasia: </t>
    </r>
    <r>
      <rPr>
        <sz val="10"/>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rFont val="Calibri"/>
        <family val="2"/>
        <scheme val="minor"/>
      </rPr>
      <t>Alcaldía de la Tebaida:</t>
    </r>
    <r>
      <rPr>
        <sz val="10"/>
        <rFont val="Calibri"/>
        <family val="2"/>
        <scheme val="minor"/>
      </rPr>
      <t xml:space="preserve">  de acuerdo a lo reportado 8 adultos entre 18 a 28 años se benefician de actividad física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19 selecciones deportivas Representativas: Ajedrez, Atletismo, Bádminton, Balón Mano Ambas Ramas, Baloncesto Ambas Ramas, Disco Volador, Fútbol Ambas Ramas, Fútbol Sala Ambas Ramas, Levantamiento De Pesas, Natación, Porrismo, Tenis De Campo, Tenis De Mesa, Voleibol Ambas Ramas, Triatlón, Squash, Judo, Karate Do, Tae Kwon Do. Con un total 18.091 funcionarios y estudiantes mayores de edad, de los cuales el 3% hace parte de la práctica deportiva.</t>
    </r>
    <r>
      <rPr>
        <b/>
        <sz val="10"/>
        <rFont val="Calibri"/>
        <family val="2"/>
        <scheme val="minor"/>
      </rPr>
      <t xml:space="preserve">
Alcaldía de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Alcaldía de Calarcá: </t>
    </r>
    <r>
      <rPr>
        <sz val="10"/>
        <rFont val="Calibri"/>
        <family val="2"/>
        <scheme val="minor"/>
      </rPr>
      <t>Programa recreativo para adolescencia y juventud y programa recreativo y fitness.</t>
    </r>
    <r>
      <rPr>
        <b/>
        <sz val="10"/>
        <rFont val="Calibri"/>
        <family val="2"/>
        <scheme val="minor"/>
      </rPr>
      <t xml:space="preserve">
Alcaldia Montenegro: </t>
    </r>
    <r>
      <rPr>
        <sz val="10"/>
        <rFont val="Calibri"/>
        <family val="2"/>
        <scheme val="minor"/>
      </rPr>
      <t>Se realiza</t>
    </r>
    <r>
      <rPr>
        <b/>
        <sz val="10"/>
        <rFont val="Calibri"/>
        <family val="2"/>
        <scheme val="minor"/>
      </rPr>
      <t xml:space="preserve"> </t>
    </r>
    <r>
      <rPr>
        <sz val="10"/>
        <rFont val="Calibri"/>
        <family val="2"/>
        <scheme val="minor"/>
      </rPr>
      <t>actividad fisica adulto mayor ,torneos y campeonatos de futlbol para un total de 650 deportistas participando.</t>
    </r>
    <r>
      <rPr>
        <b/>
        <sz val="10"/>
        <rFont val="Calibri"/>
        <family val="2"/>
        <scheme val="minor"/>
      </rPr>
      <t xml:space="preserve">
Alcaldía Filandia: </t>
    </r>
    <r>
      <rPr>
        <sz val="10"/>
        <rFont val="Calibri"/>
        <family val="2"/>
        <scheme val="minor"/>
      </rPr>
      <t xml:space="preserve">270 adultos
</t>
    </r>
    <r>
      <rPr>
        <b/>
        <sz val="10"/>
        <rFont val="Calibri"/>
        <family val="2"/>
        <scheme val="minor"/>
      </rPr>
      <t xml:space="preserve">Alcaldia de pijao:  </t>
    </r>
    <r>
      <rPr>
        <sz val="10"/>
        <rFont val="Calibri"/>
        <family val="2"/>
        <scheme val="minor"/>
      </rPr>
      <t>120 adultos en los diferentes equipos participantes</t>
    </r>
    <r>
      <rPr>
        <b/>
        <sz val="10"/>
        <rFont val="Calibri"/>
        <family val="2"/>
        <scheme val="minor"/>
      </rPr>
      <t xml:space="preserve">
Alcaldía de Buenavista: </t>
    </r>
    <r>
      <rPr>
        <sz val="10"/>
        <rFont val="Calibri"/>
        <family val="2"/>
        <scheme val="minor"/>
      </rPr>
      <t xml:space="preserve"> El municIpio cuenta con un grupo de 30 adultos que trabajan de manera semanal aeróbicos y otro grupo de 20 adultos que trabajan actividad física moderada y también se cuenta con dos grupos de 60 adultos mayores que trabajan actividad fisica moderada de manera mensual.</t>
    </r>
    <r>
      <rPr>
        <b/>
        <sz val="10"/>
        <rFont val="Calibri"/>
        <family val="2"/>
        <scheme val="minor"/>
      </rPr>
      <t xml:space="preserve">
Alcaldía Córdoba: </t>
    </r>
    <r>
      <rPr>
        <sz val="10"/>
        <rFont val="Calibri"/>
        <family val="2"/>
        <scheme val="minor"/>
      </rPr>
      <t xml:space="preserve">Por parte de la Administración Municipal se realizan actividades recreativas, rumba terapias y actividad física con los adultos internos y externos pertenecientes al CBA Hogar Adulto Mayor Humberto López Vázquez, también con los dos grupos de adulto mayor del municipio Amor y vida y Vida Activa. 
La información no puede ser socializada en porcentaje (%) por el municipio. 
</t>
    </r>
    <r>
      <rPr>
        <b/>
        <sz val="10"/>
        <rFont val="Calibri"/>
        <family val="2"/>
        <scheme val="minor"/>
      </rPr>
      <t>Alcaldía de Armenia:</t>
    </r>
    <r>
      <rPr>
        <sz val="10"/>
        <rFont val="Calibri"/>
        <family val="2"/>
        <scheme val="minor"/>
      </rPr>
      <t xml:space="preserve"> Implementar, ejecutar y dotar programas de Hábitos y Estilos de Vida Saludable y Actividad Física
</t>
    </r>
    <r>
      <rPr>
        <b/>
        <sz val="10"/>
        <rFont val="Calibri"/>
        <family val="2"/>
        <scheme val="minor"/>
      </rPr>
      <t>Universidad EAM:</t>
    </r>
    <r>
      <rPr>
        <sz val="10"/>
        <rFont val="Calibri"/>
        <family val="2"/>
        <scheme val="minor"/>
      </rPr>
      <t xml:space="preserve"> 174 estudiantes en promedio por mes en actividad física en el centro de acondicionamiento físico
2 estudiantes en cátedra de deporte formativo (educación continuada)
</t>
    </r>
    <r>
      <rPr>
        <b/>
        <sz val="10"/>
        <rFont val="Calibri"/>
        <family val="2"/>
        <scheme val="minor"/>
      </rPr>
      <t>Universidad la Gran Colombia:</t>
    </r>
    <r>
      <rPr>
        <sz val="10"/>
        <rFont val="Calibri"/>
        <family val="2"/>
        <scheme val="minor"/>
      </rPr>
      <t xml:space="preserve"> La UGCA no realizó actividades de promoción de la actividad física con entornos comunitarios.
</t>
    </r>
    <r>
      <rPr>
        <b/>
        <sz val="10"/>
        <rFont val="Calibri"/>
        <family val="2"/>
        <scheme val="minor"/>
      </rPr>
      <t xml:space="preserve">Universidad San Buenaventura: </t>
    </r>
    <r>
      <rPr>
        <sz val="10"/>
        <rFont val="Calibri"/>
        <family val="2"/>
        <scheme val="minor"/>
      </rPr>
      <t xml:space="preserve">En la Universidad De San Buenaventura, 19 de 122 estudiantes, entre de las edades de 28 a 46 años,  practican entre 150 y 75 minutos de actividad física
</t>
    </r>
    <r>
      <rPr>
        <b/>
        <sz val="10"/>
        <rFont val="Calibri"/>
        <family val="2"/>
        <scheme val="minor"/>
      </rPr>
      <t>Universidad Von Humbolt:</t>
    </r>
    <r>
      <rPr>
        <sz val="10"/>
        <rFont val="Calibri"/>
        <family val="2"/>
        <scheme val="minor"/>
      </rPr>
      <t xml:space="preserve"> La Facultad no desarrolla este tipo de actividades. Apoya si las actividades de Bienestar Universitario para nuestra comunidad académica.
</t>
    </r>
    <r>
      <rPr>
        <b/>
        <sz val="10"/>
        <rFont val="Calibri"/>
        <family val="2"/>
        <scheme val="minor"/>
      </rPr>
      <t>Indeportes:</t>
    </r>
    <r>
      <rPr>
        <sz val="10"/>
        <rFont val="Calibri"/>
        <family val="2"/>
        <scheme val="minor"/>
      </rPr>
      <t xml:space="preserve"> 2.310 adultos que  dedican como mínimo 150 minutos semanales a la práctica de actividad física aeróbica, de intensidad moderada, o bien 75 minutos de actividad física aeróbica vigorosa cada semana, o bien una combinación equivalente de actividades moderadas y vigorosas.
</t>
    </r>
  </si>
  <si>
    <r>
      <t xml:space="preserve">Indeportes: </t>
    </r>
    <r>
      <rPr>
        <sz val="10"/>
        <rFont val="Calibri"/>
        <family val="2"/>
        <scheme val="minor"/>
      </rPr>
      <t>11 modalidades de deporte no convencional apoyadas, en el primer , segundo y tercer trimestre 2023 con apoyo técnico y metodológico, y 1 con apoyo para realización de exámenes médicos especializados. (paranatación, paraatletismo, judo visual, boccias, voleibol sentado, tenis en silla de ruedas, fútbol sonoro</t>
    </r>
    <r>
      <rPr>
        <b/>
        <sz val="10"/>
        <rFont val="Calibri"/>
        <family val="2"/>
        <scheme val="minor"/>
      </rPr>
      <t xml:space="preserve">
Alcaldía de La Tebaida: </t>
    </r>
    <r>
      <rPr>
        <sz val="10"/>
        <rFont val="Calibri"/>
        <family val="2"/>
        <scheme val="minor"/>
      </rPr>
      <t>Microfútbol (grupo 01) 21 jóvenes;  Natación 13 jóvenes;  Fútbol 15 jóvenes;  Microfútbol (grupo 02) 24 jóvenes;  Baloncesto 24 jóvenes; Fútbol de mujer 8 jóvenes; Fútbol 12 jóvenes; jóvenes; Nueva modalidad ajedrez 9 jóvenes; Nueva modalidad patinaje 14 jóvenes; Nueva modalidad levantamiento de pesas 07 jóvenes.</t>
    </r>
    <r>
      <rPr>
        <b/>
        <sz val="10"/>
        <rFont val="Calibri"/>
        <family val="2"/>
        <scheme val="minor"/>
      </rPr>
      <t xml:space="preserve">
Alcaldía Buenavista: E</t>
    </r>
    <r>
      <rPr>
        <sz val="10"/>
        <rFont val="Calibri"/>
        <family val="2"/>
        <scheme val="minor"/>
      </rPr>
      <t>l municipio cuenta con un grupo de 10 jóvenes que asisten a campamentos juveniles, el cual es liderado por un contratista de la Gobernación del Quindío.</t>
    </r>
    <r>
      <rPr>
        <b/>
        <sz val="10"/>
        <rFont val="Calibri"/>
        <family val="2"/>
        <scheme val="minor"/>
      </rPr>
      <t xml:space="preserve">
Alcaldía Quimbaya: </t>
    </r>
    <r>
      <rPr>
        <sz val="10"/>
        <rFont val="Calibri"/>
        <family val="2"/>
        <scheme val="minor"/>
      </rPr>
      <t xml:space="preserve">Actualmente se cuenta con escuela formativa de boxeo, tejo y BMX. 
</t>
    </r>
    <r>
      <rPr>
        <b/>
        <sz val="10"/>
        <rFont val="Calibri"/>
        <family val="2"/>
        <scheme val="minor"/>
      </rPr>
      <t xml:space="preserve">Alcaldía Montenegro: </t>
    </r>
    <r>
      <rPr>
        <sz val="10"/>
        <rFont val="Calibri"/>
        <family val="2"/>
        <scheme val="minor"/>
      </rPr>
      <t>4: skatepark, porrismo, gimnasia y hapkido</t>
    </r>
    <r>
      <rPr>
        <b/>
        <sz val="10"/>
        <rFont val="Calibri"/>
        <family val="2"/>
        <scheme val="minor"/>
      </rPr>
      <t xml:space="preserve">
Alcaldia de pijao: </t>
    </r>
    <r>
      <rPr>
        <sz val="10"/>
        <rFont val="Calibri"/>
        <family val="2"/>
        <scheme val="minor"/>
      </rPr>
      <t xml:space="preserve">natacion y patinaje.
</t>
    </r>
    <r>
      <rPr>
        <b/>
        <sz val="10"/>
        <rFont val="Calibri"/>
        <family val="2"/>
        <scheme val="minor"/>
      </rPr>
      <t>Alcaldía de Córdoba:</t>
    </r>
    <r>
      <rPr>
        <sz val="10"/>
        <rFont val="Calibri"/>
        <family val="2"/>
        <scheme val="minor"/>
      </rPr>
      <t xml:space="preserve"> en el municipio de Córdoba Quindío se garantiza el funcionamiento de 6 escuelas de formación como : futbol, fútbol de salón ,ciclismo,  natación, basquetbol y patinaje 
</t>
    </r>
    <r>
      <rPr>
        <b/>
        <sz val="10"/>
        <rFont val="Calibri"/>
        <family val="2"/>
        <scheme val="minor"/>
      </rPr>
      <t>Alcaldía Armenia:</t>
    </r>
    <r>
      <rPr>
        <sz val="10"/>
        <rFont val="Calibri"/>
        <family val="2"/>
        <scheme val="minor"/>
      </rPr>
      <t xml:space="preserve"> Implementos deportivos recreativos y de actividad física para las actividades de deporte social comunitario, actividades recreativas y de actividad física</t>
    </r>
  </si>
  <si>
    <r>
      <rPr>
        <b/>
        <sz val="10"/>
        <rFont val="Calibri"/>
        <family val="2"/>
        <scheme val="minor"/>
      </rPr>
      <t>Observación:</t>
    </r>
    <r>
      <rPr>
        <sz val="10"/>
        <rFont val="Calibri"/>
        <family val="2"/>
        <scheme val="minor"/>
      </rPr>
      <t xml:space="preserve"> Lo que reporta la Secretaría  de Cultura no es insumo para reportar avance del indicador planteado</t>
    </r>
    <r>
      <rPr>
        <b/>
        <sz val="10"/>
        <rFont val="Calibri"/>
        <family val="2"/>
        <scheme val="minor"/>
      </rPr>
      <t xml:space="preserve">
Secretaría de Cultura:</t>
    </r>
    <r>
      <rPr>
        <sz val="10"/>
        <rFont val="Calibri"/>
        <family val="2"/>
        <scheme val="minor"/>
      </rPr>
      <t xml:space="preserve"> Se siguen realizando los  talleres de tejidos en macramé, trapillo, acabado de manillas con jóvenes  del Amparo de niños Juan XXXIII, con asistencia de 29   jóvenes.</t>
    </r>
  </si>
  <si>
    <r>
      <rPr>
        <b/>
        <sz val="10"/>
        <rFont val="Calibri"/>
        <family val="2"/>
        <scheme val="minor"/>
      </rPr>
      <t>Observacion</t>
    </r>
    <r>
      <rPr>
        <sz val="10"/>
        <rFont val="Calibri"/>
        <family val="2"/>
        <scheme val="minor"/>
      </rPr>
      <t xml:space="preserve">: Lo que reporta la Secretaría  de Cultura no es insumo para reportar avance del indicador planteado
</t>
    </r>
    <r>
      <rPr>
        <b/>
        <sz val="10"/>
        <rFont val="Calibri"/>
        <family val="2"/>
        <scheme val="minor"/>
      </rPr>
      <t xml:space="preserve">Secretaría de Cultura: </t>
    </r>
    <r>
      <rPr>
        <sz val="10"/>
        <rFont val="Calibri"/>
        <family val="2"/>
        <scheme val="minor"/>
      </rPr>
      <t xml:space="preserve"> En el marco  del programa de estímulos beca de creación  fueron elegidos 7 jóvenes  ganadores del programa y que han venido desarrollando sus proyectos y se han benefciado en el desarrollo de estos 274 jóvenes.</t>
    </r>
  </si>
  <si>
    <r>
      <rPr>
        <b/>
        <sz val="10"/>
        <rFont val="Calibri"/>
        <family val="2"/>
        <scheme val="minor"/>
      </rPr>
      <t xml:space="preserve"> Observacion:</t>
    </r>
    <r>
      <rPr>
        <sz val="10"/>
        <rFont val="Calibri"/>
        <family val="2"/>
        <scheme val="minor"/>
      </rPr>
      <t xml:space="preserve"> Lo que reporta la Secretaría  de Cultura no es insumo para reportar avance del indicador planteado
</t>
    </r>
    <r>
      <rPr>
        <b/>
        <sz val="10"/>
        <rFont val="Calibri"/>
        <family val="2"/>
        <scheme val="minor"/>
      </rPr>
      <t>Secretaría de Cultura</t>
    </r>
    <r>
      <rPr>
        <sz val="10"/>
        <rFont val="Calibri"/>
        <family val="2"/>
        <scheme val="minor"/>
      </rPr>
      <t xml:space="preserve">: Se vienen ejecutando los proyectos de concertación en donde resultaron ganadores 40 fundaciones y asociaciones, en donde se han benefiaciado de agosto a septiembtre, 636 de esta población en talleres de danza, música, artes visuales y patrimonio. </t>
    </r>
  </si>
  <si>
    <r>
      <rPr>
        <b/>
        <sz val="10"/>
        <rFont val="Calibri"/>
        <family val="2"/>
        <scheme val="minor"/>
      </rPr>
      <t xml:space="preserve">  Observacion:</t>
    </r>
    <r>
      <rPr>
        <sz val="10"/>
        <rFont val="Calibri"/>
        <family val="2"/>
        <scheme val="minor"/>
      </rPr>
      <t xml:space="preserve"> lo que reporta la secretaria de Cultura no es insumo para reportar avance del indicador planteado</t>
    </r>
    <r>
      <rPr>
        <b/>
        <sz val="10"/>
        <rFont val="Calibri"/>
        <family val="2"/>
        <scheme val="minor"/>
      </rPr>
      <t xml:space="preserve">
Secretaría de Cultura:</t>
    </r>
    <r>
      <rPr>
        <sz val="10"/>
        <rFont val="Calibri"/>
        <family val="2"/>
        <scheme val="minor"/>
      </rPr>
      <t xml:space="preserve"> Formación en las diferentes areas como música , teatro, danza,  artes plasticas en los diferentes municipios de Quimbaya, Circasia, Armenia , Salento, Barcelona, contando con la participacion de 161 .</t>
    </r>
  </si>
  <si>
    <r>
      <rPr>
        <b/>
        <sz val="10"/>
        <rFont val="Calibri"/>
        <family val="2"/>
        <scheme val="minor"/>
      </rPr>
      <t>Secretaría de Familia</t>
    </r>
    <r>
      <rPr>
        <sz val="10"/>
        <rFont val="Calibri"/>
        <family val="2"/>
        <scheme val="minor"/>
      </rPr>
      <t xml:space="preserve">: Se actualizó un micro sitio en la página web de la Gobernación orientado a difundir y socializar las actividades realizadas en el marco de la implementación de la Política Pública de Juventud.
</t>
    </r>
  </si>
  <si>
    <r>
      <rPr>
        <b/>
        <sz val="10"/>
        <rFont val="Calibri"/>
        <family val="2"/>
        <scheme val="minor"/>
      </rPr>
      <t>Secretaría de Educación:</t>
    </r>
    <r>
      <rPr>
        <sz val="10"/>
        <rFont val="Calibri"/>
        <family val="2"/>
        <scheme val="minor"/>
      </rPr>
      <t xml:space="preserve"> A la fecha no se han ejecutado actividades para estos indicadores
</t>
    </r>
    <r>
      <rPr>
        <b/>
        <sz val="10"/>
        <rFont val="Calibri"/>
        <family val="2"/>
        <scheme val="minor"/>
      </rPr>
      <t>Universidad del Quindío:</t>
    </r>
    <r>
      <rPr>
        <sz val="10"/>
        <rFont val="Calibri"/>
        <family val="2"/>
        <scheme val="minor"/>
      </rPr>
      <t xml:space="preserve"> Durante el trimestre referenciado, estuvieron en ejecución los siguientes proyectos de investigación, relacionados con dinámicas juveniles: 
Desarrollo, enfoques y retos entre el uso y la apropiación de la interacción tecnología - comunicación - educación en el aula virtual para el aprehender mediático en los programas de CSP de Uniquindío y CSOD de Uniminuto. Análisis del rendimiento académico de los estudiantes de la Universidad del Quindío aplicando técnicas de minería de datos.  Incidencia del camino lector infantil en la formación del adulto - mediador de lectura: un estudio de caso desarrollado con estudiantes de la Licenciatura en Literatura y Lengua Castellana de la Universidad del Quindío Ocio y tiempo libre en la comunidad educativa UNIQUINDIANA.
</t>
    </r>
    <r>
      <rPr>
        <b/>
        <sz val="10"/>
        <rFont val="Calibri"/>
        <family val="2"/>
        <scheme val="minor"/>
      </rPr>
      <t>Secretaría de Familia:</t>
    </r>
    <r>
      <rPr>
        <sz val="10"/>
        <rFont val="Calibri"/>
        <family val="2"/>
        <scheme val="minor"/>
      </rPr>
      <t xml:space="preserve">  Desde la jefatura de juventud no se realizan investigaciones sobre dinámicas juveniles. 
</t>
    </r>
    <r>
      <rPr>
        <b/>
        <sz val="10"/>
        <rFont val="Calibri"/>
        <family val="2"/>
        <scheme val="minor"/>
      </rPr>
      <t>Universidad la Gran Colombia:</t>
    </r>
    <r>
      <rPr>
        <sz val="10"/>
        <rFont val="Calibri"/>
        <family val="2"/>
        <scheme val="minor"/>
      </rPr>
      <t xml:space="preserve"> 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r>
      <rPr>
        <b/>
        <sz val="10"/>
        <rFont val="Calibri"/>
        <family val="2"/>
        <scheme val="minor"/>
      </rPr>
      <t xml:space="preserve">Universidad San Buenaventura: </t>
    </r>
    <r>
      <rPr>
        <sz val="10"/>
        <rFont val="Calibri"/>
        <family val="2"/>
        <scheme val="minor"/>
      </rPr>
      <t xml:space="preserve">La Universidad De San Buenaventura tiene un proyecto que relaciona las tres facultades y su nombre es: Convivir, Incluir y Cohabitar: imaginarios sobre diversidad en las prácticas cotidianas de dos comunidades de educación superior en Armenia (Q.)
</t>
    </r>
    <r>
      <rPr>
        <b/>
        <sz val="10"/>
        <rFont val="Calibri"/>
        <family val="2"/>
        <scheme val="minor"/>
      </rPr>
      <t>Universidad Vom Humbolt:</t>
    </r>
    <r>
      <rPr>
        <sz val="10"/>
        <rFont val="Calibri"/>
        <family val="2"/>
        <scheme val="minor"/>
      </rPr>
      <t xml:space="preserve"> La Facultad de Ciencias Administrativas en este momento no cuenta con investigaciones relacionadas con dinámicas juveniles.
</t>
    </r>
  </si>
  <si>
    <r>
      <t xml:space="preserve">
</t>
    </r>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</si>
  <si>
    <r>
      <rPr>
        <b/>
        <sz val="10"/>
        <rFont val="Calibri"/>
        <family val="2"/>
        <scheme val="minor"/>
      </rPr>
      <t>Secretaría Familia:</t>
    </r>
    <r>
      <rPr>
        <sz val="10"/>
        <rFont val="Calibri"/>
        <family val="2"/>
        <scheme val="minor"/>
      </rPr>
      <t xml:space="preserve"> Reporta que las acciones y actividades derivadas de la implementación de la Política Pública de Juventud, son publicadas a través de redes sociales y páginas institucionales de la Gobernación. Ademas de esto. Los documentos y seguimientos trimestrales realizados a la misma también son publicados para conocimiento de la comunidad en general. 
</t>
    </r>
    <r>
      <rPr>
        <b/>
        <sz val="10"/>
        <rFont val="Calibri"/>
        <family val="2"/>
        <scheme val="minor"/>
      </rPr>
      <t>Secretaría de Planeación:</t>
    </r>
    <r>
      <rPr>
        <sz val="10"/>
        <rFont val="Calibri"/>
        <family val="2"/>
        <scheme val="minor"/>
      </rPr>
      <t xml:space="preserve"> La meta no es competencia de la secretaria de Planeación Departamental, como se determina claramente en el Plan de Acción de la política pública, la responsabilidad es de la secretaria de Familia y los Entes Territoriales Municipales. La competencia de la secretaria de Planeación Departamental, de conformidad a lo establecido en el Manual de Funciones, es el brindar procesos de asistencia técnica en los procesos de formulación, seguimiento y evaluación a demanda de los Entes Territoriales.
</t>
    </r>
  </si>
  <si>
    <r>
      <t>Secretaría de Planeación</t>
    </r>
    <r>
      <rPr>
        <sz val="10"/>
        <rFont val="Calibri"/>
        <family val="2"/>
        <scheme val="minor"/>
      </rPr>
      <t>: La Secretaria de Planeación coordinó  durante el primer y segundo trimestre  acciones a través de Comité de Aprestamiento, la Rendición Pública de Cuentas de la Administración Departamental vigencia 2022, que se llevó a cabo el día 21 de junio de 2023  ,   en cumplimiento de las  metas del  Plan de Desarrollo 2020-2023 , por medio de las diferentes líneas estratégicas ( Inclusión Social y Equidad, Productividad y Competitividad, Territorio, Ambiente y Desarrollo Sostenible y Liderazgo Gobernabilidad y Transparencia) , en la cual se encuentran descritos logros de la política Pública  de juventud.
Además, se ha dado continuación a la recolección de información para el proceso de Rendición Publica de Cuenta vigencia 2023 de conformidad con la Ordenanza Nro. 010 del 24 de julio de 2019, "Por medio de la cual se subroga la Ordenanza 044 de 2009 “Por medio de la cual establece el procedimiento para la R</t>
    </r>
  </si>
  <si>
    <r>
      <rPr>
        <b/>
        <sz val="10"/>
        <rFont val="Calibri"/>
        <family val="2"/>
        <scheme val="minor"/>
      </rPr>
      <t>Secretaría de Familia:</t>
    </r>
    <r>
      <rPr>
        <sz val="10"/>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
</t>
    </r>
    <r>
      <rPr>
        <b/>
        <sz val="10"/>
        <rFont val="Calibri"/>
        <family val="2"/>
        <scheme val="minor"/>
      </rPr>
      <t>Alcaldia Calarca:</t>
    </r>
    <r>
      <rPr>
        <sz val="10"/>
        <rFont val="Calibri"/>
        <family val="2"/>
        <scheme val="minor"/>
      </rPr>
      <t xml:space="preserve"> el consejo  municipal de juventudes actualmente se encuentra funcionando con 6 consejeros activos los cuales sesionan cada 1 vez al mes.
</t>
    </r>
    <r>
      <rPr>
        <b/>
        <sz val="10"/>
        <rFont val="Calibri"/>
        <family val="2"/>
        <scheme val="minor"/>
      </rPr>
      <t>Alcaldía Tebaida:</t>
    </r>
    <r>
      <rPr>
        <sz val="10"/>
        <rFont val="Calibri"/>
        <family val="2"/>
        <scheme val="minor"/>
      </rPr>
      <t xml:space="preserve"> Consejo de Juventud en funcionamiento,1. El 17 de mayo se realizó entrega de implementación de papelería al consejo de juventud en virtud de que puedan desarrollar sus actividades. 2. El día 06 de junio se llevó a cabo mesa de trabajo con el consejo de juventud y el delegado regional para el eje cafetero. Se discutieron temas de las sesiones del consejo, el reglamento interno y las vacantes del consejo. </t>
    </r>
    <r>
      <rPr>
        <b/>
        <sz val="10"/>
        <rFont val="Calibri"/>
        <family val="2"/>
        <scheme val="minor"/>
      </rPr>
      <t xml:space="preserve">
Alcaldía Buenavista: </t>
    </r>
    <r>
      <rPr>
        <sz val="10"/>
        <rFont val="Calibri"/>
        <family val="2"/>
        <scheme val="minor"/>
      </rPr>
      <t>Se cuenta con un consejo de juventud funcionando y se posesionó por medio del decreto 007 del 11 enero del 2022.</t>
    </r>
    <r>
      <rPr>
        <b/>
        <sz val="10"/>
        <rFont val="Calibri"/>
        <family val="2"/>
        <scheme val="minor"/>
      </rPr>
      <t xml:space="preserve"> 
Alcaldía Córdoba. </t>
    </r>
    <r>
      <rPr>
        <sz val="10"/>
        <rFont val="Calibri"/>
        <family val="2"/>
        <scheme val="minor"/>
      </rPr>
      <t xml:space="preserve">En el Municipio de Córdoba Quindío contamos con el apoyo de Valeria Zuluaga Gómez quien es el apoyo a consejo juvenil de Córdoba Quindío 
</t>
    </r>
    <r>
      <rPr>
        <b/>
        <sz val="10"/>
        <rFont val="Calibri"/>
        <family val="2"/>
        <scheme val="minor"/>
      </rPr>
      <t>Alcaldía Montenegro: E</t>
    </r>
    <r>
      <rPr>
        <sz val="10"/>
        <rFont val="Calibri"/>
        <family val="2"/>
        <scheme val="minor"/>
      </rPr>
      <t xml:space="preserve">n el momento tenemos un consejo de juventud, con 04 consejeros en donde al momento no se encuentran operando de una manera activa
</t>
    </r>
    <r>
      <rPr>
        <b/>
        <sz val="10"/>
        <rFont val="Calibri"/>
        <family val="2"/>
        <scheme val="minor"/>
      </rPr>
      <t>Alcaldía Quimbaya:</t>
    </r>
    <r>
      <rPr>
        <sz val="10"/>
        <rFont val="Calibri"/>
        <family val="2"/>
        <scheme val="minor"/>
      </rPr>
      <t xml:space="preserve"> El CMJ se encuentra operando de manera autónoma.
</t>
    </r>
    <r>
      <rPr>
        <b/>
        <sz val="10"/>
        <rFont val="Calibri"/>
        <family val="2"/>
        <scheme val="minor"/>
      </rPr>
      <t>Alcaldía de Pijao:</t>
    </r>
    <r>
      <rPr>
        <sz val="10"/>
        <rFont val="Calibri"/>
        <family val="2"/>
        <scheme val="minor"/>
      </rPr>
      <t xml:space="preserve"> 1 Consejo de Juvetud funcionando. 
</t>
    </r>
    <r>
      <rPr>
        <b/>
        <sz val="10"/>
        <rFont val="Calibri"/>
        <family val="2"/>
        <scheme val="minor"/>
      </rPr>
      <t xml:space="preserve">Alcaldia Armenia: </t>
    </r>
    <r>
      <rPr>
        <sz val="10"/>
        <rFont val="Calibri"/>
        <family val="2"/>
        <scheme val="minor"/>
      </rPr>
      <t xml:space="preserve">1 Consejo Municipal de Juventud el cual se posesionó el día 17 de enero de 2022 resolución 11 de posesión de 2022 19 consejeros.
</t>
    </r>
    <r>
      <rPr>
        <b/>
        <sz val="10"/>
        <rFont val="Calibri"/>
        <family val="2"/>
        <scheme val="minor"/>
      </rPr>
      <t>Alcaldía de Filandia:</t>
    </r>
    <r>
      <rPr>
        <sz val="10"/>
        <rFont val="Calibri"/>
        <family val="2"/>
        <scheme val="minor"/>
      </rPr>
      <t xml:space="preserve"> 1 Consejo de Juventud vigente.</t>
    </r>
  </si>
  <si>
    <r>
      <rPr>
        <b/>
        <sz val="10"/>
        <rFont val="Calibri"/>
        <family val="2"/>
        <scheme val="minor"/>
      </rPr>
      <t xml:space="preserve">
Secretaría de Familia: </t>
    </r>
    <r>
      <rPr>
        <sz val="10"/>
        <rFont val="Calibri"/>
        <family val="2"/>
        <scheme val="minor"/>
      </rPr>
      <t>Reporta que los doce municipios del departamento del Quindío,  tienen Plataforma de Juventud registradas ante personería municipal y funcionando. Además de esto, también se cuenta con Plataforma Departamental de Juventud, la cual está en proceso de actualización.</t>
    </r>
    <r>
      <rPr>
        <b/>
        <sz val="10"/>
        <rFont val="Calibri"/>
        <family val="2"/>
        <scheme val="minor"/>
      </rPr>
      <t xml:space="preserve">
Alcaldía Córdoba: </t>
    </r>
    <r>
      <rPr>
        <sz val="10"/>
        <rFont val="Calibri"/>
        <family val="2"/>
        <scheme val="minor"/>
      </rPr>
      <t xml:space="preserve">En el Municipio de Córdoba se cuenta con la plataforma municipal de juventud mediante acta de la personería municipal, realizó sesión extraordinaria para la implementación de la ruta de estímulos y reformas al estatuto de ciudadanía juvenil, con el fin de crear la propuesta de la lista de estímulos y reforma al estatuto de ciudadanía juvenil según los lineamientos del orden nacional en la guía en la Ruta de Estímulos y Reforma al Estatuto de Ciudadanía juvenil.
</t>
    </r>
    <r>
      <rPr>
        <b/>
        <sz val="10"/>
        <rFont val="Calibri"/>
        <family val="2"/>
        <scheme val="minor"/>
      </rPr>
      <t>Alcaldía Filandia:</t>
    </r>
    <r>
      <rPr>
        <sz val="10"/>
        <rFont val="Calibri"/>
        <family val="2"/>
        <scheme val="minor"/>
      </rPr>
      <t xml:space="preserve"> 1 en actualización de la línea base.
</t>
    </r>
    <r>
      <rPr>
        <b/>
        <sz val="10"/>
        <rFont val="Calibri"/>
        <family val="2"/>
        <scheme val="minor"/>
      </rPr>
      <t>Alcaldía Buenavista:</t>
    </r>
    <r>
      <rPr>
        <sz val="10"/>
        <rFont val="Calibri"/>
        <family val="2"/>
        <scheme val="minor"/>
      </rPr>
      <t xml:space="preserve"> Se realizó la actualización de la plataforma de juventud en el mes de Abril.
</t>
    </r>
    <r>
      <rPr>
        <b/>
        <sz val="10"/>
        <rFont val="Calibri"/>
        <family val="2"/>
        <scheme val="minor"/>
      </rPr>
      <t xml:space="preserve">Alcaldía Quimbaya: </t>
    </r>
    <r>
      <rPr>
        <sz val="10"/>
        <rFont val="Calibri"/>
        <family val="2"/>
        <scheme val="minor"/>
      </rPr>
      <t xml:space="preserve">La Plataforma Municipal se encuentra funcionando normalmente. 
</t>
    </r>
    <r>
      <rPr>
        <b/>
        <sz val="10"/>
        <rFont val="Calibri"/>
        <family val="2"/>
        <scheme val="minor"/>
      </rPr>
      <t>Alcaldía Montenegro:</t>
    </r>
    <r>
      <rPr>
        <sz val="10"/>
        <rFont val="Calibri"/>
        <family val="2"/>
        <scheme val="minor"/>
      </rPr>
      <t xml:space="preserve"> En el momento contamos con una plataforma activa y funcionando de una manera precisa.</t>
    </r>
    <r>
      <rPr>
        <b/>
        <sz val="10"/>
        <rFont val="Calibri"/>
        <family val="2"/>
        <scheme val="minor"/>
      </rPr>
      <t xml:space="preserve">
Alcaldía La Tebaida:</t>
    </r>
    <r>
      <rPr>
        <sz val="10"/>
        <rFont val="Calibri"/>
        <family val="2"/>
        <scheme val="minor"/>
      </rPr>
      <t xml:space="preserve"> Plataforma de Juventud en funcionamiento,  01. El 17 de mayo se les prestó el espacio del Teatro municipal a miembros de la Plataforma de juventud para realizar un video con el fin de participar en un concurso de arte frente al ministerio de cultura. 
02. El día 23 de mayo se acompañó a los delegados de la Plataforma Municipal a la Plataforma Departamental en donde sesionaron por primera vez y eligieron a los miembros de la comisión de concertación y a los representantes nacionales. 
03. El 17 de junio la Plataforma Municipal  desarrolló en la casa de la cultura un encuentro juvenil de break dance en el cual se tuvo la asistencia de 120 personas. 
</t>
    </r>
    <r>
      <rPr>
        <b/>
        <sz val="10"/>
        <rFont val="Calibri"/>
        <family val="2"/>
        <scheme val="minor"/>
      </rPr>
      <t>Alcaldía de Pijao</t>
    </r>
    <r>
      <rPr>
        <sz val="10"/>
        <rFont val="Calibri"/>
        <family val="2"/>
        <scheme val="minor"/>
      </rPr>
      <t xml:space="preserve">: 1 Consejo de Juventud funcionando.
</t>
    </r>
    <r>
      <rPr>
        <b/>
        <sz val="10"/>
        <rFont val="Calibri"/>
        <family val="2"/>
        <scheme val="minor"/>
      </rPr>
      <t>Alcaldia Armenia:</t>
    </r>
    <r>
      <rPr>
        <sz val="10"/>
        <rFont val="Calibri"/>
        <family val="2"/>
        <scheme val="minor"/>
      </rPr>
      <t xml:space="preserve"> 1 plataforma confrormada bajo resolución expedida por la personería municipal, integrada por 12 organizaciones juveniles. 
</t>
    </r>
  </si>
  <si>
    <r>
      <t xml:space="preserve">Secretaría de Familia: </t>
    </r>
    <r>
      <rPr>
        <sz val="10"/>
        <rFont val="Calibri"/>
        <family val="2"/>
        <scheme val="minor"/>
      </rPr>
      <t xml:space="preserve">Reporta que los doce municipios del Quindío, han realizado las asambleas juveniles, conforme al estatuto de ciudadanía juvenil. Además se realizaron dos  asambleas de juventud  departamentales de juventud en el recinto de la asamblea departamental en el mes de marzo y diciembre de 2023. 
</t>
    </r>
    <r>
      <rPr>
        <b/>
        <sz val="10"/>
        <rFont val="Calibri"/>
        <family val="2"/>
        <scheme val="minor"/>
      </rPr>
      <t>Alcaldía Tebaida:</t>
    </r>
    <r>
      <rPr>
        <sz val="10"/>
        <rFont val="Calibri"/>
        <family val="2"/>
        <scheme val="minor"/>
      </rPr>
      <t xml:space="preserve"> en este trimestre no se llevó a cabo asamblea de juventud.</t>
    </r>
    <r>
      <rPr>
        <b/>
        <sz val="10"/>
        <rFont val="Calibri"/>
        <family val="2"/>
        <scheme val="minor"/>
      </rPr>
      <t xml:space="preserve">
Alcaldía de Buenavista: </t>
    </r>
    <r>
      <rPr>
        <sz val="10"/>
        <rFont val="Calibri"/>
        <family val="2"/>
        <scheme val="minor"/>
      </rPr>
      <t>Se realizó asamblea de juventud en el mes de junio.</t>
    </r>
    <r>
      <rPr>
        <b/>
        <sz val="10"/>
        <rFont val="Calibri"/>
        <family val="2"/>
        <scheme val="minor"/>
      </rPr>
      <t xml:space="preserve">
Alcaldía de Salento: </t>
    </r>
    <r>
      <rPr>
        <sz val="10"/>
        <rFont val="Calibri"/>
        <family val="2"/>
        <scheme val="minor"/>
      </rPr>
      <t xml:space="preserve">Hasta la fecha se ha realizado una Asamblea Municipal de Juventud, el día 8 de Febrero.
</t>
    </r>
    <r>
      <rPr>
        <b/>
        <sz val="10"/>
        <rFont val="Calibri"/>
        <family val="2"/>
        <scheme val="minor"/>
      </rPr>
      <t>Alcaldia Calarca:</t>
    </r>
    <r>
      <rPr>
        <sz val="10"/>
        <rFont val="Calibri"/>
        <family val="2"/>
        <scheme val="minor"/>
      </rPr>
      <t xml:space="preserve"> se realizó 1 Asamblea de juventudes el 8 de junio del año 2023</t>
    </r>
    <r>
      <rPr>
        <b/>
        <sz val="10"/>
        <rFont val="Calibri"/>
        <family val="2"/>
        <scheme val="minor"/>
      </rPr>
      <t xml:space="preserve">
Alcaldía Quimbaya: </t>
    </r>
    <r>
      <rPr>
        <sz val="10"/>
        <rFont val="Calibri"/>
        <family val="2"/>
        <scheme val="minor"/>
      </rPr>
      <t xml:space="preserve">Se realizó la asamblea municipal de juventud con participación de diferentes sectores juveniles.  </t>
    </r>
    <r>
      <rPr>
        <b/>
        <sz val="10"/>
        <rFont val="Calibri"/>
        <family val="2"/>
        <scheme val="minor"/>
      </rPr>
      <t xml:space="preserve">
Alcaldía Montenegro: </t>
    </r>
    <r>
      <rPr>
        <sz val="10"/>
        <rFont val="Calibri"/>
        <family val="2"/>
        <scheme val="minor"/>
      </rPr>
      <t>Se ha realizado una asamblea de juventud con el fin de socializar el seguimiento a la política pública y las actividades de la semana de la juventud.</t>
    </r>
    <r>
      <rPr>
        <b/>
        <sz val="10"/>
        <rFont val="Calibri"/>
        <family val="2"/>
        <scheme val="minor"/>
      </rPr>
      <t xml:space="preserve">
Alcaldía de Pijao: </t>
    </r>
    <r>
      <rPr>
        <sz val="10"/>
        <rFont val="Calibri"/>
        <family val="2"/>
        <scheme val="minor"/>
      </rPr>
      <t xml:space="preserve">No se han realizado Asambleas de Juventud en este periodo.
</t>
    </r>
    <r>
      <rPr>
        <b/>
        <sz val="10"/>
        <rFont val="Calibri"/>
        <family val="2"/>
        <scheme val="minor"/>
      </rPr>
      <t xml:space="preserve">Alcaldia Armenia: </t>
    </r>
    <r>
      <rPr>
        <sz val="10"/>
        <rFont val="Calibri"/>
        <family val="2"/>
        <scheme val="minor"/>
      </rPr>
      <t xml:space="preserve">1 asamblea juvenil realizada el 18 de febrero de 2023. </t>
    </r>
  </si>
  <si>
    <r>
      <t xml:space="preserve">
Secretaría de Turismo Industria y Comercio: </t>
    </r>
    <r>
      <rPr>
        <sz val="10"/>
        <rFont val="Calibri"/>
        <family val="2"/>
        <scheme val="minor"/>
      </rPr>
      <t xml:space="preserve"> Se llevó a cabo el  Comité de Red Departamental de Emprendimiento,  pero pese a que hubo convocatoria a todas la entidades que tienen asciento en esta instancia, entre ellas un representante de los jovenes, los mismos no asistieron.</t>
    </r>
  </si>
  <si>
    <r>
      <rPr>
        <b/>
        <sz val="10"/>
        <rFont val="Calibri"/>
        <family val="2"/>
        <scheme val="minor"/>
      </rPr>
      <t>Secretaría de Familia:</t>
    </r>
    <r>
      <rPr>
        <sz val="10"/>
        <rFont val="Calibri"/>
        <family val="2"/>
        <scheme val="minor"/>
      </rPr>
      <t xml:space="preserve"> Reporta que en los municipios de Buenavista, Génova, Quimbaya, Circasia, Montenegro, Filandia y Córdoba no cuentan con Casa de la Juventud.</t>
    </r>
    <r>
      <rPr>
        <b/>
        <sz val="10"/>
        <rFont val="Calibri"/>
        <family val="2"/>
        <scheme val="minor"/>
      </rPr>
      <t xml:space="preserve">
Alcaldía de Salento</t>
    </r>
    <r>
      <rPr>
        <sz val="10"/>
        <rFont val="Calibri"/>
        <family val="2"/>
        <scheme val="minor"/>
      </rPr>
      <t xml:space="preserve">: Casa de la Juventud en funcionamiento, activa la oficina para el CMJ y Plataforma
</t>
    </r>
    <r>
      <rPr>
        <b/>
        <sz val="10"/>
        <rFont val="Calibri"/>
        <family val="2"/>
        <scheme val="minor"/>
      </rPr>
      <t xml:space="preserve">Alcaldía de Buenavista: </t>
    </r>
    <r>
      <rPr>
        <sz val="10"/>
        <rFont val="Calibri"/>
        <family val="2"/>
        <scheme val="minor"/>
      </rPr>
      <t xml:space="preserve">Se cuenta con una casa de juventud pero no esta funcionando.
</t>
    </r>
    <r>
      <rPr>
        <b/>
        <sz val="10"/>
        <rFont val="Calibri"/>
        <family val="2"/>
        <scheme val="minor"/>
      </rPr>
      <t xml:space="preserve">Alcaldía de Génova: </t>
    </r>
    <r>
      <rPr>
        <sz val="10"/>
        <rFont val="Calibri"/>
        <family val="2"/>
        <scheme val="minor"/>
      </rPr>
      <t xml:space="preserve">No se cuenta con casa de la juventud en el municipio.
</t>
    </r>
    <r>
      <rPr>
        <b/>
        <sz val="10"/>
        <rFont val="Calibri"/>
        <family val="2"/>
        <scheme val="minor"/>
      </rPr>
      <t>Alcaldía Quimbaya:</t>
    </r>
    <r>
      <rPr>
        <sz val="10"/>
        <rFont val="Calibri"/>
        <family val="2"/>
        <scheme val="minor"/>
      </rPr>
      <t xml:space="preserve"> En el municipio de Quimbaya no existe casa de la juventud.
</t>
    </r>
    <r>
      <rPr>
        <b/>
        <sz val="10"/>
        <rFont val="Calibri"/>
        <family val="2"/>
        <scheme val="minor"/>
      </rPr>
      <t xml:space="preserve">Alcaldía de Tebaida: </t>
    </r>
    <r>
      <rPr>
        <sz val="10"/>
        <rFont val="Calibri"/>
        <family val="2"/>
        <scheme val="minor"/>
      </rPr>
      <t xml:space="preserve">Cuenta con una casa de la juventud la cual se encuentra en funcionamiento.
</t>
    </r>
    <r>
      <rPr>
        <b/>
        <sz val="10"/>
        <rFont val="Calibri"/>
        <family val="2"/>
        <scheme val="minor"/>
      </rPr>
      <t>Alcaldía Circasia:</t>
    </r>
    <r>
      <rPr>
        <sz val="10"/>
        <rFont val="Calibri"/>
        <family val="2"/>
        <scheme val="minor"/>
      </rPr>
      <t xml:space="preserve"> No cuenta con casa de la juventud.
</t>
    </r>
    <r>
      <rPr>
        <b/>
        <sz val="10"/>
        <rFont val="Calibri"/>
        <family val="2"/>
        <scheme val="minor"/>
      </rPr>
      <t>Alcaldía de Armenia</t>
    </r>
    <r>
      <rPr>
        <sz val="10"/>
        <rFont val="Calibri"/>
        <family val="2"/>
        <scheme val="minor"/>
      </rPr>
      <t xml:space="preserve">: 1 casa de la juventud funcionando en el barrio 7 de agosto con la estrategia "parche pa todos" 
</t>
    </r>
    <r>
      <rPr>
        <b/>
        <sz val="10"/>
        <rFont val="Calibri"/>
        <family val="2"/>
        <scheme val="minor"/>
      </rPr>
      <t xml:space="preserve">Alcaldía Montenegro: </t>
    </r>
    <r>
      <rPr>
        <sz val="10"/>
        <rFont val="Calibri"/>
        <family val="2"/>
        <scheme val="minor"/>
      </rPr>
      <t xml:space="preserve">al momento contamos con un espacio físico, sin embargo no está dotado de elementos tecnológicos ni logísticos para su operatividad.
</t>
    </r>
    <r>
      <rPr>
        <b/>
        <sz val="10"/>
        <rFont val="Calibri"/>
        <family val="2"/>
        <scheme val="minor"/>
      </rPr>
      <t>Alcaldía de Filandia:</t>
    </r>
    <r>
      <rPr>
        <sz val="10"/>
        <rFont val="Calibri"/>
        <family val="2"/>
        <scheme val="minor"/>
      </rPr>
      <t xml:space="preserve"> El municipio de Filandia cuenta con la casa de la cultura, la cual maneja diversos grupos infantiles y juveniles. </t>
    </r>
    <r>
      <rPr>
        <b/>
        <sz val="10"/>
        <rFont val="Calibri"/>
        <family val="2"/>
        <scheme val="minor"/>
      </rPr>
      <t xml:space="preserve">
Alcaldía Pijao:</t>
    </r>
    <r>
      <rPr>
        <sz val="10"/>
        <rFont val="Calibri"/>
        <family val="2"/>
        <scheme val="minor"/>
      </rPr>
      <t xml:space="preserve"> 1 casa de la juventud funcionando.
 </t>
    </r>
    <r>
      <rPr>
        <b/>
        <sz val="10"/>
        <rFont val="Calibri"/>
        <family val="2"/>
        <scheme val="minor"/>
      </rPr>
      <t xml:space="preserve">Alcaldía de Córdoba: </t>
    </r>
    <r>
      <rPr>
        <sz val="10"/>
        <rFont val="Calibri"/>
        <family val="2"/>
        <scheme val="minor"/>
      </rPr>
      <t xml:space="preserve"> no se cuenta con casa de la Juventud municipal, sin embargo se habilitaron las instalaciones de la casa de la cultura y el Honorable Concejo Municipal para la realización de las reuniones juveniles y siempre que se ha solicitado un espacio para sus actividades se busca el mas idóneo  para el desarrollo de las mismas. 
</t>
    </r>
  </si>
  <si>
    <r>
      <rPr>
        <b/>
        <sz val="10"/>
        <rFont val="Calibri"/>
        <family val="2"/>
        <scheme val="minor"/>
      </rPr>
      <t xml:space="preserve">Secretaría de familia: </t>
    </r>
    <r>
      <rPr>
        <sz val="10"/>
        <rFont val="Calibri"/>
        <family val="2"/>
        <scheme val="minor"/>
      </rPr>
      <t xml:space="preserve">La información reportada por los actores responsables no es la adecuada para medir el indicador en porcentaje.
</t>
    </r>
    <r>
      <rPr>
        <b/>
        <sz val="10"/>
        <rFont val="Calibri"/>
        <family val="2"/>
        <scheme val="minor"/>
      </rPr>
      <t xml:space="preserve">Universidad Alexander Von Humbolt: </t>
    </r>
    <r>
      <rPr>
        <sz val="10"/>
        <rFont val="Calibri"/>
        <family val="2"/>
        <scheme val="minor"/>
      </rPr>
      <t xml:space="preserve">Actualmente la Facultad de Ciencias Administrativas no desarrolla acción alguna sobre emprendimientos rurales, pero a través de un Convenio con el SENA se estará acompañando a la entidad proximamente. Por otra parte la facultad es asesora técnica del proyecto llamado "Estrategia digital integral e innovadora de turismo rural para emprendedores rurales de la cordillera del Quindío". Se intervendrán dieciséis emprendedores rurales.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Universidad del Quindío: </t>
    </r>
    <r>
      <rPr>
        <sz val="10"/>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rFont val="Calibri"/>
        <family val="2"/>
        <scheme val="minor"/>
      </rPr>
      <t>Universidad La Gran Colombia:</t>
    </r>
    <r>
      <rPr>
        <sz val="10"/>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agropecuario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rFont val="Calibri"/>
        <family val="2"/>
        <scheme val="minor"/>
      </rPr>
      <t xml:space="preserve">Secretaría de Turismo Industria y Comercio: </t>
    </r>
    <r>
      <rPr>
        <sz val="10"/>
        <rFont val="Calibri"/>
        <family val="2"/>
        <scheme val="minor"/>
      </rPr>
      <t>Para la promoción de emprendimiento de jóvenes de origen rural o étnico, se realizaron las siguientes acciones: 
Se realizaron  acercamiento con el gobernador de la comunidad Embera Chamí y el representante de la comunidad AFRO Consejo comunitario del municipio de Córdoba Quindío identificando lo siguiente:
 El dìa 12 de septirmbre del 2023, se establece comunicaciòn telèfònica con el lìder del Consejo comunitario la primavera, comnunidad afro, En la llamada telefónica, se buscaba obtener información relacionada con: 
1.        Población general: 
2.        Jóvenes entre 18 a 28 años: 
3.        Mujeres: 
4.        Hombres: 
5.        Población en situación de discapacidad: 
6.        Madres cabeza de hogar: 
7.        Emprendimientos identificados: 
8.        Emprendimientos requeridos: 
9.        Situación problema de la comunidad afro: 
2. El dìa 27 de septiembre del 2023 de manera reiterativa le solicited al señor JAIME MARIN programar la posible fecha y hora de vista a la comunidad que el representa.
3. El dìa 27 de septiembre del 2023, vìa llamada telefònica y WhatsApp tratè de establecer comunicaciòn con el Gobernador de la comunida Embera Chamì, pero fue dificil. Se espara que en el IV trimestre de la vigencia en curso se establezca algùn tipo de comuniciòn con el representante mencionad</t>
    </r>
    <r>
      <rPr>
        <b/>
        <sz val="10"/>
        <rFont val="Calibri"/>
        <family val="2"/>
        <scheme val="minor"/>
      </rPr>
      <t>o. 
Secretaría de Agricultura:</t>
    </r>
    <r>
      <rPr>
        <sz val="10"/>
        <rFont val="Calibri"/>
        <family val="2"/>
        <scheme val="minor"/>
      </rPr>
      <t xml:space="preserve"> se están apoyando 75  productores agropecuarios en  los municipios de: ARMENIA, BUENAVISTA, CALARCA, CORDOBA, CIRCASIA, FILANDIA,  GENOVA, MONTENEGRO, LA TEBAIDA,  PIJAO, QUIMBAYA Y SALENTO , con el desarrollo de las siguientes  acciones: Apoyo técnico para el fomento organizativo de la Agricultura campesina, familiar y comunitaria y actividades de promoción y difusión la cartilla de seguridad alimentaria  
</t>
    </r>
    <r>
      <rPr>
        <b/>
        <sz val="10"/>
        <rFont val="Calibri"/>
        <family val="2"/>
        <scheme val="minor"/>
      </rPr>
      <t xml:space="preserve">Secretaría de Educación: </t>
    </r>
    <r>
      <rPr>
        <sz val="10"/>
        <rFont val="Calibri"/>
        <family val="2"/>
        <scheme val="minor"/>
      </rPr>
      <t xml:space="preserve">Ejecución de etapa productiva de programas técnicos articulados con el SENA, a través del desarrollo de proyectos productivos mediante ruta del emprendimiento.
</t>
    </r>
  </si>
  <si>
    <r>
      <rPr>
        <b/>
        <sz val="10"/>
        <rFont val="Calibri"/>
        <family val="2"/>
        <scheme val="minor"/>
      </rPr>
      <t xml:space="preserve">Observación: </t>
    </r>
    <r>
      <rPr>
        <sz val="10"/>
        <rFont val="Calibri"/>
        <family val="2"/>
        <scheme val="minor"/>
      </rPr>
      <t>No se encuentra definida la tasa nacional</t>
    </r>
    <r>
      <rPr>
        <b/>
        <sz val="10"/>
        <rFont val="Calibri"/>
        <family val="2"/>
        <scheme val="minor"/>
      </rPr>
      <t xml:space="preserve">
Secretaría del Interior: </t>
    </r>
    <r>
      <rPr>
        <sz val="10"/>
        <rFont val="Calibri"/>
        <family val="2"/>
        <scheme val="minor"/>
      </rPr>
      <t xml:space="preserve">La tasa actual es de  682 por cada 100 mil  jovenes según informe de página JUACO, 2019
</t>
    </r>
    <r>
      <rPr>
        <b/>
        <sz val="10"/>
        <rFont val="Calibri"/>
        <family val="2"/>
        <scheme val="minor"/>
      </rPr>
      <t xml:space="preserve">Comisaria de Familia Buenavista: </t>
    </r>
    <r>
      <rPr>
        <sz val="10"/>
        <rFont val="Calibri"/>
        <family val="2"/>
        <scheme val="minor"/>
      </rPr>
      <t>Se garantizó la operatividad de la mesa de participación de NNA en el municipio de Buenavista Q.        Desde la comisaria de familia se realizan acciones de promoción y prevención por medio de talleres en las instituciones educativas incluidas las sedes rurales, donde se benefician Niños, Niñas Adolescentes y Jóvenes.  en el mes de abril, mayo y junio se realizaron talleres en la institución educativa Rio verde bajo, en la sede los sauces, Sardineros, Paraguay y placer, en  Prevención de violencia en el entorno escolar  e Inteligencia emocional, hábitos y estilos de vida saludables  se realizaron  4 campañas:  "vacúnate contra la violencia " ,   se realizó campaña en articulación con secretaria del interior, ICBF, defensoría del pueblo, donde se socializaron las  funciones de la comisaria de comisaria de familia, derechos y deberes en la institución educativa instituto Buenavista ,  prevención de consumo de  SPA en articulación con la policía nacional,  prevención  para la erradicación del  trabajo infantil  se realizaron  talleres en comunidad indígena de la vereda los sauces  sobre  importancia de la familia en la garantía de derechos y sexualidad.  se realizaron escuelas de familia con el fin de fortalecer las habilidades, salud mental, conocimiento en derechos y deberes de las familias buenavisteñas.</t>
    </r>
    <r>
      <rPr>
        <b/>
        <sz val="10"/>
        <rFont val="Calibri"/>
        <family val="2"/>
        <scheme val="minor"/>
      </rPr>
      <t xml:space="preserve">
Comisaría de Familia La Tebaida: </t>
    </r>
    <r>
      <rPr>
        <sz val="10"/>
        <rFont val="Calibri"/>
        <family val="2"/>
        <scheme val="minor"/>
      </rPr>
      <t xml:space="preserve">16 AGOSTO DEL 2023 Se presenta campaña de prevención del Bullying TE RETO A DECIR NO, mediante video interactivo previendo estrategias para la resolución de conflictos y prevención de la salud mental, dicha campaña es presentada a estudiantes de diferentes grados de la Institución Educativa Gabriela Mistral.               17 AGOSTO DEL 2023 Se realiza acompañamiento en hogar infantil FUDESOPAC a padres de familia sobre fortalecimiento en pautas de crianza, manejo de la comunicación y prevención de la violencia en el contexto familiar.        11 SEPTIEMBRE DEL 2023 Capacitación a beneficiarios de Familias en Acción y Renta ciudadana sobre resolución de conflictos, ruta de atención en casos de violencia y presentación de oferta institucional.                                     15 SEPTIEMBRE 2023 Se realizo jornada Institucional mediante oferta de servicios en la Institución Educativa la Popa, se contó con el acompañamiento de Policía de Infancia y Adolescencia, enlace de salud mental, enlace de Infancia y Adolescencia y Secretaria de Educación de la Gobernación del Quindío. Por parte del equipo psicosocial se presentaron diferentes campañas de prevención en temas de consumo de SPA, violencia, Bullying y salud mental; dirigidas a estudiantes y docentes.                                         20 DE SEPTIEMBRE DEL 2023 Se presenta campaña de prevención de embarazo a temprana edad y derechos sexuales y reproductivos dirigida a estudiantes de la Institución Educativa Instituto Tebaida, así mismo se presenta oferta de servicios a los Niños, Niñas y Adolescentes de la Institución.
Comisaría de Familia Córdoba: Desde la Administración Municipal, se cuenta un comité de Convivencia Escolar el cual tiene un plan de acción encaminado en acciones en pro de la convivencia escolar, donde se realiza seguimiento trimestral, sin embargo, cabe precisar que no se cuenta con una asignación de un recurso especifico; frente al fortalecimiento del programa de Convivencia Ciudadana se cuenta con un plan de seguridad y convivencia en fase de implementación y seguimiento del mismo modo no se encuentra asignación del recurso especifico teniendo en cuenta que el recurso destinado hace parte de cada una de las metas del plan de desarrollo armonizadas para la ejecución de este, así como en la asignación contractual del líder del proceso.  
</t>
    </r>
    <r>
      <rPr>
        <b/>
        <sz val="10"/>
        <rFont val="Calibri"/>
        <family val="2"/>
        <scheme val="minor"/>
      </rPr>
      <t>Comisaría de Familia Córdoba:</t>
    </r>
    <r>
      <rPr>
        <sz val="10"/>
        <rFont val="Calibri"/>
        <family val="2"/>
        <scheme val="minor"/>
      </rPr>
      <t xml:space="preserve"> Desde la Administración Municipal, se cuenta un comité de Convivencia Escolar el cual tiene un plan de acción encaminado en acciones en pro de la convivencia escolar, donde se realiza seguimiento trimestral donde ha la fecha se han realizado las cuatro sesiones y se dio cumplimiento al 100 % de las acciones planteadas en el plan de accion, sin embargo, cabe precisar que no se cuenta con una asignación de un recurso especifico; frente al fortalecimiento del programa de Convivencia Ciudadana se cuenta con un plan de seguridad y convivencia en fase de implementación y seguimiento del mismo modo no se encuentra asignación del recurso especifico teniendo en cuenta que el recurso destinado hace parte de cada una de las metas del plan de desarrollo armonizadas para la ejecución de este, así como en la asignación contractual del líder del proceso. 
</t>
    </r>
    <r>
      <rPr>
        <b/>
        <sz val="10"/>
        <rFont val="Calibri"/>
        <family val="2"/>
        <scheme val="minor"/>
      </rPr>
      <t xml:space="preserve">ICBF: </t>
    </r>
    <r>
      <rPr>
        <sz val="10"/>
        <rFont val="Calibri"/>
        <family val="2"/>
        <scheme val="minor"/>
      </rPr>
      <t xml:space="preserve">Asitencias tecnicas, acompañamiento en los comites municipales 
Divulgación ruta de convivencia escolar
*Acompañamiento a los comites de los municipios de Armenia, Filandia. Circasia, La Tebiada y Cordoba.
</t>
    </r>
    <r>
      <rPr>
        <b/>
        <sz val="10"/>
        <rFont val="Calibri"/>
        <family val="2"/>
        <scheme val="minor"/>
      </rPr>
      <t>Alcaldía Montenegro:</t>
    </r>
    <r>
      <rPr>
        <sz val="10"/>
        <rFont val="Calibri"/>
        <family val="2"/>
        <scheme val="minor"/>
      </rPr>
      <t xml:space="preserve"> se realizó junto con jóvenes del barrismo social una actividad en el cae la primavera frente a la violencia por motivos de los colores de los equipos de futbol., actividad en la cual se busca generar conciencia frente a la importancia de la no violencia con otras personas
</t>
    </r>
    <r>
      <rPr>
        <b/>
        <sz val="10"/>
        <rFont val="Calibri"/>
        <family val="2"/>
        <scheme val="minor"/>
      </rPr>
      <t>Alcaldía Buenavista:</t>
    </r>
    <r>
      <rPr>
        <sz val="10"/>
        <rFont val="Calibri"/>
        <family val="2"/>
        <scheme val="minor"/>
      </rPr>
      <t xml:space="preserve"> interpersonal se realizan campañas lideradas por comisaria de familia y se apoyan de manera interinstitucional.
</t>
    </r>
    <r>
      <rPr>
        <b/>
        <sz val="10"/>
        <rFont val="Calibri"/>
        <family val="2"/>
        <scheme val="minor"/>
      </rPr>
      <t>Alcaldía Calarcá:</t>
    </r>
    <r>
      <rPr>
        <sz val="10"/>
        <rFont val="Calibri"/>
        <family val="2"/>
        <scheme val="minor"/>
      </rPr>
      <t xml:space="preserve"> desde los programas de salud mental, discapacidad y juventudes se realizan talleres en instituciones educativas con el fin  de fortalecer la convivencia escolar en estas
</t>
    </r>
    <r>
      <rPr>
        <b/>
        <sz val="10"/>
        <rFont val="Calibri"/>
        <family val="2"/>
        <scheme val="minor"/>
      </rPr>
      <t xml:space="preserve">Alcaldía de Pijao: </t>
    </r>
    <r>
      <rPr>
        <sz val="10"/>
        <rFont val="Calibri"/>
        <family val="2"/>
        <scheme val="minor"/>
      </rPr>
      <t xml:space="preserve">No cuenta con casos, no se 
adelanta ninguna acción.
</t>
    </r>
    <r>
      <rPr>
        <b/>
        <sz val="10"/>
        <rFont val="Calibri"/>
        <family val="2"/>
        <scheme val="minor"/>
      </rPr>
      <t>Alcaldía de Cordoba:</t>
    </r>
    <r>
      <rPr>
        <sz val="10"/>
        <rFont val="Calibri"/>
        <family val="2"/>
        <scheme val="minor"/>
      </rPr>
      <t xml:space="preserve"> La Administración municipal cuenta con el Comité Convivencia Escolar, en donde se desarrollaron las dos (02) sesiones, realizando informe de al cumplimiento de las acciones del Plan de Accion.  
La información no puede ser socializada en porcentaje (%) por el municipio. 
</t>
    </r>
  </si>
  <si>
    <r>
      <rPr>
        <b/>
        <sz val="10"/>
        <rFont val="Calibri"/>
        <family val="2"/>
        <scheme val="minor"/>
      </rPr>
      <t xml:space="preserve">Secretaría de Familia: </t>
    </r>
    <r>
      <rPr>
        <sz val="10"/>
        <rFont val="Calibri"/>
        <family val="2"/>
        <scheme val="minor"/>
      </rPr>
      <t xml:space="preserve">el número de embarazos en menores de 20 años es de 4358 según fuente de verificación. 
</t>
    </r>
    <r>
      <rPr>
        <b/>
        <sz val="10"/>
        <rFont val="Calibri"/>
        <family val="2"/>
        <scheme val="minor"/>
      </rPr>
      <t xml:space="preserve">Secretaría de Salud: </t>
    </r>
    <r>
      <rPr>
        <sz val="10"/>
        <rFont val="Calibri"/>
        <family val="2"/>
        <scheme val="minor"/>
      </rPr>
      <t xml:space="preserve">Se realizaron talleres pedagógicos con  289 padres de familia y 686 estudiantes para el tema salud sexual reproductiva en las que se trataron derechos sexuales y reproductivos, prevención del embarazo en adolescentes, prevención del embarazo subsiguiente, ruta y proceso de acercamiento a las IPS para adolescentes
</t>
    </r>
    <r>
      <rPr>
        <b/>
        <sz val="10"/>
        <rFont val="Calibri"/>
        <family val="2"/>
        <scheme val="minor"/>
      </rPr>
      <t>Alcaldía Buenavista:</t>
    </r>
    <r>
      <rPr>
        <sz val="10"/>
        <rFont val="Calibri"/>
        <family val="2"/>
        <scheme val="minor"/>
      </rPr>
      <t xml:space="preserve"> Las instituciones educativas del municipio, tiene el Proyecto Educativo Institucional PEI, en el cual abordan estos temas por medio de campañas o talleres, también debe la comisaria de familia se realizan campañas a nivel municipal, que involucran a las instituciones educativas.
</t>
    </r>
    <r>
      <rPr>
        <b/>
        <sz val="10"/>
        <rFont val="Calibri"/>
        <family val="2"/>
        <scheme val="minor"/>
      </rPr>
      <t xml:space="preserve">Alcaldía Armenia: </t>
    </r>
    <r>
      <rPr>
        <sz val="10"/>
        <rFont val="Calibri"/>
        <family val="2"/>
        <scheme val="minor"/>
      </rPr>
      <t xml:space="preserve">Adolescentes de las comunas más afectadas por embarazo no deseado cubiertos con estrategia del Servicio Amigable Itinerante, 2469 jóvenes impactados.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Alcaldía de Montenegro:</t>
    </r>
    <r>
      <rPr>
        <sz val="10"/>
        <rFont val="Calibri"/>
        <family val="2"/>
        <scheme val="minor"/>
      </rPr>
      <t xml:space="preserve"> al momento se registran 51 embarazos en adolescentes menores de 20 años
</t>
    </r>
    <r>
      <rPr>
        <b/>
        <sz val="10"/>
        <rFont val="Calibri"/>
        <family val="2"/>
        <scheme val="minor"/>
      </rPr>
      <t>Alcaldía de Calarcá</t>
    </r>
    <r>
      <rPr>
        <sz val="10"/>
        <rFont val="Calibri"/>
        <family val="2"/>
        <scheme val="minor"/>
      </rPr>
      <t xml:space="preserve">: Se realizaron dos jornadas de prevención del suicidio y de sexualidad responsable, en la Institución educativa San Rafael con los integrantes de a red comunitaria instalada allí, se beneficiaron 22 jóvenes, además se les socializó la línea de atención psicosocial del municipio.               
</t>
    </r>
    <r>
      <rPr>
        <b/>
        <sz val="10"/>
        <rFont val="Calibri"/>
        <family val="2"/>
        <scheme val="minor"/>
      </rPr>
      <t xml:space="preserve">ICBF: </t>
    </r>
    <r>
      <rPr>
        <sz val="10"/>
        <rFont val="Calibri"/>
        <family val="2"/>
        <scheme val="minor"/>
      </rPr>
      <t xml:space="preserve">Asistencia Téncia en temas de Prevención de Derechos Sexuales y Reproductivos 
Acompañamiento en los PESCC de las I.E del Departamento a demanda de las instotuiones 
*Para el presente trimestre se esta cumplimiento con 95 agentes para la meta total del cuatrenio
</t>
    </r>
    <r>
      <rPr>
        <b/>
        <sz val="10"/>
        <rFont val="Calibri"/>
        <family val="2"/>
        <scheme val="minor"/>
      </rPr>
      <t>Alcaldia Calarca:</t>
    </r>
    <r>
      <rPr>
        <sz val="10"/>
        <rFont val="Calibri"/>
        <family val="2"/>
        <scheme val="minor"/>
      </rPr>
      <t xml:space="preserve"> Seguimiento a casos de interés en salud pública, embarazos en adolescentes, celebración de la Semana Andina, conversatorio para la prevención del embarazo y salud sexual en adolescentes.
</t>
    </r>
    <r>
      <rPr>
        <b/>
        <sz val="10"/>
        <rFont val="Calibri"/>
        <family val="2"/>
        <scheme val="minor"/>
      </rPr>
      <t xml:space="preserve">Alcaldía de Pijao: </t>
    </r>
    <r>
      <rPr>
        <sz val="10"/>
        <rFont val="Calibri"/>
        <family val="2"/>
        <scheme val="minor"/>
      </rPr>
      <t xml:space="preserve">Se llevó a cabo la proyección de la dimensión de salud sexual, derechos sexuales y reproductivos.
</t>
    </r>
    <r>
      <rPr>
        <b/>
        <sz val="10"/>
        <rFont val="Calibri"/>
        <family val="2"/>
        <scheme val="minor"/>
      </rPr>
      <t xml:space="preserve">Alcaldía Córdoba: </t>
    </r>
    <r>
      <rPr>
        <sz val="10"/>
        <rFont val="Calibri"/>
        <family val="2"/>
        <scheme val="minor"/>
      </rPr>
      <t xml:space="preserve">en el municipio de Córdoba Quindío se encuentra un total de 5 jóvenes en embarazo mayores de 14 y menores de 20.
</t>
    </r>
  </si>
  <si>
    <r>
      <rPr>
        <b/>
        <sz val="10"/>
        <rFont val="Calibri"/>
        <family val="2"/>
        <scheme val="minor"/>
      </rPr>
      <t>Se beneficiaron en total 7592 jóvenes</t>
    </r>
    <r>
      <rPr>
        <sz val="10"/>
        <rFont val="Calibri"/>
        <family val="2"/>
        <scheme val="minor"/>
      </rPr>
      <t xml:space="preserve">
</t>
    </r>
    <r>
      <rPr>
        <b/>
        <sz val="10"/>
        <rFont val="Calibri"/>
        <family val="2"/>
        <scheme val="minor"/>
      </rPr>
      <t>Alcaldía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 xml:space="preserve">Alcaldía de Buenavista: </t>
    </r>
    <r>
      <rPr>
        <sz val="10"/>
        <rFont val="Calibri"/>
        <family val="2"/>
        <scheme val="minor"/>
      </rPr>
      <t xml:space="preserve"> el Municipio cuenta con grupo de 30 adultos que trabajan de manera semanal aeróbicos y otro grupo de adultos que trabajan de 20 adultos que trabajan actividad física moderada y se cuenta con dos grupos de 60 adultos mayores que trabajan actividad fisica moderada de manera mensual.
</t>
    </r>
    <r>
      <rPr>
        <b/>
        <sz val="10"/>
        <rFont val="Calibri"/>
        <family val="2"/>
        <scheme val="minor"/>
      </rPr>
      <t>Alcaldía Córdoba:</t>
    </r>
    <r>
      <rPr>
        <sz val="10"/>
        <rFont val="Calibri"/>
        <family val="2"/>
        <scheme val="minor"/>
      </rPr>
      <t xml:space="preserve"> Por medio de las escuelas de formacion deportiva participan en las actividades fisicas un total de 223.
</t>
    </r>
    <r>
      <rPr>
        <b/>
        <sz val="10"/>
        <rFont val="Calibri"/>
        <family val="2"/>
        <scheme val="minor"/>
      </rPr>
      <t>Alcaldia Calarca:</t>
    </r>
    <r>
      <rPr>
        <sz val="10"/>
        <rFont val="Calibri"/>
        <family val="2"/>
        <scheme val="minor"/>
      </rPr>
      <t xml:space="preserve"> Desde la Subsecretaría de educación, recreación y deporte se ofrecen los programas de atletismo, fútbol urbano, fútbol rural, patinaje, voleibol, baloncesto, fútbol de salón, fitnes kits.
</t>
    </r>
    <r>
      <rPr>
        <b/>
        <sz val="10"/>
        <rFont val="Calibri"/>
        <family val="2"/>
        <scheme val="minor"/>
      </rPr>
      <t>Alcaldía de la Tebaida:</t>
    </r>
    <r>
      <rPr>
        <sz val="10"/>
        <rFont val="Calibri"/>
        <family val="2"/>
        <scheme val="minor"/>
      </rPr>
      <t xml:space="preserve">  177 jóvenes reportados por las escuelas deportivas.
</t>
    </r>
    <r>
      <rPr>
        <b/>
        <sz val="10"/>
        <rFont val="Calibri"/>
        <family val="2"/>
        <scheme val="minor"/>
      </rPr>
      <t>Alcaldía Génova:</t>
    </r>
    <r>
      <rPr>
        <sz val="10"/>
        <rFont val="Calibri"/>
        <family val="2"/>
        <scheme val="minor"/>
      </rPr>
      <t xml:space="preserve"> Contratación de  monitor de recreación,  apoyo a Instituciones y entidades con actividades recreativas,  programas y actividades recreativas en los barrios y en veredas del Municipio.
</t>
    </r>
    <r>
      <rPr>
        <b/>
        <sz val="10"/>
        <rFont val="Calibri"/>
        <family val="2"/>
        <scheme val="minor"/>
      </rPr>
      <t>Alcaldía Armenia:</t>
    </r>
    <r>
      <rPr>
        <sz val="10"/>
        <rFont val="Calibri"/>
        <family val="2"/>
        <scheme val="minor"/>
      </rPr>
      <t xml:space="preserve"> Promoción, apoyo logístico, ejecución y dotación  de programas de Hábitos y Estilos de Vida Saludable y Actividad Física 64 escuelas 
</t>
    </r>
    <r>
      <rPr>
        <b/>
        <sz val="10"/>
        <rFont val="Calibri"/>
        <family val="2"/>
        <scheme val="minor"/>
      </rPr>
      <t>Alcaldía de Montenegro:</t>
    </r>
    <r>
      <rPr>
        <sz val="10"/>
        <rFont val="Calibri"/>
        <family val="2"/>
        <scheme val="minor"/>
      </rPr>
      <t xml:space="preserve"> vías activas y saludables, festivales, clases monitoreadas, campeonatos de la categoría 10%
</t>
    </r>
    <r>
      <rPr>
        <b/>
        <sz val="10"/>
        <rFont val="Calibri"/>
        <family val="2"/>
        <scheme val="minor"/>
      </rPr>
      <t>Alcaldía Quimbaya:</t>
    </r>
    <r>
      <rPr>
        <sz val="10"/>
        <rFont val="Calibri"/>
        <family val="2"/>
        <scheme val="minor"/>
      </rPr>
      <t xml:space="preserve"> A la fecha de corte del presente trimestre no se aportó la información que de cuenta de este indicador. 
</t>
    </r>
    <r>
      <rPr>
        <b/>
        <sz val="10"/>
        <rFont val="Calibri"/>
        <family val="2"/>
        <scheme val="minor"/>
      </rPr>
      <t xml:space="preserve">Alcaldía de Filandia: </t>
    </r>
    <r>
      <rPr>
        <sz val="10"/>
        <rFont val="Calibri"/>
        <family val="2"/>
        <scheme val="minor"/>
      </rPr>
      <t xml:space="preserve">230 menores.
</t>
    </r>
    <r>
      <rPr>
        <b/>
        <sz val="10"/>
        <rFont val="Calibri"/>
        <family val="2"/>
        <scheme val="minor"/>
      </rPr>
      <t xml:space="preserve">Alcaldía de Pijao: </t>
    </r>
    <r>
      <rPr>
        <sz val="10"/>
        <rFont val="Calibri"/>
        <family val="2"/>
        <scheme val="minor"/>
      </rPr>
      <t xml:space="preserve"> entrenamiento diarios de escuelas deportivas a nivel urbano y rural.
</t>
    </r>
    <r>
      <rPr>
        <b/>
        <sz val="10"/>
        <rFont val="Calibri"/>
        <family val="2"/>
        <scheme val="minor"/>
      </rPr>
      <t>Indeportes:</t>
    </r>
    <r>
      <rPr>
        <sz val="10"/>
        <rFont val="Calibri"/>
        <family val="2"/>
        <scheme val="minor"/>
      </rPr>
      <t xml:space="preserve"> 51 deportistas jóvenes que invierten como mínimo 60 minutos diarios en actividad física con intensidad moderada a vigorosa.
</t>
    </r>
    <r>
      <rPr>
        <b/>
        <sz val="10"/>
        <rFont val="Calibri"/>
        <family val="2"/>
        <scheme val="minor"/>
      </rPr>
      <t>Universidad del Quindío:</t>
    </r>
    <r>
      <rPr>
        <sz val="10"/>
        <rFont val="Calibri"/>
        <family val="2"/>
        <scheme val="minor"/>
      </rPr>
      <t xml:space="preserve"> Se dictaron 20 cursos deportivos de los cuales hacen parte del área temática de actividad física, deportes y recreación de la Universidad del Quindío, los cursos son:
Ajedrez, Atletismo, Bádminton, Balón Mano, Baloncesto, Ultimate, Fútbol, Fútbol Femenino, Porrismo, Tenis De Campo, Tenis De Mesa, Voleibol, Squash, Judo, Karate Do, Tae Kwon Do, Fútbol tenis, Yoga, Pilates, Inclusión Deportiva.
Con un total de 16.475 estudiantes de los cuales el 3% hace parte de la práctica deportiva.
</t>
    </r>
    <r>
      <rPr>
        <b/>
        <sz val="10"/>
        <rFont val="Calibri"/>
        <family val="2"/>
        <scheme val="minor"/>
      </rPr>
      <t xml:space="preserve">Universidad San  Buenaventura: </t>
    </r>
    <r>
      <rPr>
        <sz val="10"/>
        <rFont val="Calibri"/>
        <family val="2"/>
        <scheme val="minor"/>
      </rPr>
      <t xml:space="preserve">En la universidad de San Buenaventura,103 de 122 estudiantes, entre las edades de 19 a 27 años, practican actividad física de 60 minutos 
</t>
    </r>
    <r>
      <rPr>
        <b/>
        <sz val="10"/>
        <rFont val="Calibri"/>
        <family val="2"/>
        <scheme val="minor"/>
      </rPr>
      <t xml:space="preserve">Universidad EAM: </t>
    </r>
    <r>
      <rPr>
        <sz val="10"/>
        <rFont val="Calibri"/>
        <family val="2"/>
        <scheme val="minor"/>
      </rPr>
      <t xml:space="preserve">48 estudiantes en cátedra de deporte formativo (programas de pregrado)
9 estudiantes en promedio por mes en actividad física en centro de acondicionamiento
</t>
    </r>
    <r>
      <rPr>
        <b/>
        <sz val="10"/>
        <rFont val="Calibri"/>
        <family val="2"/>
        <scheme val="minor"/>
      </rPr>
      <t>Universidad la Gran Colombia:</t>
    </r>
    <r>
      <rPr>
        <sz val="10"/>
        <rFont val="Calibri"/>
        <family val="2"/>
        <scheme val="minor"/>
      </rPr>
      <t xml:space="preserve"> La UGCA no realizó actividades de promoción de la actividad física con entornos comunitarios.
</t>
    </r>
    <r>
      <rPr>
        <b/>
        <sz val="10"/>
        <rFont val="Calibri"/>
        <family val="2"/>
        <scheme val="minor"/>
      </rPr>
      <t xml:space="preserve">Secretaría de Educación: </t>
    </r>
    <r>
      <rPr>
        <sz val="10"/>
        <rFont val="Calibri"/>
        <family val="2"/>
        <scheme val="minor"/>
      </rPr>
      <t xml:space="preserve">La Secretaría de Educación Departamental no lleva dentro de sus datos estadísticos, el número o porcentaje de estudiantes que invierten tiempo en actividad física, Sin embargo dentro de las asignaturas que se dictan en las 54 Instituciones Educativas Oficiales se tiene la Educación Física como área obligatoria.
</t>
    </r>
    <r>
      <rPr>
        <b/>
        <sz val="10"/>
        <rFont val="Calibri"/>
        <family val="2"/>
        <scheme val="minor"/>
      </rPr>
      <t xml:space="preserve">Indeportes: </t>
    </r>
    <r>
      <rPr>
        <sz val="10"/>
        <rFont val="Calibri"/>
        <family val="2"/>
        <scheme val="minor"/>
      </rPr>
      <t xml:space="preserve">115 menores de edad que invierten como mínimo 60 minutos diarios en actividad fisica con intensidad moderada a vigorosa.
</t>
    </r>
    <r>
      <rPr>
        <b/>
        <sz val="10"/>
        <rFont val="Calibri"/>
        <family val="2"/>
        <scheme val="minor"/>
      </rPr>
      <t xml:space="preserve">Universidad Von Humbolt: </t>
    </r>
    <r>
      <rPr>
        <sz val="10"/>
        <rFont val="Calibri"/>
        <family val="2"/>
        <scheme val="minor"/>
      </rPr>
      <t xml:space="preserve">Como Facultad no se desarrolla esta acción, pero a través de la Dirección de Proyección Social, todas las facultades a través de Brigadas en barrios y en veredas se desarrollan alguinas acciones.
</t>
    </r>
  </si>
  <si>
    <r>
      <t>Secretaria de Turismo, Industria y Comercio:</t>
    </r>
    <r>
      <rPr>
        <sz val="10"/>
        <rFont val="Calibri"/>
        <family val="2"/>
        <scheme val="minor"/>
      </rPr>
      <t xml:space="preserve">Se llevo acabo un diagnostico y levantamiento de información acerca de las empresas turisticas de naturaleza y de aventura para su identificación y establecer posibles alianzas, de esta manera se visitaron los siguientes parques:
*Parque acuatico y de aventura extrema las bailarinas, cuentan con 40 empleados de las cuales hay 15 jovenes.
*Canopy los caracolies, cuentan con 3 empleados jovenes.
*Granja extrema La tebaida, cuenta con 10 empleados jovenes. 
*Balsaje la tebaida, cuenta con 4 empleados jovenes.
</t>
    </r>
    <r>
      <rPr>
        <b/>
        <sz val="10"/>
        <rFont val="Calibri"/>
        <family val="2"/>
        <scheme val="minor"/>
      </rPr>
      <t xml:space="preserve">Secretaría de Familia: </t>
    </r>
    <r>
      <rPr>
        <sz val="10"/>
        <rFont val="Calibri"/>
        <family val="2"/>
        <scheme val="minor"/>
      </rPr>
      <t xml:space="preserve">Informa la promoción del turismo de naturaleza de aventura a través de la participación de la feria ANATO.
</t>
    </r>
    <r>
      <rPr>
        <b/>
        <sz val="10"/>
        <rFont val="Calibri"/>
        <family val="2"/>
        <scheme val="minor"/>
      </rPr>
      <t>Alcaldía Salento:</t>
    </r>
    <r>
      <rPr>
        <sz val="10"/>
        <rFont val="Calibri"/>
        <family val="2"/>
        <scheme val="minor"/>
      </rPr>
      <t xml:space="preserve"> Actividades desarrolladas por parte del programa Cátedra de la Salentinidad hacia las instituciones educativas y población joven del municipio (Capacitación docentes y dotación material pedagógico).
</t>
    </r>
    <r>
      <rPr>
        <b/>
        <sz val="10"/>
        <rFont val="Calibri"/>
        <family val="2"/>
        <scheme val="minor"/>
      </rPr>
      <t>Alcaldía de Córdoba:</t>
    </r>
    <r>
      <rPr>
        <sz val="10"/>
        <rFont val="Calibri"/>
        <family val="2"/>
        <scheme val="minor"/>
      </rPr>
      <t xml:space="preserve">  a la fecha no existen alianzas para la promoción de turismo establecida para jóvenes, sin embargo empresas privadas como Soñarte y Café restaurante 1920, Los cainos, Cáfe mujer  ubicadas en el municipio, fomentan  la promoción de turismo en jóvenes, buscando emplearlos en las diferentes áreas de dichas empresas. 
</t>
    </r>
    <r>
      <rPr>
        <b/>
        <sz val="10"/>
        <rFont val="Calibri"/>
        <family val="2"/>
        <scheme val="minor"/>
      </rPr>
      <t>Alcaldía de Calarcá:</t>
    </r>
    <r>
      <rPr>
        <sz val="10"/>
        <rFont val="Calibri"/>
        <family val="2"/>
        <scheme val="minor"/>
      </rPr>
      <t xml:space="preserve"> Desde la Secretaría de Desarrollo Económico, Ambiental y Comunitario se realizó con la IE Segundo Henao, jornada de socialización sobre el sector turístico del municipio en la Hacienda la Pradera. 
</t>
    </r>
    <r>
      <rPr>
        <b/>
        <sz val="10"/>
        <rFont val="Calibri"/>
        <family val="2"/>
        <scheme val="minor"/>
      </rPr>
      <t>Alcaldía Buenavista:</t>
    </r>
    <r>
      <rPr>
        <sz val="10"/>
        <rFont val="Calibri"/>
        <family val="2"/>
        <scheme val="minor"/>
      </rPr>
      <t xml:space="preserve"> no tiene reportes a la fecha.
</t>
    </r>
    <r>
      <rPr>
        <b/>
        <sz val="10"/>
        <rFont val="Calibri"/>
        <family val="2"/>
        <scheme val="minor"/>
      </rPr>
      <t>Alcaldía Quimbaya:</t>
    </r>
    <r>
      <rPr>
        <sz val="10"/>
        <rFont val="Calibri"/>
        <family val="2"/>
        <scheme val="minor"/>
      </rPr>
      <t xml:space="preserve"> Esta meta no se encuentra programada para ser ejecutada durante el presente trimestre
</t>
    </r>
    <r>
      <rPr>
        <b/>
        <sz val="10"/>
        <rFont val="Calibri"/>
        <family val="2"/>
        <scheme val="minor"/>
      </rPr>
      <t xml:space="preserve">Alcaldia Armenia: </t>
    </r>
    <r>
      <rPr>
        <sz val="10"/>
        <rFont val="Calibri"/>
        <family val="2"/>
        <scheme val="minor"/>
      </rPr>
      <t xml:space="preserve">DESARROLLO ECONOMICO NO REPORTA INFORMACION.
</t>
    </r>
    <r>
      <rPr>
        <b/>
        <sz val="10"/>
        <rFont val="Calibri"/>
        <family val="2"/>
        <scheme val="minor"/>
      </rPr>
      <t xml:space="preserve">Alcaldia Montengro: </t>
    </r>
    <r>
      <rPr>
        <sz val="10"/>
        <rFont val="Calibri"/>
        <family val="2"/>
        <scheme val="minor"/>
      </rPr>
      <t xml:space="preserve">alianza con el instituto - apoyo sobre informacion tutistica.
</t>
    </r>
    <r>
      <rPr>
        <b/>
        <sz val="10"/>
        <rFont val="Calibri"/>
        <family val="2"/>
        <scheme val="minor"/>
      </rPr>
      <t xml:space="preserve">Secretaria de Cultura: </t>
    </r>
    <r>
      <rPr>
        <sz val="10"/>
        <rFont val="Calibri"/>
        <family val="2"/>
        <scheme val="minor"/>
      </rPr>
      <t xml:space="preserve">Se realizaron un taller orientado a recoger y evaluar las actividades  de lectura crítica y cultural (histórico) con los estudiantes que pertenecen l proyecto del paisaje cultural cafetero de la institución educativa Rafael Uribe Uribe del municipio de Calarcá.
Se realizaron charlas en la semana ambiental titulada amenezas sobre la diversidad acuícola local en la institución educativa mercadotecnia del municipio de Quimbaya,  se abordaron temas como conservación e impactos ambientales.
</t>
    </r>
    <r>
      <rPr>
        <b/>
        <sz val="10"/>
        <rFont val="Calibri"/>
        <family val="2"/>
        <scheme val="minor"/>
      </rPr>
      <t>Alcaldía de Cordob</t>
    </r>
    <r>
      <rPr>
        <sz val="10"/>
        <rFont val="Calibri"/>
        <family val="2"/>
        <scheme val="minor"/>
      </rPr>
      <t xml:space="preserve">a: en el municipio de Cordoba quindio se realizo proyecto llamado encuentro de portadores y sabores donde se embolucro a los jovenes para hablar con ellos sobre el tema, donde fue realizada en la ciudadela educativa.. Como tambien se realizo una feria gastronomica para la semana de amor y amistada todo esto con el apoyo de la contratista de enlace a turismo 
</t>
    </r>
    <r>
      <rPr>
        <b/>
        <sz val="10"/>
        <rFont val="Calibri"/>
        <family val="2"/>
        <scheme val="minor"/>
      </rPr>
      <t>Alcaldia Genova:</t>
    </r>
    <r>
      <rPr>
        <sz val="10"/>
        <rFont val="Calibri"/>
        <family val="2"/>
        <scheme val="minor"/>
      </rPr>
      <t xml:space="preserve"> Contratación de una persona para que realice actividades de apoyo al Comité  municipal de turismo y a los empresarios turísticos del municipio. Garantizar el apoyo a la red tursitica del municipio. </t>
    </r>
    <r>
      <rPr>
        <b/>
        <sz val="10"/>
        <rFont val="Calibri"/>
        <family val="2"/>
        <scheme val="minor"/>
      </rPr>
      <t xml:space="preserve">
</t>
    </r>
  </si>
  <si>
    <r>
      <rPr>
        <b/>
        <sz val="10"/>
        <rFont val="Calibri"/>
        <family val="2"/>
        <scheme val="minor"/>
      </rPr>
      <t>Universidad San  Buenaventura</t>
    </r>
    <r>
      <rPr>
        <sz val="10"/>
        <rFont val="Calibri"/>
        <family val="2"/>
        <scheme val="minor"/>
      </rPr>
      <t xml:space="preserve">: La Univerisdad De San Buenaventura tiene las facultades de psicologia, arquitectura y licenciatura en eduacación infantil estan el proceso de desarollo en cursos, seminarios y diplomados para ofertar en el Departamento del Quindio 
</t>
    </r>
    <r>
      <rPr>
        <b/>
        <sz val="10"/>
        <rFont val="Calibri"/>
        <family val="2"/>
        <scheme val="minor"/>
      </rPr>
      <t>Universidad EAM:</t>
    </r>
    <r>
      <rPr>
        <sz val="10"/>
        <rFont val="Calibri"/>
        <family val="2"/>
        <scheme val="minor"/>
      </rPr>
      <t xml:space="preserve">Cuatro (4) cursos de cátedra de emprendimiento con la participación de 93 estudiantes con una intensidad de 64 horas.
</t>
    </r>
    <r>
      <rPr>
        <b/>
        <sz val="10"/>
        <rFont val="Calibri"/>
        <family val="2"/>
        <scheme val="minor"/>
      </rPr>
      <t>Secretaría de Familia:</t>
    </r>
    <r>
      <rPr>
        <sz val="10"/>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rFont val="Calibri"/>
        <family val="2"/>
        <scheme val="minor"/>
      </rPr>
      <t>Universidad Vom Humbolt:</t>
    </r>
    <r>
      <rPr>
        <sz val="10"/>
        <rFont val="Calibri"/>
        <family val="2"/>
        <scheme val="minor"/>
      </rPr>
      <t xml:space="preserve"> 441 personas impactadas en 5 programas en educación continua.
</t>
    </r>
    <r>
      <rPr>
        <b/>
        <sz val="10"/>
        <rFont val="Calibri"/>
        <family val="2"/>
        <scheme val="minor"/>
      </rPr>
      <t>Universidad la Gran Colombia:</t>
    </r>
    <r>
      <rPr>
        <sz val="10"/>
        <rFont val="Calibri"/>
        <family val="2"/>
        <scheme val="minor"/>
      </rPr>
      <t xml:space="preserve"> 1. Diplomado en Planificación Participativa y Estratégica, el cual ha contado con la participación de 6 jóvenes - Consejeros Territoriales de Planeación.
</t>
    </r>
    <r>
      <rPr>
        <b/>
        <sz val="10"/>
        <rFont val="Calibri"/>
        <family val="2"/>
        <scheme val="minor"/>
      </rPr>
      <t xml:space="preserve"> Secretaría de Educación: </t>
    </r>
    <r>
      <rPr>
        <sz val="10"/>
        <rFont val="Calibri"/>
        <family val="2"/>
        <scheme val="minor"/>
      </rPr>
      <t xml:space="preserve">A la fecha no se han ejecutado actividades para estos indicadores
</t>
    </r>
    <r>
      <rPr>
        <b/>
        <sz val="10"/>
        <rFont val="Calibri"/>
        <family val="2"/>
        <scheme val="minor"/>
      </rPr>
      <t xml:space="preserve">ICBF: </t>
    </r>
    <r>
      <rPr>
        <sz val="10"/>
        <rFont val="Calibri"/>
        <family val="2"/>
        <scheme val="minor"/>
      </rPr>
      <t>Formación en Agentes en Derechos Sexuales y Reprouductivos, Asistencia Téncia en temas de Prevención de Derechos Sexuales y Reproductivos Acompañamiento en los PESCC de las I.E del Departamento a demanda de las instituciones . A la fecha se realizó la formación de 95 agentes de la meta para el 2023 de 95 .</t>
    </r>
  </si>
  <si>
    <t>2023 IV TRIMESTRE</t>
  </si>
  <si>
    <r>
      <t xml:space="preserve">
</t>
    </r>
    <r>
      <rPr>
        <b/>
        <sz val="10"/>
        <rFont val="Calibri"/>
        <family val="2"/>
        <scheme val="minor"/>
      </rPr>
      <t>Secretaría de Familia:</t>
    </r>
    <r>
      <rPr>
        <sz val="10"/>
        <rFont val="Calibri"/>
        <family val="2"/>
        <scheme val="minor"/>
      </rPr>
      <t xml:space="preserve"> El indicador se observa en estado crítico, toda vez que la unidad de medida está en términos porcentuales, y los actores reportan en términos absolutos, lo que dificulta la medición de avance, sin embargo, se adelantan las siguientes acciones que se relacionan a la meta financiera: </t>
    </r>
    <r>
      <rPr>
        <b/>
        <sz val="10"/>
        <rFont val="Calibri"/>
        <family val="2"/>
        <scheme val="minor"/>
      </rPr>
      <t xml:space="preserve">
Cámara de Comercio de Armenia y del Quindío:</t>
    </r>
    <r>
      <rPr>
        <sz val="10"/>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rFont val="Calibri"/>
        <family val="2"/>
        <scheme val="minor"/>
      </rPr>
      <t>SENA:</t>
    </r>
    <r>
      <rPr>
        <sz val="10"/>
        <rFont val="Calibri"/>
        <family val="2"/>
        <scheme val="minor"/>
      </rPr>
      <t xml:space="preserve"> Durante el trimestre no se realizaron ruedas de negocios regionales o nacionales. Se espera realizar para el segundo semestre del año.
</t>
    </r>
    <r>
      <rPr>
        <b/>
        <sz val="10"/>
        <rFont val="Calibri"/>
        <family val="2"/>
        <scheme val="minor"/>
      </rPr>
      <t xml:space="preserve">Alcaldía Filandia: </t>
    </r>
    <r>
      <rPr>
        <sz val="10"/>
        <rFont val="Calibri"/>
        <family val="2"/>
        <scheme val="minor"/>
      </rPr>
      <t xml:space="preserve">2 jóvenes en ruedas de negocio.
</t>
    </r>
    <r>
      <rPr>
        <b/>
        <sz val="10"/>
        <rFont val="Calibri"/>
        <family val="2"/>
        <scheme val="minor"/>
      </rPr>
      <t>Secretaria de Turismo Industria y Comercio:</t>
    </r>
    <r>
      <rPr>
        <sz val="10"/>
        <rFont val="Calibri"/>
        <family val="2"/>
        <scheme val="minor"/>
      </rPr>
      <t xml:space="preserve"> Para este tercer trimestre de la vigencia 2023, no se han realizado actividades que den avance al indicador, con relación a la población objetiva.
.
</t>
    </r>
    <r>
      <rPr>
        <b/>
        <sz val="10"/>
        <rFont val="Calibri"/>
        <family val="2"/>
        <scheme val="minor"/>
      </rPr>
      <t xml:space="preserve">Alcaldía Buenavista: </t>
    </r>
    <r>
      <rPr>
        <sz val="10"/>
        <rFont val="Calibri"/>
        <family val="2"/>
        <scheme val="minor"/>
      </rPr>
      <t xml:space="preserve"> los jóvenes no asisten a ruedas de negocios a nivel Departametal y Nacional.
</t>
    </r>
    <r>
      <rPr>
        <b/>
        <sz val="10"/>
        <rFont val="Calibri"/>
        <family val="2"/>
        <scheme val="minor"/>
      </rPr>
      <t>Secretaría Turismo, Industria y Comercio:</t>
    </r>
    <r>
      <rPr>
        <sz val="10"/>
        <rFont val="Calibri"/>
        <family val="2"/>
        <scheme val="minor"/>
      </rPr>
      <t xml:space="preserve"> Para este primer trimestre de la vigencia 2023, no se han realizado actividades que den avance al indicador
</t>
    </r>
    <r>
      <rPr>
        <b/>
        <sz val="10"/>
        <rFont val="Calibri"/>
        <family val="2"/>
        <scheme val="minor"/>
      </rPr>
      <t>Alcaldía Quimbaya:</t>
    </r>
    <r>
      <rPr>
        <sz val="10"/>
        <rFont val="Calibri"/>
        <family val="2"/>
        <scheme val="minor"/>
      </rPr>
      <t xml:space="preserve"> Durante el trimestre no se realizaron acciones para dar cumplimiento a la meta.
</t>
    </r>
    <r>
      <rPr>
        <b/>
        <sz val="10"/>
        <rFont val="Calibri"/>
        <family val="2"/>
        <scheme val="minor"/>
      </rPr>
      <t xml:space="preserve">Alcaldía Montenegro: </t>
    </r>
    <r>
      <rPr>
        <sz val="10"/>
        <rFont val="Calibri"/>
        <family val="2"/>
        <scheme val="minor"/>
      </rPr>
      <t xml:space="preserve">Para el segundo trimestre no se cuenta con jóvenes participando de ruedas de negocio regionales
</t>
    </r>
    <r>
      <rPr>
        <b/>
        <sz val="10"/>
        <rFont val="Calibri"/>
        <family val="2"/>
        <scheme val="minor"/>
      </rPr>
      <t>Alcaldía de Pijao</t>
    </r>
    <r>
      <rPr>
        <sz val="10"/>
        <rFont val="Calibri"/>
        <family val="2"/>
        <scheme val="minor"/>
      </rPr>
      <t xml:space="preserve">: no cuenta con un porcentaje de Emprendimientos que participan en Ruedas de Negocios Regionales y Nacionales que son liderados por Jóvenes en el Municipio.
</t>
    </r>
    <r>
      <rPr>
        <b/>
        <sz val="10"/>
        <rFont val="Calibri"/>
        <family val="2"/>
        <scheme val="minor"/>
      </rPr>
      <t xml:space="preserve">Alcaldía Filandia: </t>
    </r>
    <r>
      <rPr>
        <sz val="10"/>
        <rFont val="Calibri"/>
        <family val="2"/>
        <scheme val="minor"/>
      </rPr>
      <t xml:space="preserve">2 jóvenes en ruedas de negocio
</t>
    </r>
    <r>
      <rPr>
        <b/>
        <sz val="10"/>
        <rFont val="Calibri"/>
        <family val="2"/>
        <scheme val="minor"/>
      </rPr>
      <t>Alcaldia Calarca:</t>
    </r>
    <r>
      <rPr>
        <sz val="10"/>
        <rFont val="Calibri"/>
        <family val="2"/>
        <scheme val="minor"/>
      </rPr>
      <t xml:space="preserve"> Se realizará en agosto semana de la juventud, como se realiza cada año, en la que se pretenden realizar actividades empresariales para jóvenes. </t>
    </r>
    <r>
      <rPr>
        <b/>
        <sz val="10"/>
        <rFont val="Calibri"/>
        <family val="2"/>
        <scheme val="minor"/>
      </rPr>
      <t>Alcaldía Armenia:</t>
    </r>
    <r>
      <rPr>
        <sz val="10"/>
        <rFont val="Calibri"/>
        <family val="2"/>
        <scheme val="minor"/>
      </rPr>
      <t xml:space="preserve"> articulación con el ecosistema de la red regional de emprendimiento para asistencia técnica a empresas del municipio de armenia
</t>
    </r>
    <r>
      <rPr>
        <b/>
        <sz val="10"/>
        <rFont val="Calibri"/>
        <family val="2"/>
        <scheme val="minor"/>
      </rPr>
      <t>Alcaldia Cordoba:</t>
    </r>
    <r>
      <rPr>
        <sz val="10"/>
        <rFont val="Calibri"/>
        <family val="2"/>
        <scheme val="minor"/>
      </rPr>
      <t xml:space="preserve"> en el municipio de Cordoba Quindio  en el mes de septimbre se realizo la semana de la juventud 
</t>
    </r>
    <r>
      <rPr>
        <b/>
        <sz val="10"/>
        <rFont val="Calibri"/>
        <family val="2"/>
        <scheme val="minor"/>
      </rPr>
      <t>Ministerio del Trabajo:</t>
    </r>
    <r>
      <rPr>
        <sz val="10"/>
        <rFont val="Calibri"/>
        <family val="2"/>
        <scheme val="minor"/>
      </rPr>
      <t xml:space="preserve"> Reporta Matriz sin información
</t>
    </r>
  </si>
  <si>
    <r>
      <rPr>
        <b/>
        <sz val="10"/>
        <rFont val="Calibri"/>
        <family val="2"/>
        <scheme val="minor"/>
      </rPr>
      <t xml:space="preserve">Observación: </t>
    </r>
    <r>
      <rPr>
        <sz val="10"/>
        <rFont val="Calibri"/>
        <family val="2"/>
        <scheme val="minor"/>
      </rPr>
      <t>La suma del primero, segundo, tercer trimestre y cuarto del 2023 en cuanto a No de Jóvenes vinculados a proyectos innovadores y de emprendimiento es de 220.</t>
    </r>
    <r>
      <rPr>
        <b/>
        <sz val="10"/>
        <rFont val="Calibri"/>
        <family val="2"/>
        <scheme val="minor"/>
      </rPr>
      <t xml:space="preserve">
Secretaría Turismo, Industria y Comercio: </t>
    </r>
    <r>
      <rPr>
        <sz val="10"/>
        <rFont val="Calibri"/>
        <family val="2"/>
        <scheme val="minor"/>
      </rPr>
      <t xml:space="preserve">Se realiza taller de direccionamiento estratégico enfocado a (19)  jovenes con empredimientos en etapa inicial, intermedia y avanzada 
Se realizó visita al establecimiento “SARAMAMA”  del municipio de Armenia, con el fin de hacerle una socialización del programa de asistencia técnica a las mipymes para el acceso a nuevos mercados y se inició dicho acompañamiento.
</t>
    </r>
    <r>
      <rPr>
        <b/>
        <sz val="10"/>
        <rFont val="Calibri"/>
        <family val="2"/>
        <scheme val="minor"/>
      </rPr>
      <t xml:space="preserve">Cámara de Comercio de Armenia y del Quindío: </t>
    </r>
    <r>
      <rPr>
        <sz val="10"/>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Secretaría de Agricultura:</t>
    </r>
    <r>
      <rPr>
        <sz val="10"/>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rFont val="Calibri"/>
        <family val="2"/>
        <scheme val="minor"/>
      </rPr>
      <t>SENA:</t>
    </r>
    <r>
      <rPr>
        <sz val="10"/>
        <rFont val="Calibri"/>
        <family val="2"/>
        <scheme val="minor"/>
      </rPr>
      <t xml:space="preserve"> Vinculación de jóvenes en los programas de emprendimiento del Centro de desarrollo Empresarial del SENA Regional Quindío.*28 jóvenes vinculados: 6 en fortalecimiento empresarial, 4 en formulación de fondo emprender y 18 puesta en marcha otras fuentes de financiación.
</t>
    </r>
    <r>
      <rPr>
        <b/>
        <sz val="10"/>
        <rFont val="Calibri"/>
        <family val="2"/>
        <scheme val="minor"/>
      </rPr>
      <t>Universidad del Quindío:</t>
    </r>
    <r>
      <rPr>
        <sz val="10"/>
        <rFont val="Calibri"/>
        <family val="2"/>
        <scheme val="minor"/>
      </rPr>
      <t xml:space="preserve"> Para el presupuesto se cuantifcaron los recursos destinados en especie, que por lo general se relacionan con el rubro de contratación o de asignación de funcionarios al apoyo de dichos procesos.
</t>
    </r>
    <r>
      <rPr>
        <b/>
        <sz val="10"/>
        <rFont val="Calibri"/>
        <family val="2"/>
        <scheme val="minor"/>
      </rPr>
      <t xml:space="preserve">Universidad EAM: </t>
    </r>
    <r>
      <rPr>
        <sz val="10"/>
        <rFont val="Calibri"/>
        <family val="2"/>
        <scheme val="minor"/>
      </rPr>
      <t xml:space="preserve">14 estudiantes con 10 proyectos de creación de empresa y/o empresa creada (opción de grado programas de pregrado).
6 aspirantes a grado con planes de negocio en acompañamiento con 3 emprendimientos.
</t>
    </r>
    <r>
      <rPr>
        <b/>
        <sz val="10"/>
        <rFont val="Calibri"/>
        <family val="2"/>
        <scheme val="minor"/>
      </rPr>
      <t xml:space="preserve">U Von Humbolt: </t>
    </r>
    <r>
      <rPr>
        <sz val="10"/>
        <rFont val="Calibri"/>
        <family val="2"/>
        <scheme val="minor"/>
      </rPr>
      <t xml:space="preserve">A través de la Ud de Empredimiento Emprendelab de han atendido a cuatro (4) estudiantes de la comunidad académica de la Humboldt, a quienes se les ha acompañado en una ruta de emprendimiento. Asi mismo, a traves de prácticas empresariales se han acompañado a setenta y dos (72) estudiantes del programa de Administración de Empresas, quienes han presentado propuestas de mejora en las empresas
2 graduados con planes de negocio en acompañamiento con 2 emprendimientos
</t>
    </r>
    <r>
      <rPr>
        <b/>
        <sz val="10"/>
        <rFont val="Calibri"/>
        <family val="2"/>
        <scheme val="minor"/>
      </rPr>
      <t>Universidad la Gran Colombia</t>
    </r>
    <r>
      <rPr>
        <sz val="10"/>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rFont val="Calibri"/>
        <family val="2"/>
        <scheme val="minor"/>
      </rPr>
      <t>Alcaldía Buenavista:</t>
    </r>
    <r>
      <rPr>
        <sz val="10"/>
        <rFont val="Calibri"/>
        <family val="2"/>
        <scheme val="minor"/>
      </rPr>
      <t xml:space="preserve"> en Buenavista se cuenta con 8 jóvenes vinculados a un proyecto de emprendimiento que busca formarlos para su vida laboral, y se llama ASOJEX.</t>
    </r>
    <r>
      <rPr>
        <b/>
        <sz val="10"/>
        <rFont val="Calibri"/>
        <family val="2"/>
        <scheme val="minor"/>
      </rPr>
      <t xml:space="preserve">
Alcaldía Armenia:</t>
    </r>
    <r>
      <rPr>
        <sz val="10"/>
        <rFont val="Calibri"/>
        <family val="2"/>
        <scheme val="minor"/>
      </rPr>
      <t xml:space="preserve"> Apoyo a actividades de Ciencia, Tecnología e Innovación, para impulsar el crecimiento económico:  MARKETPLACE, MEDIOS DE PAGO, ACODRES, se está realizando caracterizaciones para conocer las necesidades de los empresarios y emprendedores de la ciudad y así poder apoyarlos en la parte de innovación digital
</t>
    </r>
    <r>
      <rPr>
        <b/>
        <sz val="10"/>
        <rFont val="Calibri"/>
        <family val="2"/>
        <scheme val="minor"/>
      </rPr>
      <t>Alcaldía Córdoba:</t>
    </r>
    <r>
      <rPr>
        <sz val="10"/>
        <rFont val="Calibri"/>
        <family val="2"/>
        <scheme val="minor"/>
      </rPr>
      <t xml:space="preserve"> en  el mes de agosto se realizó actividad pedagógica bus escuela Bancolombia sobre educación financiera, como también en el mes de julio se realizó una actividad de empleabilidad a través de la estrategia móvil, donde se realizó en el parque principal José Maria Córdoba  la cual se realiza con el contratista de apoyo de empleabilidad de la secretaria de planeación e infraestructura el cual tuvo contrato de prestación de servicios en julio, agosto y septiembre.
</t>
    </r>
    <r>
      <rPr>
        <b/>
        <sz val="10"/>
        <rFont val="Calibri"/>
        <family val="2"/>
        <scheme val="minor"/>
      </rPr>
      <t>Alcaldía de Calarcá</t>
    </r>
    <r>
      <rPr>
        <sz val="10"/>
        <rFont val="Calibri"/>
        <family val="2"/>
        <scheme val="minor"/>
      </rPr>
      <t xml:space="preserve">: se realizo convocatoria a jovenes de 14 a 28 años que cuenten con iniciativas juveniles en pro de los jovenes para participar por apoyo de las mismas, asi mismo se realizaron 4 talleres a los jovenes que se postularon con sus propuestas.
</t>
    </r>
    <r>
      <rPr>
        <b/>
        <sz val="10"/>
        <rFont val="Calibri"/>
        <family val="2"/>
        <scheme val="minor"/>
      </rPr>
      <t xml:space="preserve">Alcaldía Filandia: </t>
    </r>
    <r>
      <rPr>
        <sz val="10"/>
        <rFont val="Calibri"/>
        <family val="2"/>
        <scheme val="minor"/>
      </rPr>
      <t xml:space="preserve">12 jóvenes vinculados a proyectos innovadores  y 6 iniciativas empresariales apoyadas.
</t>
    </r>
    <r>
      <rPr>
        <b/>
        <sz val="10"/>
        <rFont val="Calibri"/>
        <family val="2"/>
        <scheme val="minor"/>
      </rPr>
      <t xml:space="preserve">Alcaldía Montenegro: </t>
    </r>
    <r>
      <rPr>
        <sz val="10"/>
        <rFont val="Calibri"/>
        <family val="2"/>
        <scheme val="minor"/>
      </rPr>
      <t xml:space="preserve">no se cuenta en el momento con jovenes vinculados a proyectos innovadores de emprendimiento, sin embargo estamos en la tarea de crear un grupo de jovenes empresarios para fortalecer este proceso
</t>
    </r>
    <r>
      <rPr>
        <b/>
        <sz val="10"/>
        <rFont val="Calibri"/>
        <family val="2"/>
        <scheme val="minor"/>
      </rPr>
      <t>Alcaldía Quimbaya:</t>
    </r>
    <r>
      <rPr>
        <sz val="10"/>
        <rFont val="Calibri"/>
        <family val="2"/>
        <scheme val="minor"/>
      </rPr>
      <t xml:space="preserve"> A través del apoyo a las iniciativas de emprendimiento juvenil se brinda acompañamiento a 40 jóvenes emprendedores.
</t>
    </r>
    <r>
      <rPr>
        <b/>
        <sz val="10"/>
        <rFont val="Calibri"/>
        <family val="2"/>
        <scheme val="minor"/>
      </rPr>
      <t>Alcaldía de Pijao:</t>
    </r>
    <r>
      <rPr>
        <sz val="10"/>
        <rFont val="Calibri"/>
        <family val="2"/>
        <scheme val="minor"/>
      </rPr>
      <t xml:space="preserve"> No cuenta con Jovenes vinculados a proyectos innovadores y de emprendimiento.
</t>
    </r>
    <r>
      <rPr>
        <b/>
        <sz val="10"/>
        <rFont val="Calibri"/>
        <family val="2"/>
        <scheme val="minor"/>
      </rPr>
      <t>Alcaldia Buenavista:</t>
    </r>
    <r>
      <rPr>
        <sz val="10"/>
        <rFont val="Calibri"/>
        <family val="2"/>
        <scheme val="minor"/>
      </rPr>
      <t xml:space="preserve"> en Buenavista se cuenta con 8 jovenes vinculados a un proyecto de emprendimiento que busca formarlos para su vida laboralpor medio de la asociación ASOJEX</t>
    </r>
  </si>
  <si>
    <t>|</t>
  </si>
  <si>
    <r>
      <rPr>
        <b/>
        <sz val="10"/>
        <rFont val="Calibri"/>
        <family val="2"/>
        <scheme val="minor"/>
      </rPr>
      <t xml:space="preserve"> 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 xml:space="preserve">SENA: </t>
    </r>
    <r>
      <rPr>
        <sz val="10"/>
        <rFont val="Calibri"/>
        <family val="2"/>
        <scheme val="minor"/>
      </rPr>
      <t xml:space="preserve">Se realizó orientación ocupacional a 4440 jóvenes a través de la Agencia Pública de Empleo. De los cuales 959 jóvenes quedaron vinculados en las diferentes ofertas laborales en el año 2023.
</t>
    </r>
  </si>
  <si>
    <r>
      <rPr>
        <b/>
        <sz val="10"/>
        <rFont val="Calibri"/>
        <family val="2"/>
        <scheme val="minor"/>
      </rPr>
      <t>OBSERVACIONES:</t>
    </r>
    <r>
      <rPr>
        <sz val="10"/>
        <rFont val="Calibri"/>
        <family val="2"/>
        <scheme val="minor"/>
      </rPr>
      <t xml:space="preserve"> Segun el último  Reporte de la Gran Encuesta Integrada de Hogares-DANE (2022); La tasa de trabajo infantil es del 3 % y la tasa de trabajo infantil ampliado es del 5,3 %.
</t>
    </r>
    <r>
      <rPr>
        <b/>
        <sz val="10"/>
        <rFont val="Calibri"/>
        <family val="2"/>
        <scheme val="minor"/>
      </rPr>
      <t xml:space="preserve">Secretaría de Familia: </t>
    </r>
    <r>
      <rPr>
        <sz val="10"/>
        <rFont val="Calibri"/>
        <family val="2"/>
        <scheme val="minor"/>
      </rPr>
      <t xml:space="preserve">*Atención a niños, niñas y adolescentes y sus familias en riesgos o trabajo infantil, alta permanencia en calle y vida en calle
*Actividades comunitarias de prevención de Riegos o trabajo infantil, alta pernanencia en calle y vida en calle 
*Asistencias Técnicas a agentes del SNBF
*Operativos, jornadas de sensibilización y prevenció, campañas y movilizaciones sociales
*Remisiones autoridades administrativas competenetes para restableciminto de derecho.
</t>
    </r>
    <r>
      <rPr>
        <b/>
        <sz val="10"/>
        <rFont val="Calibri"/>
        <family val="2"/>
        <scheme val="minor"/>
      </rPr>
      <t xml:space="preserve">Secretaría de Agricultura: </t>
    </r>
    <r>
      <rPr>
        <sz val="10"/>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rFont val="Calibri"/>
        <family val="2"/>
        <scheme val="minor"/>
      </rPr>
      <t>Ministerio del Trabajo:</t>
    </r>
    <r>
      <rPr>
        <sz val="10"/>
        <rFont val="Calibri"/>
        <family val="2"/>
        <scheme val="minor"/>
      </rPr>
      <t xml:space="preserve"> Al respecto es importante hacer las siguientes claridades:1. Tomando en cuenta que la fuente es DANE-GEIH y la consulta no depende de plataforma exclusiva de este ente Ministerial la misma puede ser consultada por cualquier entidad. De esta manera y según la información registrada en la plataforma se cuenta con los registros correspondientes al año 2021 publicado en el año 2022.2. En el evento de contar con datos mas recientes se considera que la competencia es de Planeación Departamental el cual tiene a cargo los indicadores de tipo social para el departamento. 3. Por otro lado la estrategia para la Erradicación del trabajo infantil se ha llevado a cabo a través del CIETI DEPARTAMENTAL, en la cual se han desarrollado diferentes escenarios de participación en todo el Departamento del Quindío en asocio con las entidades que lo integran. El MINTRABAJO  tiene a su cargo el fomento de trabajo protegido a través de las autorizaciones de trabajo a menores, obtenido para el periodo objeto de estudio los siguientes resultados según la información aportada desde el grupo de atención al ciudadano y trámite así: a. Permisos otorgados: 36, de los cuales 17 fueron otorgadas a niñas y 19 a niños. b. Consultas laborales menores: 0
</t>
    </r>
    <r>
      <rPr>
        <b/>
        <sz val="10"/>
        <rFont val="Calibri"/>
        <family val="2"/>
        <scheme val="minor"/>
      </rPr>
      <t>ICBF</t>
    </r>
    <r>
      <rPr>
        <sz val="10"/>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r>
      <rPr>
        <b/>
        <sz val="10"/>
        <rFont val="Calibri"/>
        <family val="2"/>
        <scheme val="minor"/>
      </rPr>
      <t xml:space="preserve">Alcaldía Calarcá: </t>
    </r>
    <r>
      <rPr>
        <sz val="10"/>
        <rFont val="Calibri"/>
        <family val="2"/>
        <scheme val="minor"/>
      </rPr>
      <t xml:space="preserve">El programa de NNA, realizó  una jornada de prevención del trabajo infantil en el barrio Llanitos Piloto. 
</t>
    </r>
    <r>
      <rPr>
        <b/>
        <sz val="10"/>
        <rFont val="Calibri"/>
        <family val="2"/>
        <scheme val="minor"/>
      </rPr>
      <t xml:space="preserve">Alcaldía Filandia: </t>
    </r>
    <r>
      <rPr>
        <sz val="10"/>
        <rFont val="Calibri"/>
        <family val="2"/>
        <scheme val="minor"/>
      </rPr>
      <t xml:space="preserve">el Municipio de Filandia no cuenta con casos de trabajo infantil.
</t>
    </r>
    <r>
      <rPr>
        <b/>
        <sz val="10"/>
        <rFont val="Calibri"/>
        <family val="2"/>
        <scheme val="minor"/>
      </rPr>
      <t>Alcaldía Quimbaya:</t>
    </r>
    <r>
      <rPr>
        <sz val="10"/>
        <rFont val="Calibri"/>
        <family val="2"/>
        <scheme val="minor"/>
      </rPr>
      <t xml:space="preserve"> El municipio no cuenta con esta información en tasa. 
</t>
    </r>
    <r>
      <rPr>
        <b/>
        <sz val="10"/>
        <rFont val="Calibri"/>
        <family val="2"/>
        <scheme val="minor"/>
      </rPr>
      <t>Alcaldía Buenavista:</t>
    </r>
    <r>
      <rPr>
        <sz val="10"/>
        <rFont val="Calibri"/>
        <family val="2"/>
        <scheme val="minor"/>
      </rPr>
      <t xml:space="preserve"> No cuenta con reportes de trabajo infantil, no obstante se realizan campañas para prevenir esta problemática.
</t>
    </r>
    <r>
      <rPr>
        <b/>
        <sz val="10"/>
        <rFont val="Calibri"/>
        <family val="2"/>
        <scheme val="minor"/>
      </rPr>
      <t xml:space="preserve">Alcaldía Montenegro: </t>
    </r>
    <r>
      <rPr>
        <sz val="10"/>
        <rFont val="Calibri"/>
        <family val="2"/>
        <scheme val="minor"/>
      </rPr>
      <t xml:space="preserve">Campañas en las instituciones educativas y en la poblacion en general con el fin de disminuir la taza de trabajo infantil.
</t>
    </r>
    <r>
      <rPr>
        <b/>
        <sz val="10"/>
        <rFont val="Calibri"/>
        <family val="2"/>
        <scheme val="minor"/>
      </rPr>
      <t xml:space="preserve">Alcaldía Salento: </t>
    </r>
    <r>
      <rPr>
        <sz val="10"/>
        <rFont val="Calibri"/>
        <family val="2"/>
        <scheme val="minor"/>
      </rPr>
      <t xml:space="preserve">Campañas de sensibilización entorno a la prevención del trabajo infantil en los establecimientos de servicios turísticos.
</t>
    </r>
    <r>
      <rPr>
        <b/>
        <sz val="10"/>
        <rFont val="Calibri"/>
        <family val="2"/>
        <scheme val="minor"/>
      </rPr>
      <t>Alcaldía de Pijao</t>
    </r>
    <r>
      <rPr>
        <sz val="10"/>
        <rFont val="Calibri"/>
        <family val="2"/>
        <scheme val="minor"/>
      </rPr>
      <t xml:space="preserve">: Comité de radicación del trabajo infantil implementado  bajo el decreto 021 de 01/08/2016. No se presentan casos.
</t>
    </r>
    <r>
      <rPr>
        <b/>
        <sz val="10"/>
        <rFont val="Calibri"/>
        <family val="2"/>
        <scheme val="minor"/>
      </rPr>
      <t>Alcaldia Armenia:</t>
    </r>
    <r>
      <rPr>
        <sz val="10"/>
        <rFont val="Calibri"/>
        <family val="2"/>
        <scheme val="minor"/>
      </rPr>
      <t xml:space="preserve">Implementar estrategias de garantía de derechos de la infancia a través de Jornadas para  niños y niñas de 6 a 12 años ( en prevención de las peores formas de trabajo infantil ,  prevención de la utilización de niños, niñas para la comisión de delitos)
</t>
    </r>
    <r>
      <rPr>
        <b/>
        <sz val="10"/>
        <rFont val="Calibri"/>
        <family val="2"/>
        <scheme val="minor"/>
      </rPr>
      <t xml:space="preserve">Ministerio del Trabajo: </t>
    </r>
    <r>
      <rPr>
        <sz val="10"/>
        <rFont val="Calibri"/>
        <family val="2"/>
        <scheme val="minor"/>
      </rPr>
      <t xml:space="preserve">Reporta Matriz sin información.
</t>
    </r>
    <r>
      <rPr>
        <b/>
        <sz val="10"/>
        <rFont val="Calibri"/>
        <family val="2"/>
        <scheme val="minor"/>
      </rPr>
      <t>Alcaldia Calarca:</t>
    </r>
    <r>
      <rPr>
        <sz val="10"/>
        <rFont val="Calibri"/>
        <family val="2"/>
        <scheme val="minor"/>
      </rPr>
      <t xml:space="preserve"> se realizan escuelas de padres en las instituciones educativas del municipio con el fin de implementar estrategias de erradicacion del trabajo infantil.
</t>
    </r>
    <r>
      <rPr>
        <b/>
        <sz val="10"/>
        <rFont val="Calibri"/>
        <family val="2"/>
        <scheme val="minor"/>
      </rPr>
      <t>ICBF: *</t>
    </r>
    <r>
      <rPr>
        <sz val="10"/>
        <rFont val="Calibri"/>
        <family val="2"/>
        <scheme val="minor"/>
      </rPr>
      <t xml:space="preserve">Atención a niños, niñas y adolescentes y sus familias nacionales y extranjeros en riesgos o trabajo infantil, alta permanencia en calle y vida en calle
*Actividades comunitarias de prevención de Riegos o trabajo infantil, alta pernanencia en calle y vida en calle 
*Asistencias Técnicas a agentes del SNBF
*Operativos, jornadas de sensibilización y prevención, campañas y movilizaciones sociales
*Remisiones autoridades administrativas competenetes para restablecimiento de derecho
*Constataciones de denuncias Reporte de amaneza o vulneración de Derechos(RAVD) </t>
    </r>
  </si>
  <si>
    <r>
      <rPr>
        <b/>
        <sz val="10"/>
        <rFont val="Calibri"/>
        <family val="2"/>
        <scheme val="minor"/>
      </rPr>
      <t xml:space="preserve">Secretaría de familia: </t>
    </r>
    <r>
      <rPr>
        <sz val="10"/>
        <rFont val="Calibri"/>
        <family val="2"/>
        <scheme val="minor"/>
      </rPr>
      <t xml:space="preserve">La tasa de cobertura básica secundaria reportadda por el ministerio de educación (2022) corresponde al 63,34 %
</t>
    </r>
    <r>
      <rPr>
        <b/>
        <sz val="10"/>
        <rFont val="Calibri"/>
        <family val="2"/>
        <scheme val="minor"/>
      </rPr>
      <t>Alcaldía de Calarcá:</t>
    </r>
    <r>
      <rPr>
        <sz val="10"/>
        <rFont val="Calibri"/>
        <family val="2"/>
        <scheme val="minor"/>
      </rPr>
      <t xml:space="preserve"> Realizamos el pago a las 14 instituciones educativas urbanas y rurales (30 sedes) con servicios públicos como energía, alcantarillado, acueducto y aseo con 30 sedes, urbanas y rurales. Se beneficiaron 3.174 jóvenes.
</t>
    </r>
    <r>
      <rPr>
        <b/>
        <sz val="10"/>
        <rFont val="Calibri"/>
        <family val="2"/>
        <scheme val="minor"/>
      </rPr>
      <t>Secretaría de Educación:</t>
    </r>
    <r>
      <rPr>
        <sz val="10"/>
        <rFont val="Calibri"/>
        <family val="2"/>
        <scheme val="minor"/>
      </rPr>
      <t xml:space="preserve"> Desde las I.E se realiza la oferta a los 11 municipios no certificados y es aprobada por la Secretaria Departamental  y el MEN 
</t>
    </r>
    <r>
      <rPr>
        <b/>
        <sz val="10"/>
        <rFont val="Calibri"/>
        <family val="2"/>
        <scheme val="minor"/>
      </rPr>
      <t>Alcaldía Córdoba:</t>
    </r>
    <r>
      <rPr>
        <sz val="10"/>
        <rFont val="Calibri"/>
        <family val="2"/>
        <scheme val="minor"/>
      </rPr>
      <t xml:space="preserve"> El municipio de Cordoba garantiza la atencion con estrategias de permanencia ( PAE - Programa de Alimentacion Escolar y ransorte escolar) a los estudiantes que cumplen los criterios de focalizacion.  Igualmente el pago de seguro estudiantil.
</t>
    </r>
    <r>
      <rPr>
        <b/>
        <sz val="10"/>
        <rFont val="Calibri"/>
        <family val="2"/>
        <scheme val="minor"/>
      </rPr>
      <t>Alcaldia Armenia:</t>
    </r>
    <r>
      <rPr>
        <sz val="10"/>
        <rFont val="Calibri"/>
        <family val="2"/>
        <scheme val="minor"/>
      </rPr>
      <t xml:space="preserve"> instituciones educativas en jornada única (Número de instituciones)14904 niños, niñas, jóvenes y adultos.
</t>
    </r>
    <r>
      <rPr>
        <b/>
        <sz val="10"/>
        <rFont val="Calibri"/>
        <family val="2"/>
        <scheme val="minor"/>
      </rPr>
      <t xml:space="preserve">Alcaldía Filandia: </t>
    </r>
    <r>
      <rPr>
        <sz val="10"/>
        <rFont val="Calibri"/>
        <family val="2"/>
        <scheme val="minor"/>
      </rPr>
      <t>90%, se cubren todos los grados de la básica secundaria en el municipio. En el sistema educativo municipal se matricularon 637 alumnos en básica secundaria en 2022, de los cuales han desertado 15 al mes de agosto. Las proyecciones apuntan a que deberían haber al menos 710 estudiantes en básica secundaria en las diferentes IE del municipio</t>
    </r>
  </si>
  <si>
    <r>
      <rPr>
        <b/>
        <sz val="10"/>
        <rFont val="Calibri"/>
        <family val="2"/>
        <scheme val="minor"/>
      </rPr>
      <t xml:space="preserve">Secretaría de familia: </t>
    </r>
    <r>
      <rPr>
        <sz val="10"/>
        <rFont val="Calibri"/>
        <family val="2"/>
        <scheme val="minor"/>
      </rPr>
      <t>La tasa de cobertura neta media vocacional reportada por el ministerio de educación (2022) corresponde al 63,34 %</t>
    </r>
    <r>
      <rPr>
        <b/>
        <sz val="10"/>
        <rFont val="Calibri"/>
        <family val="2"/>
        <scheme val="minor"/>
      </rPr>
      <t xml:space="preserve">
Alcaldía de Buenavista</t>
    </r>
    <r>
      <rPr>
        <sz val="10"/>
        <rFont val="Calibri"/>
        <family val="2"/>
        <scheme val="minor"/>
      </rPr>
      <t xml:space="preserve">: Cuenta con la cobertura integral en básica secundaria, no tenemos reportes de jóvenes que esten desescolarizados.
</t>
    </r>
    <r>
      <rPr>
        <b/>
        <sz val="10"/>
        <rFont val="Calibri"/>
        <family val="2"/>
        <scheme val="minor"/>
      </rPr>
      <t xml:space="preserve">Secretaría de Educación: </t>
    </r>
    <r>
      <rPr>
        <sz val="10"/>
        <rFont val="Calibri"/>
        <family val="2"/>
        <scheme val="minor"/>
      </rPr>
      <t xml:space="preserve">Durante este trimeste la profesional de área continua  realizando actividades relacionadas con Oferta de Grados para media  a través de la plataforma Simat.        
</t>
    </r>
    <r>
      <rPr>
        <b/>
        <sz val="10"/>
        <rFont val="Calibri"/>
        <family val="2"/>
        <scheme val="minor"/>
      </rPr>
      <t>Alcaldía Armenia:</t>
    </r>
    <r>
      <rPr>
        <sz val="10"/>
        <rFont val="Calibri"/>
        <family val="2"/>
        <scheme val="minor"/>
      </rPr>
      <t xml:space="preserve"> 23 Instituciones Educativas y 1200 Jóvenes de media de las Instituciones Educativas.
</t>
    </r>
    <r>
      <rPr>
        <b/>
        <sz val="10"/>
        <rFont val="Calibri"/>
        <family val="2"/>
        <scheme val="minor"/>
      </rPr>
      <t xml:space="preserve">Alcaldía Génova: </t>
    </r>
    <r>
      <rPr>
        <sz val="10"/>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garantizó la atención con estrategias de permanencia ( PAE - Programa de Alimentacion Escolar y transorte escolar) a los estudiantes que cumplen los criterios de focalización, igualmente se llevó a cabo la articulación con el SENA  para ofrecer dos modalidades técnicas (Técnico en Agroindustria alimentaria  y Técnico en Sistemas Agropecuarios Ecológicos).
</t>
    </r>
    <r>
      <rPr>
        <b/>
        <sz val="10"/>
        <rFont val="Calibri"/>
        <family val="2"/>
        <scheme val="minor"/>
      </rPr>
      <t xml:space="preserve">Alcaldía de Armenia: </t>
    </r>
    <r>
      <rPr>
        <sz val="10"/>
        <rFont val="Calibri"/>
        <family val="2"/>
        <scheme val="minor"/>
      </rPr>
      <t xml:space="preserve">INúmero de Instituciones educativas vinculadas al proyecto de TECNOACADEMIA 12 I.E  36500 niños, niñas, jóvenes y adultos.
</t>
    </r>
    <r>
      <rPr>
        <b/>
        <sz val="10"/>
        <rFont val="Calibri"/>
        <family val="2"/>
        <scheme val="minor"/>
      </rPr>
      <t>Alcaldía Filandia:</t>
    </r>
    <r>
      <rPr>
        <sz val="10"/>
        <rFont val="Calibri"/>
        <family val="2"/>
        <scheme val="minor"/>
      </rPr>
      <t xml:space="preserve"> 85%, cubriendo todos los grados de la media académica. Se matricularon para el 2022 un total de 275 estudiantes, de los cuales han desertado 8 hasta agosto de 2022. La proyección apunta a 324 estudiantes en la media académica
</t>
    </r>
    <r>
      <rPr>
        <b/>
        <sz val="10"/>
        <rFont val="Calibri"/>
        <family val="2"/>
        <scheme val="minor"/>
      </rPr>
      <t>Alcaldía de Calarcá:</t>
    </r>
    <r>
      <rPr>
        <sz val="10"/>
        <rFont val="Calibri"/>
        <family val="2"/>
        <scheme val="minor"/>
      </rPr>
      <t xml:space="preserve"> Se brinda apoyo a las instituciones educativas con el pago de los servicios públicos, para el beneficio de los estudiantes de basica secundaria y media vocacional en el municipio de calarcá´.
</t>
    </r>
  </si>
  <si>
    <r>
      <rPr>
        <b/>
        <sz val="10"/>
        <rFont val="Calibri"/>
        <family val="2"/>
        <scheme val="minor"/>
      </rPr>
      <t xml:space="preserve">
Secretaría de Familia: </t>
    </r>
    <r>
      <rPr>
        <sz val="10"/>
        <rFont val="Calibri"/>
        <family val="2"/>
        <scheme val="minor"/>
      </rPr>
      <t xml:space="preserve">La Tasa de deserción a largo plazo (semestre 10) es del 54,3% según reporte del Ministerio de Educación (2022) y la tasa de absorcion de bachilleres es del 47,3% (2022). 
</t>
    </r>
    <r>
      <rPr>
        <b/>
        <sz val="10"/>
        <rFont val="Calibri"/>
        <family val="2"/>
        <scheme val="minor"/>
      </rPr>
      <t xml:space="preserve">Alcaldía de Buenavista: </t>
    </r>
    <r>
      <rPr>
        <sz val="10"/>
        <rFont val="Calibri"/>
        <family val="2"/>
        <scheme val="minor"/>
      </rPr>
      <t xml:space="preserve">desde la Institución Educativa se cuenta con un programa de estudio los días sábados que permite a los jóvenes con extra edad, terminar su bachillerato.
</t>
    </r>
    <r>
      <rPr>
        <b/>
        <sz val="10"/>
        <rFont val="Calibri"/>
        <family val="2"/>
        <scheme val="minor"/>
      </rPr>
      <t>Alcaldía de Filandia:</t>
    </r>
    <r>
      <rPr>
        <sz val="10"/>
        <rFont val="Calibri"/>
        <family val="2"/>
        <scheme val="minor"/>
      </rPr>
      <t xml:space="preserve"> 35%  de 140 recién graduados en el municipio de Filandia, ingresan al menos 25 a la Universidad en el siguiente año.
</t>
    </r>
    <r>
      <rPr>
        <b/>
        <sz val="10"/>
        <rFont val="Calibri"/>
        <family val="2"/>
        <scheme val="minor"/>
      </rPr>
      <t>Alcaldía Génova:</t>
    </r>
    <r>
      <rPr>
        <sz val="10"/>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En el municipio se encuentra conformado el comité municipal de becas universitarias para la educación superior pública, para quienes cumplan con los requisitos y envíen la solicitud. Actualmente no se encuentran beneficiarios ya que está en vigencia la política nacional de Matricula cero y los jóvenes del municipio que estudian en el universidad pública accedieron a esta.  la información no puede ser socializada en porcentaje (%) por el municipio. Igualmente realizó convenio interadministrativo con la ESAP, con el fin de que la población del municipio realizará una carrera universitaria de Administración Publica Territoria.       
</t>
    </r>
    <r>
      <rPr>
        <b/>
        <sz val="10"/>
        <rFont val="Calibri"/>
        <family val="2"/>
        <scheme val="minor"/>
      </rPr>
      <t>Alcaldía de Montenegro:</t>
    </r>
    <r>
      <rPr>
        <sz val="10"/>
        <rFont val="Calibri"/>
        <family val="2"/>
        <scheme val="minor"/>
      </rPr>
      <t xml:space="preserve"> al momento desde la subsecretaria de desarrollo social y ecucativo no se cuenta con esos datos para el primer trimestre del año.
</t>
    </r>
    <r>
      <rPr>
        <b/>
        <sz val="10"/>
        <rFont val="Calibri"/>
        <family val="2"/>
        <scheme val="minor"/>
      </rPr>
      <t>Alcaldía de Calarcá: S</t>
    </r>
    <r>
      <rPr>
        <sz val="10"/>
        <rFont val="Calibri"/>
        <family val="2"/>
        <scheme val="minor"/>
      </rPr>
      <t xml:space="preserve">e garantiza la alimentación escolar en las 14 instituciones educativas del Municipio. Además se cuenta con gratuidad de matrícula y cobertura del seguro escolar. 
</t>
    </r>
    <r>
      <rPr>
        <b/>
        <sz val="10"/>
        <rFont val="Calibri"/>
        <family val="2"/>
        <scheme val="minor"/>
      </rPr>
      <t xml:space="preserve">Secretaría de educación: </t>
    </r>
    <r>
      <rPr>
        <sz val="10"/>
        <rFont val="Calibri"/>
        <family val="2"/>
        <scheme val="minor"/>
      </rPr>
      <t xml:space="preserve">1. Qluster Didáctico Empresarial
2. Proyectos pedagógicos productivos.
3. Articulación con la Educación Superior.
4. Articulación con la Media Técnica.
5. Escuela Lider - Emprende Lider.
6. Territorio Stem + Qreativos.
7. Bilinguismo - Nativos
8. Plan de Oralidad. 
9. Laboratorios Pedagógicos Creativos.
</t>
    </r>
    <r>
      <rPr>
        <b/>
        <sz val="10"/>
        <rFont val="Calibri"/>
        <family val="2"/>
        <scheme val="minor"/>
      </rPr>
      <t xml:space="preserve">Alcaldia Armenia: </t>
    </r>
    <r>
      <rPr>
        <sz val="10"/>
        <rFont val="Calibri"/>
        <family val="2"/>
        <scheme val="minor"/>
      </rPr>
      <t xml:space="preserve">Tasa bruta de cobertura bruta en preescolar, básica primaria, secundaria y media es de 107,28%
</t>
    </r>
  </si>
  <si>
    <r>
      <t xml:space="preserve">
</t>
    </r>
    <r>
      <rPr>
        <b/>
        <sz val="10"/>
        <rFont val="Calibri"/>
        <family val="2"/>
        <scheme val="minor"/>
      </rPr>
      <t>Secretaría de Familia:</t>
    </r>
    <r>
      <rPr>
        <sz val="10"/>
        <rFont val="Calibri"/>
        <family val="2"/>
        <scheme val="minor"/>
      </rPr>
      <t xml:space="preserve"> La tasa de deserción universitaria es del 8,79%  según reporte del Ministerio de Educación (2022).
</t>
    </r>
    <r>
      <rPr>
        <b/>
        <sz val="10"/>
        <rFont val="Calibri"/>
        <family val="2"/>
        <scheme val="minor"/>
      </rPr>
      <t>Alcaldía de Buenavista</t>
    </r>
    <r>
      <rPr>
        <sz val="10"/>
        <rFont val="Calibri"/>
        <family val="2"/>
        <scheme val="minor"/>
      </rPr>
      <t xml:space="preserve">: Fomenta la educación superior y por ello tiene realizado un convenio con el instituto técnico INTEP de Roldanillo Valle, el cual ha puesto su sede en el municipio, para que los jóvenes estudien una carrera universitaria; también entrega tiquetes estudiantiles para que los jóvenes que estudian en la ciudad de Armenia, con estos incentivos fomentamos la educación superior y procuramos que los jóvenes no deserten de sus carreras profesionales.
</t>
    </r>
    <r>
      <rPr>
        <b/>
        <sz val="10"/>
        <rFont val="Calibri"/>
        <family val="2"/>
        <scheme val="minor"/>
      </rPr>
      <t>Alcaldía de Filandia:</t>
    </r>
    <r>
      <rPr>
        <sz val="10"/>
        <rFont val="Calibri"/>
        <family val="2"/>
        <scheme val="minor"/>
      </rPr>
      <t xml:space="preserve"> 40% de los estudiantes desertan de la Universidad a lo largo de su carrera, ya sea para cambiar de carrera o abandonar el sistema Universitario (15% a largo plazo).
</t>
    </r>
    <r>
      <rPr>
        <b/>
        <sz val="10"/>
        <rFont val="Calibri"/>
        <family val="2"/>
        <scheme val="minor"/>
      </rPr>
      <t>Alcaldía de Pijao:</t>
    </r>
    <r>
      <rPr>
        <sz val="10"/>
        <rFont val="Calibri"/>
        <family val="2"/>
        <scheme val="minor"/>
      </rPr>
      <t xml:space="preserve"> Se cuenta con la posada estudiantil en Armenia.
</t>
    </r>
    <r>
      <rPr>
        <b/>
        <sz val="10"/>
        <rFont val="Calibri"/>
        <family val="2"/>
        <scheme val="minor"/>
      </rPr>
      <t>Alcaldía Armenia</t>
    </r>
    <r>
      <rPr>
        <sz val="10"/>
        <rFont val="Calibri"/>
        <family val="2"/>
        <scheme val="minor"/>
      </rPr>
      <t xml:space="preserve">: Población víctimas del conflicto, vulnerables, jóvenes y adultos con estrategias de apoyo educativo  y seguimiento al ausentismo escolar.
</t>
    </r>
    <r>
      <rPr>
        <b/>
        <sz val="10"/>
        <rFont val="Calibri"/>
        <family val="2"/>
        <scheme val="minor"/>
      </rPr>
      <t>Alcaldía Génova:</t>
    </r>
    <r>
      <rPr>
        <sz val="10"/>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 xml:space="preserve">Alcaldía Salento: </t>
    </r>
    <r>
      <rPr>
        <sz val="10"/>
        <rFont val="Calibri"/>
        <family val="2"/>
        <scheme val="minor"/>
      </rPr>
      <t xml:space="preserve">Avance en la propuesta de reestablecimiento de los subsidios de transporte para estudiantes universitarios residentes en el municipio.
</t>
    </r>
    <r>
      <rPr>
        <b/>
        <sz val="10"/>
        <rFont val="Calibri"/>
        <family val="2"/>
        <scheme val="minor"/>
      </rPr>
      <t>Alcaldía de Córdoba:</t>
    </r>
    <r>
      <rPr>
        <sz val="10"/>
        <rFont val="Calibri"/>
        <family val="2"/>
        <scheme val="minor"/>
      </rPr>
      <t xml:space="preserve"> La Institución Educativa ofrece en todo el ciclo básico lo que contribuye a asegurar la continuidad y el flujo de los estudiantes a través de los niveles de  básica, secundaria y media. Además, se ofrece dos modalidades en convenio SENA: Sistemas agropecuarios ecológicos y agroindustria alimentaria                                                                                                                              Implementación de jornada única con énfasis en artística: música- teatro en básica primaria.Se diseña de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 Hay flexibilidad de los modelos educativos que se implementan, que son capaces de adaptarse a las necesidades de los niños y jóvenes.                                                       
-Seguimiento a través de comité de ausentismo.              
</t>
    </r>
    <r>
      <rPr>
        <b/>
        <sz val="10"/>
        <rFont val="Calibri"/>
        <family val="2"/>
        <scheme val="minor"/>
      </rPr>
      <t xml:space="preserve">Alcaldía de Calarcá: </t>
    </r>
    <r>
      <rPr>
        <sz val="10"/>
        <rFont val="Calibri"/>
        <family val="2"/>
        <scheme val="minor"/>
      </rPr>
      <t>Se realizan</t>
    </r>
    <r>
      <rPr>
        <b/>
        <sz val="10"/>
        <rFont val="Calibri"/>
        <family val="2"/>
        <scheme val="minor"/>
      </rPr>
      <t xml:space="preserve"> </t>
    </r>
    <r>
      <rPr>
        <sz val="10"/>
        <rFont val="Calibri"/>
        <family val="2"/>
        <scheme val="minor"/>
      </rPr>
      <t xml:space="preserve">sensibilizaciones de fortalecimiento familiar, con el fin de que los padres acompañen adecuadamente a sus hijos en el proceso educativo.
</t>
    </r>
  </si>
  <si>
    <r>
      <t xml:space="preserve">
</t>
    </r>
    <r>
      <rPr>
        <b/>
        <sz val="10"/>
        <rFont val="Calibri"/>
        <family val="2"/>
        <scheme val="minor"/>
      </rPr>
      <t>Secretaría de Familia:</t>
    </r>
    <r>
      <rPr>
        <sz val="10"/>
        <rFont val="Calibri"/>
        <family val="2"/>
        <scheme val="minor"/>
      </rPr>
      <t xml:space="preserve"> La tasa de cobertura de educación superior es del 62,3% según reporte del Ministerio de Educación (2022).
</t>
    </r>
  </si>
  <si>
    <r>
      <rPr>
        <b/>
        <sz val="10"/>
        <rFont val="Calibri"/>
        <family val="2"/>
        <scheme val="minor"/>
      </rPr>
      <t xml:space="preserve">
Cámara de Comercio de Armenia y del Quindío:  </t>
    </r>
    <r>
      <rPr>
        <sz val="10"/>
        <rFont val="Calibri"/>
        <family val="2"/>
        <scheme val="minor"/>
      </rPr>
      <t xml:space="preserve">La tasa de desempleo juvenil en la ciudad de Armenia es de 12%, según el DANE en su último informe publicado
</t>
    </r>
    <r>
      <rPr>
        <b/>
        <sz val="10"/>
        <rFont val="Calibri"/>
        <family val="2"/>
        <scheme val="minor"/>
      </rPr>
      <t>Secretaría de Agricultura:</t>
    </r>
    <r>
      <rPr>
        <sz val="10"/>
        <rFont val="Calibri"/>
        <family val="2"/>
        <scheme val="minor"/>
      </rPr>
      <t xml:space="preserve">  Se aprobaron los proyectos de planta de bioinsumos y proyecto de la plataforma para la captura de informacion en tiempo real del sector agropecuario, con el fin de que la poblacion juvenil puedan hacer parte de este tipo de proyectos, mediante la investigacion y apropiacion del conocimiento.
</t>
    </r>
    <r>
      <rPr>
        <b/>
        <sz val="10"/>
        <rFont val="Calibri"/>
        <family val="2"/>
        <scheme val="minor"/>
      </rPr>
      <t xml:space="preserve">Alcaldía de Filandia: </t>
    </r>
    <r>
      <rPr>
        <sz val="10"/>
        <rFont val="Calibri"/>
        <family val="2"/>
        <scheme val="minor"/>
      </rPr>
      <t xml:space="preserve">55% de jóvenes vinculados laboralmente.
</t>
    </r>
    <r>
      <rPr>
        <b/>
        <sz val="10"/>
        <rFont val="Calibri"/>
        <family val="2"/>
        <scheme val="minor"/>
      </rPr>
      <t>Secretaría Turismo, Industria y Comercio:</t>
    </r>
    <r>
      <rPr>
        <sz val="10"/>
        <rFont val="Calibri"/>
        <family val="2"/>
        <scheme val="minor"/>
      </rPr>
      <t xml:space="preserve"> No se han realizado actividades que den avance al indicador.
</t>
    </r>
    <r>
      <rPr>
        <b/>
        <sz val="10"/>
        <rFont val="Calibri"/>
        <family val="2"/>
        <scheme val="minor"/>
      </rPr>
      <t xml:space="preserve">Alcaldía Salento: </t>
    </r>
    <r>
      <rPr>
        <sz val="10"/>
        <rFont val="Calibri"/>
        <family val="2"/>
        <scheme val="minor"/>
      </rPr>
      <t xml:space="preserve">Actividades desarrolladas por parte del programa Cátedra de la Salentinidad hacia las instituciones educativas (Capacitacion docentes y dotación material pedagógico)
</t>
    </r>
    <r>
      <rPr>
        <b/>
        <sz val="10"/>
        <rFont val="Calibri"/>
        <family val="2"/>
        <scheme val="minor"/>
      </rPr>
      <t>Alcaldía Córdoba:</t>
    </r>
    <r>
      <rPr>
        <sz val="10"/>
        <rFont val="Calibri"/>
        <family val="2"/>
        <scheme val="minor"/>
      </rPr>
      <t xml:space="preserve"> Actualmente el municipio no cuenta con tasa de desempleo juvenil  
</t>
    </r>
    <r>
      <rPr>
        <b/>
        <sz val="10"/>
        <rFont val="Calibri"/>
        <family val="2"/>
        <scheme val="minor"/>
      </rPr>
      <t>Sena:</t>
    </r>
    <r>
      <rPr>
        <sz val="10"/>
        <rFont val="Calibri"/>
        <family val="2"/>
        <scheme val="minor"/>
      </rPr>
      <t xml:space="preserve"> Durante los meses de abril a junio, se realizo orientacion ocupacional a 4440 jovenes a traves de la Agencia Publica de Empleo SENA. De los cuales 959 jovenes quedaron vinculados en las diferentes ofertas laborales en el I semestre del año 2023.
Ademas dentro de la estrategia SENNOVA, se hicieron Actividades de promoción y divulgación de cultura investigadora por medio de proyectos de investigación, Fomento de innovación, Modernización por medio de los Semilleros de investigación y el grupo de investigación
</t>
    </r>
    <r>
      <rPr>
        <b/>
        <sz val="10"/>
        <rFont val="Calibri"/>
        <family val="2"/>
        <scheme val="minor"/>
      </rPr>
      <t>Alcaldía Armenia:</t>
    </r>
    <r>
      <rPr>
        <sz val="10"/>
        <rFont val="Calibri"/>
        <family val="2"/>
        <scheme val="minor"/>
      </rPr>
      <t xml:space="preserve"> Realizar acciones tendientes para ejecutar la estrategia creación de oportunidades laborales "EMPLEO PA´TODOS""•        FORMACIÓN - DOS (2)  ACCIONES -  Primera acción: Gestión ante la Secretaría de Educación y  Segunda acción:  4 talleres ocupacionales. Realizar jornadas de inserción laboral para jóvenes
Se solicitó la rearticulación con Secretaría de Educación para la continuidad del proceso inicial del año 2021 en el que se identificaron 282 vendedores ambulantes sin terminar estudios y 28 personas acogidas desde la estrategia de generación de empleo para apoyar y acompañar su proceso de culminación de estudios de bachillerato acción que se realiza para el 2022. 
Talleres ocupacionales: Se realizaron 4 talleres ocupacionales en los cinco puntos vive digital en los que se atendió 172 personas entre los 18  y 60 años, de los cuales 97 eran mujeres, 75 hombres. 
•       AGENCIA PUBLICA DE EMPLEO - UNA (1) ACCIÓN:  76 cuyabros atendidos.
Se prestó atención dentro de los puntos vive digital habilitados para la ejecución del convenio. Desde allí, los técnicos han realizado acompañamiento a 76 cuyabros en áreas como: actualización de documentos y datos, inscripción, cargue y postulación de vacantes ofertadas desde la Agencia Pública de Empleo. La población atendida fue caracterizada como: población menor (13 - 17 años) 1 persona, población joven (18 - 28 años) 98 personas, personas adultas (29 - 59 años) 119 personas y 5 personas mayores de 60 años. En cuanto a la caracterización de los cuyabros atendidos se identificó que: 20 fueron hombres, 56 mujeres; 6 personas caracterizadas como víctimas y desplazados, 2 como población afro,  y 1 indígena, el restante no contó con algún enfoque diferencial. Los puntos en los que se prestaron atención fueron: Punto vive digital: libreros comuna 7, Punto vive digital: San José comuna 6, Punto vive digital: Estadio centenario comuna 1,  Punto vive digital: ciudad dorada comuna 3 y Punto vive digital: Santander comuna 4
•        JORNADAS DE INSERCIÓN LABORAL - UNA (1) ACCIÓN:  4 jornadas de inserción laboral en las comunas.
Se ha apoyado el reclutamiento de personal de las  diferentes empresas. A la fecha se han atendido 233 personas, de las cuales 90 fueron catalogadas como población joven (18-28 años), 119 personas población adulta (29-59 años) y 5 personas adultas mayores de 60 años. Entre los mencionados, 107 eran hombres y 205 mujeres; 19 de ellos caracterizados como población víctima, 6 como afrocolombiano, 1 como indígena, 2 migrantes y el restante (205) como población sin enfoque diferencial. Dentro de las jornadas mencionadas se han ofertado1248 vacantes para cargos como: asesores comerciales, lideres comerciales, operarios de pdn, auxiliar contables, recepcionistas, operarios de granja, soldadores, oficios varios, auxiliar de RRHH, coordinadores de unidad, ingeniero agrónomo, técnico o tecnólogo en carreras administrativas o afines, operador de vehículo, islero, lavadores, ingeniero mecánico, administradores de empresas, operador de planta, transportadores de alimentos, técnico mecánico automotriz,  auxiliar de reparto, asesor de ventar T&amp;T. Las empresas articuladas fueron: Adecco, comfenalco, expertos consultores, claro Colombia, Inversiones ASL, On vacation, buses Armenia, Nases, Centro automotor La Renault, Distribuidora Picaflor, Jardines del Renacer. 
•        JORNADAS DE INCENTIVOS - UNA (1) ACCIÓN:   35 visitas empresariales de sensibilización sobre los beneficios tributarios y no tributarios.
Beneficios a los que las empresas se pueden acoger si presentan contratación a personas con enfoque diferencial y ciclo vitales específicos. Entre las visitas realizadas fueron: Vipcol, Granadina de Vigilancia, M&amp;O, Prohome, Seguridad  Napoles, Construcciones Nocav, La crónica del Quindío, constructora soriano, fumigaciones Juancontrol, Valsalud SAS, Carnecol, IBG, Floresa, Palacio Hermanos SAS, Bodega de materiales exito, ferreservicios del eje cafetero, Satagro, Master chips, Proarquitectura, Urbe construcción,  portal del Quindío, Clínica Guadalupe, Renault, Avanza, tonner y tintas, miscelánea verde limón, Papelería y Variedades Clipcum, El mundo de Pan, Pan Pa mi gente, Materiales James, Droguería Marilu, Supermercado D la costa, Smart Power Gim, Supermercado Superinter Américas."
</t>
    </r>
    <r>
      <rPr>
        <b/>
        <sz val="10"/>
        <rFont val="Calibri"/>
        <family val="2"/>
        <scheme val="minor"/>
      </rPr>
      <t xml:space="preserve">Alcaldía Buenavista: </t>
    </r>
    <r>
      <rPr>
        <sz val="10"/>
        <rFont val="Calibri"/>
        <family val="2"/>
        <scheme val="minor"/>
      </rPr>
      <t xml:space="preserve">se realizó por medio de la agencia de empleo de confenalco Quindio, una jornada de asistencia en el municipio, dirigida a toda la comunidad.
</t>
    </r>
    <r>
      <rPr>
        <b/>
        <sz val="10"/>
        <rFont val="Calibri"/>
        <family val="2"/>
        <scheme val="minor"/>
      </rPr>
      <t xml:space="preserve">Alcaldia Calarca: </t>
    </r>
    <r>
      <rPr>
        <sz val="10"/>
        <rFont val="Calibri"/>
        <family val="2"/>
        <scheme val="minor"/>
      </rPr>
      <t xml:space="preserve">se realizan asesorias, las cuales consisten  en registrar o actualizar la hoja de vida de cada joven en la APE, con el fin de identificar su perfil ocupacional. Seguido a esto se busca una vacante que se ajuste a sus estudios y experiencia (a su perfil laboral); si se encuentra alguna vacante y cumple con todos los requisitos se postula. 
*Las socializaciones consisten sobre la vinculación de la vida laboral y sobre el  manejo de la plataforma Agencia Pública de Empleo para inscripción, actualización, búsqueda de vacantes y postulaciones. 
</t>
    </r>
    <r>
      <rPr>
        <b/>
        <sz val="10"/>
        <rFont val="Calibri"/>
        <family val="2"/>
        <scheme val="minor"/>
      </rPr>
      <t>Alcaldia Quimbaya:</t>
    </r>
    <r>
      <rPr>
        <sz val="10"/>
        <rFont val="Calibri"/>
        <family val="2"/>
        <scheme val="minor"/>
      </rPr>
      <t xml:space="preserve"> El municipio no cuenta con esta informacion estadistica</t>
    </r>
    <r>
      <rPr>
        <b/>
        <sz val="10"/>
        <rFont val="Calibri"/>
        <family val="2"/>
        <scheme val="minor"/>
      </rPr>
      <t xml:space="preserve">
Alcaldía Montenegro: </t>
    </r>
    <r>
      <rPr>
        <sz val="10"/>
        <rFont val="Calibri"/>
        <family val="2"/>
        <scheme val="minor"/>
      </rPr>
      <t xml:space="preserve">al momento no se cuenta con una tasa de desempleo juvenil en el municipio, sin embargo desde la Subsecretría de Desarrollo Social y Educativo se han abierto espacios para que los jóvenes conoscan de algunas ofertas laborales.
</t>
    </r>
    <r>
      <rPr>
        <b/>
        <sz val="10"/>
        <rFont val="Calibri"/>
        <family val="2"/>
        <scheme val="minor"/>
      </rPr>
      <t xml:space="preserve">Alcaldía Pijao: </t>
    </r>
    <r>
      <rPr>
        <sz val="10"/>
        <rFont val="Calibri"/>
        <family val="2"/>
        <scheme val="minor"/>
      </rPr>
      <t xml:space="preserve">convocatorias y apoyo a empresas, recepción de hojas de vida.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</si>
</sst>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 numFmtId="177" formatCode="_-[$$-240A]\ * #,##0.00_-;\-[$$-240A]\ * #,##0.00_-;_-[$$-240A]\ * &quot;-&quot;??_-;_-@_-"/>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22">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5" tint="-0.249977111117893"/>
        <bgColor indexed="64"/>
      </patternFill>
    </fill>
    <fill>
      <patternFill patternType="solid">
        <fgColor rgb="FF7030A0"/>
        <bgColor indexed="64"/>
      </patternFill>
    </fill>
    <fill>
      <patternFill patternType="solid">
        <fgColor theme="8" tint="0.59999389629810485"/>
        <bgColor indexed="64"/>
      </patternFill>
    </fill>
    <fill>
      <patternFill patternType="solid">
        <fgColor rgb="FFFF99CC"/>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745">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65" fontId="4" fillId="3" borderId="5" xfId="0" applyNumberFormat="1" applyFont="1" applyFill="1" applyBorder="1" applyAlignment="1">
      <alignment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1"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7" fontId="4" fillId="0" borderId="21" xfId="1" applyNumberFormat="1" applyFont="1" applyFill="1" applyBorder="1" applyAlignment="1">
      <alignment horizontal="center"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11" fillId="3" borderId="22"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1" applyFont="1" applyFill="1"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vertical="center"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3" fontId="0" fillId="0" borderId="5" xfId="0" applyNumberFormat="1" applyBorder="1" applyAlignment="1">
      <alignment horizontal="center" vertical="center" wrapText="1"/>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73" fontId="22" fillId="0" borderId="5" xfId="5" applyNumberFormat="1" applyFont="1" applyFill="1" applyBorder="1" applyAlignment="1">
      <alignment horizontal="center" vertical="center" wrapText="1"/>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3" fillId="0" borderId="22"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9" fontId="0" fillId="0" borderId="22" xfId="1" applyFont="1" applyFill="1" applyBorder="1" applyAlignment="1">
      <alignment horizontal="left" vertical="center" wrapText="1"/>
    </xf>
    <xf numFmtId="49" fontId="3" fillId="3" borderId="21" xfId="0" applyNumberFormat="1" applyFont="1" applyFill="1" applyBorder="1" applyAlignment="1">
      <alignment horizontal="justify"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164" fontId="3" fillId="0" borderId="5" xfId="3" applyFont="1" applyBorder="1" applyAlignment="1">
      <alignment horizontal="center" vertical="center"/>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3" fillId="0" borderId="5" xfId="0" applyNumberFormat="1" applyFont="1" applyBorder="1" applyAlignment="1">
      <alignment horizontal="center" vertical="center"/>
    </xf>
    <xf numFmtId="176" fontId="4" fillId="0" borderId="5" xfId="1" applyNumberFormat="1" applyFont="1" applyFill="1" applyBorder="1" applyAlignment="1">
      <alignment horizontal="center" vertical="center" wrapText="1"/>
    </xf>
    <xf numFmtId="9" fontId="4" fillId="0" borderId="5" xfId="1" applyFont="1" applyBorder="1" applyAlignment="1">
      <alignment vertical="center" wrapText="1"/>
    </xf>
    <xf numFmtId="177" fontId="4" fillId="3" borderId="29" xfId="4"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9" fontId="3" fillId="3" borderId="5" xfId="0" applyNumberFormat="1" applyFont="1" applyFill="1" applyBorder="1" applyAlignment="1">
      <alignment horizontal="left" vertical="center" wrapText="1"/>
    </xf>
    <xf numFmtId="0" fontId="3" fillId="3" borderId="5" xfId="0" applyFont="1" applyFill="1" applyBorder="1" applyAlignment="1">
      <alignment horizontal="justify" vertical="center" wrapText="1"/>
    </xf>
    <xf numFmtId="0" fontId="3" fillId="3" borderId="28" xfId="0" applyFont="1" applyFill="1" applyBorder="1" applyAlignment="1">
      <alignment vertical="center" wrapText="1"/>
    </xf>
    <xf numFmtId="0" fontId="3" fillId="3" borderId="29"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28"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9" fontId="4" fillId="0" borderId="5" xfId="1" applyFont="1" applyFill="1" applyBorder="1" applyAlignment="1">
      <alignment horizontal="center" vertical="center" wrapText="1"/>
    </xf>
    <xf numFmtId="9" fontId="4" fillId="18" borderId="5" xfId="1" applyFont="1" applyFill="1" applyBorder="1" applyAlignment="1">
      <alignment horizontal="center" vertical="center" wrapText="1"/>
    </xf>
    <xf numFmtId="9" fontId="4" fillId="19" borderId="29" xfId="1" applyFont="1" applyFill="1" applyBorder="1" applyAlignment="1">
      <alignment horizontal="center" vertical="center" wrapText="1"/>
    </xf>
    <xf numFmtId="9" fontId="4" fillId="19" borderId="5" xfId="1" applyFont="1" applyFill="1" applyBorder="1" applyAlignment="1">
      <alignment horizontal="center" vertical="center" wrapText="1"/>
    </xf>
    <xf numFmtId="0" fontId="4" fillId="3" borderId="29" xfId="0" applyFont="1" applyFill="1" applyBorder="1" applyAlignment="1">
      <alignment horizontal="center" vertical="center" wrapText="1"/>
    </xf>
    <xf numFmtId="1" fontId="3" fillId="3" borderId="5" xfId="0" applyNumberFormat="1" applyFont="1" applyFill="1" applyBorder="1" applyAlignment="1">
      <alignment horizontal="center" vertical="center"/>
    </xf>
    <xf numFmtId="1" fontId="4" fillId="3" borderId="5" xfId="1"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166" fontId="4" fillId="19"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166" fontId="4" fillId="0" borderId="5"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9" fontId="4" fillId="0" borderId="21" xfId="1" applyFont="1" applyFill="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28"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0" fontId="4" fillId="0" borderId="5" xfId="0" applyFont="1" applyBorder="1" applyAlignment="1">
      <alignment vertical="center" wrapText="1"/>
    </xf>
    <xf numFmtId="0" fontId="17" fillId="0" borderId="22" xfId="0" applyFont="1" applyBorder="1" applyAlignment="1">
      <alignment horizontal="justify" vertical="center" wrapText="1"/>
    </xf>
    <xf numFmtId="170" fontId="4" fillId="0" borderId="5"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3" fillId="0" borderId="22" xfId="0" applyFont="1" applyBorder="1" applyAlignment="1">
      <alignment vertical="center" wrapText="1"/>
    </xf>
    <xf numFmtId="0" fontId="4" fillId="0" borderId="21" xfId="0" applyFont="1" applyBorder="1" applyAlignment="1">
      <alignment horizontal="center" vertical="center"/>
    </xf>
    <xf numFmtId="170" fontId="4" fillId="0" borderId="5" xfId="0" applyNumberFormat="1" applyFont="1" applyBorder="1" applyAlignment="1">
      <alignment horizontal="center" vertical="center"/>
    </xf>
    <xf numFmtId="0" fontId="4" fillId="0" borderId="22" xfId="0" applyFont="1" applyBorder="1" applyAlignment="1">
      <alignment vertical="center" wrapText="1"/>
    </xf>
    <xf numFmtId="0" fontId="3" fillId="0" borderId="22" xfId="0" applyFont="1" applyBorder="1" applyAlignment="1">
      <alignment horizontal="left" vertical="center" wrapText="1"/>
    </xf>
    <xf numFmtId="0" fontId="11" fillId="0" borderId="22" xfId="0" applyFont="1" applyBorder="1" applyAlignment="1">
      <alignment horizontal="left" vertical="center" wrapText="1"/>
    </xf>
    <xf numFmtId="170" fontId="4" fillId="0" borderId="0" xfId="0" applyNumberFormat="1" applyFont="1" applyAlignment="1">
      <alignment horizontal="center" vertical="center" wrapText="1"/>
    </xf>
    <xf numFmtId="0" fontId="2" fillId="0" borderId="5" xfId="0" applyFont="1" applyBorder="1" applyAlignment="1">
      <alignment horizontal="left" vertical="center" wrapText="1"/>
    </xf>
    <xf numFmtId="9" fontId="17" fillId="0" borderId="21" xfId="0" applyNumberFormat="1" applyFont="1" applyBorder="1" applyAlignment="1">
      <alignment horizontal="center" vertical="center" wrapText="1"/>
    </xf>
    <xf numFmtId="9" fontId="0" fillId="0" borderId="5" xfId="0" applyNumberFormat="1" applyBorder="1" applyAlignment="1">
      <alignment horizontal="center" vertical="center"/>
    </xf>
    <xf numFmtId="9" fontId="3" fillId="0" borderId="22" xfId="0" applyNumberFormat="1" applyFont="1" applyBorder="1" applyAlignment="1">
      <alignment horizontal="left" vertical="center" wrapText="1"/>
    </xf>
    <xf numFmtId="9" fontId="4" fillId="0" borderId="21" xfId="1" applyFont="1" applyFill="1" applyBorder="1" applyAlignment="1">
      <alignment horizontal="center" vertical="center"/>
    </xf>
    <xf numFmtId="170" fontId="4" fillId="0" borderId="5" xfId="1" applyNumberFormat="1" applyFont="1" applyFill="1" applyBorder="1" applyAlignment="1">
      <alignment horizontal="center" vertical="center" wrapText="1"/>
    </xf>
    <xf numFmtId="9" fontId="4" fillId="0" borderId="22" xfId="0" applyNumberFormat="1" applyFont="1" applyBorder="1" applyAlignment="1">
      <alignment horizontal="left" vertical="center" wrapText="1"/>
    </xf>
    <xf numFmtId="9" fontId="3" fillId="0" borderId="5" xfId="0" applyNumberFormat="1" applyFont="1" applyBorder="1" applyAlignment="1">
      <alignment horizontal="left" vertical="center" wrapText="1"/>
    </xf>
    <xf numFmtId="9" fontId="3" fillId="0" borderId="5" xfId="0" applyNumberFormat="1" applyFont="1" applyBorder="1" applyAlignment="1">
      <alignment horizontal="center" vertical="center" wrapText="1"/>
    </xf>
    <xf numFmtId="0" fontId="4" fillId="0" borderId="22" xfId="1" applyNumberFormat="1" applyFont="1" applyFill="1" applyBorder="1" applyAlignment="1">
      <alignment horizontal="center" vertical="center" wrapText="1"/>
    </xf>
    <xf numFmtId="1" fontId="3" fillId="0" borderId="21" xfId="1" applyNumberFormat="1" applyFont="1" applyFill="1" applyBorder="1" applyAlignment="1">
      <alignment horizontal="center" vertical="center"/>
    </xf>
    <xf numFmtId="1" fontId="4" fillId="0" borderId="21" xfId="1" applyNumberFormat="1" applyFont="1" applyFill="1" applyBorder="1" applyAlignment="1">
      <alignment horizontal="center" vertical="center"/>
    </xf>
    <xf numFmtId="0" fontId="2" fillId="0" borderId="29" xfId="0" applyFont="1" applyBorder="1" applyAlignment="1">
      <alignment vertical="center" wrapText="1"/>
    </xf>
    <xf numFmtId="9" fontId="17" fillId="0" borderId="22" xfId="0" applyNumberFormat="1" applyFont="1" applyBorder="1" applyAlignment="1">
      <alignment horizontal="justify" vertical="center" wrapText="1"/>
    </xf>
    <xf numFmtId="9" fontId="17" fillId="0" borderId="22" xfId="0" applyNumberFormat="1" applyFont="1" applyBorder="1" applyAlignment="1">
      <alignment horizontal="center" vertical="center" wrapText="1"/>
    </xf>
    <xf numFmtId="10" fontId="3" fillId="0" borderId="21" xfId="0" applyNumberFormat="1" applyFont="1" applyBorder="1" applyAlignment="1">
      <alignment horizontal="center" vertical="center" wrapText="1"/>
    </xf>
    <xf numFmtId="166" fontId="3" fillId="0" borderId="21" xfId="0" applyNumberFormat="1" applyFont="1" applyBorder="1" applyAlignment="1">
      <alignment horizontal="center" vertical="center"/>
    </xf>
    <xf numFmtId="166" fontId="3" fillId="0" borderId="5" xfId="0" applyNumberFormat="1" applyFont="1" applyBorder="1" applyAlignment="1">
      <alignment horizontal="center" vertical="center"/>
    </xf>
    <xf numFmtId="10" fontId="0" fillId="0" borderId="21" xfId="0" applyNumberFormat="1" applyBorder="1" applyAlignment="1">
      <alignment vertical="center"/>
    </xf>
    <xf numFmtId="9" fontId="12" fillId="0" borderId="5" xfId="0" applyNumberFormat="1" applyFont="1" applyBorder="1" applyAlignment="1">
      <alignment vertical="center"/>
    </xf>
    <xf numFmtId="166" fontId="0" fillId="0" borderId="22" xfId="0" applyNumberFormat="1" applyBorder="1" applyAlignment="1">
      <alignment vertical="top" wrapText="1"/>
    </xf>
    <xf numFmtId="0" fontId="29" fillId="0" borderId="22" xfId="0" applyFont="1" applyBorder="1" applyAlignment="1">
      <alignment vertical="top" wrapText="1"/>
    </xf>
    <xf numFmtId="10" fontId="4" fillId="0" borderId="21"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22" xfId="0" applyFont="1" applyBorder="1" applyAlignment="1">
      <alignment horizontal="left" vertical="center" wrapText="1"/>
    </xf>
    <xf numFmtId="9" fontId="4" fillId="0" borderId="3" xfId="1"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21" xfId="1" applyNumberFormat="1" applyFont="1" applyFill="1" applyBorder="1" applyAlignment="1">
      <alignment vertical="center"/>
    </xf>
    <xf numFmtId="0" fontId="12" fillId="0" borderId="5" xfId="0" applyFont="1" applyBorder="1" applyAlignment="1">
      <alignment vertical="center"/>
    </xf>
    <xf numFmtId="166" fontId="0" fillId="0" borderId="22" xfId="0" applyNumberFormat="1" applyBorder="1" applyAlignment="1">
      <alignment vertical="center" wrapText="1"/>
    </xf>
    <xf numFmtId="9" fontId="3" fillId="0" borderId="21" xfId="0" applyNumberFormat="1" applyFont="1" applyBorder="1" applyAlignment="1">
      <alignment horizontal="center" vertical="center" wrapText="1"/>
    </xf>
    <xf numFmtId="9" fontId="0" fillId="0" borderId="21" xfId="0" applyNumberFormat="1" applyBorder="1" applyAlignment="1">
      <alignment horizontal="center" vertical="center"/>
    </xf>
    <xf numFmtId="166" fontId="0" fillId="0" borderId="22" xfId="0" applyNumberFormat="1" applyBorder="1" applyAlignment="1">
      <alignment horizontal="left" vertical="center" wrapText="1"/>
    </xf>
    <xf numFmtId="0" fontId="0" fillId="0" borderId="21" xfId="1" applyNumberFormat="1" applyFont="1" applyFill="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10" fontId="0" fillId="0" borderId="21" xfId="0" applyNumberFormat="1" applyBorder="1" applyAlignment="1">
      <alignment horizontal="center" vertical="center"/>
    </xf>
    <xf numFmtId="10" fontId="0" fillId="0" borderId="5" xfId="0" applyNumberFormat="1" applyBorder="1" applyAlignment="1">
      <alignment horizontal="center" vertical="center"/>
    </xf>
    <xf numFmtId="0" fontId="3" fillId="0" borderId="5" xfId="0" applyFont="1" applyBorder="1" applyAlignment="1">
      <alignment vertical="center"/>
    </xf>
    <xf numFmtId="9" fontId="3" fillId="0" borderId="22" xfId="0" applyNumberFormat="1" applyFont="1" applyBorder="1" applyAlignment="1">
      <alignment horizontal="justify" vertical="center" wrapText="1"/>
    </xf>
    <xf numFmtId="9" fontId="0" fillId="0" borderId="22" xfId="0" applyNumberFormat="1" applyBorder="1" applyAlignment="1">
      <alignment horizontal="left" vertical="center" wrapText="1"/>
    </xf>
    <xf numFmtId="9" fontId="4" fillId="0" borderId="21" xfId="0" applyNumberFormat="1" applyFont="1" applyBorder="1" applyAlignment="1">
      <alignment horizontal="center" vertical="center" wrapText="1"/>
    </xf>
    <xf numFmtId="0" fontId="2" fillId="0" borderId="22" xfId="0" applyFont="1" applyBorder="1" applyAlignment="1">
      <alignment horizontal="left" vertical="center" wrapText="1"/>
    </xf>
    <xf numFmtId="0" fontId="2" fillId="0" borderId="29" xfId="0" applyFont="1" applyBorder="1" applyAlignment="1">
      <alignment horizontal="left" vertical="center" wrapText="1"/>
    </xf>
    <xf numFmtId="167" fontId="3" fillId="0" borderId="5" xfId="0" applyNumberFormat="1" applyFont="1" applyBorder="1" applyAlignment="1">
      <alignment horizontal="center" vertical="center" wrapText="1"/>
    </xf>
    <xf numFmtId="10" fontId="16" fillId="0" borderId="5" xfId="0" applyNumberFormat="1" applyFont="1" applyBorder="1" applyAlignment="1">
      <alignment horizontal="center" vertical="center" wrapText="1"/>
    </xf>
    <xf numFmtId="171" fontId="22" fillId="0" borderId="5" xfId="0" applyNumberFormat="1" applyFont="1" applyBorder="1" applyAlignment="1" applyProtection="1">
      <alignment horizontal="center" vertical="center" wrapText="1"/>
      <protection locked="0"/>
    </xf>
    <xf numFmtId="0" fontId="2" fillId="0" borderId="22" xfId="0" applyFont="1" applyBorder="1" applyAlignment="1">
      <alignment horizontal="justify" vertical="center" wrapText="1"/>
    </xf>
    <xf numFmtId="0" fontId="11" fillId="0" borderId="22" xfId="0" applyFont="1" applyBorder="1" applyAlignment="1">
      <alignment horizontal="justify" vertical="center" wrapText="1"/>
    </xf>
    <xf numFmtId="166" fontId="3" fillId="0" borderId="21" xfId="1" applyNumberFormat="1" applyFont="1" applyFill="1" applyBorder="1" applyAlignment="1">
      <alignment horizontal="center" vertical="center" wrapText="1"/>
    </xf>
    <xf numFmtId="166" fontId="3" fillId="0" borderId="5" xfId="1" applyNumberFormat="1" applyFont="1" applyFill="1" applyBorder="1" applyAlignment="1">
      <alignment horizontal="center" vertical="center" wrapText="1"/>
    </xf>
    <xf numFmtId="166" fontId="4" fillId="0" borderId="21" xfId="1" applyNumberFormat="1" applyFont="1" applyFill="1" applyBorder="1" applyAlignment="1">
      <alignment horizontal="center" vertical="center" wrapText="1"/>
    </xf>
    <xf numFmtId="0" fontId="0" fillId="0" borderId="22" xfId="0" applyBorder="1" applyAlignment="1">
      <alignment horizontal="left" vertical="top" wrapText="1"/>
    </xf>
    <xf numFmtId="10" fontId="3" fillId="0" borderId="21"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173" fontId="22" fillId="0" borderId="5" xfId="0" applyNumberFormat="1" applyFont="1" applyBorder="1" applyAlignment="1" applyProtection="1">
      <alignment horizontal="center" vertical="center" wrapText="1"/>
      <protection locked="0"/>
    </xf>
    <xf numFmtId="166" fontId="3" fillId="0" borderId="2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5" xfId="0" applyNumberFormat="1" applyFont="1" applyBorder="1" applyAlignment="1">
      <alignment horizontal="center" vertical="center" wrapText="1"/>
    </xf>
    <xf numFmtId="0" fontId="3" fillId="0" borderId="28" xfId="0" applyFont="1" applyBorder="1" applyAlignment="1">
      <alignment vertical="center" wrapText="1"/>
    </xf>
    <xf numFmtId="168" fontId="4"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wrapText="1"/>
    </xf>
    <xf numFmtId="177" fontId="4" fillId="0" borderId="29" xfId="4" applyNumberFormat="1" applyFont="1" applyFill="1" applyBorder="1" applyAlignment="1">
      <alignment horizontal="center" vertical="center" wrapText="1"/>
    </xf>
    <xf numFmtId="168" fontId="4" fillId="0" borderId="29" xfId="0" applyNumberFormat="1" applyFont="1" applyBorder="1" applyAlignment="1">
      <alignment horizontal="center" vertical="center" wrapText="1"/>
    </xf>
    <xf numFmtId="0" fontId="3" fillId="0" borderId="29" xfId="0" applyFont="1" applyBorder="1" applyAlignment="1">
      <alignment vertical="center" wrapText="1"/>
    </xf>
    <xf numFmtId="9" fontId="3" fillId="0" borderId="21" xfId="1" applyFont="1" applyFill="1" applyBorder="1" applyAlignment="1">
      <alignment horizontal="center" vertical="center" wrapText="1"/>
    </xf>
    <xf numFmtId="0" fontId="13" fillId="0" borderId="22" xfId="0" applyFont="1" applyBorder="1" applyAlignment="1">
      <alignment horizontal="justify" vertical="center" wrapText="1"/>
    </xf>
    <xf numFmtId="1" fontId="3" fillId="0" borderId="5" xfId="0" applyNumberFormat="1" applyFont="1" applyBorder="1" applyAlignment="1">
      <alignment horizontal="center" vertical="center" wrapText="1"/>
    </xf>
    <xf numFmtId="0" fontId="3" fillId="0" borderId="29" xfId="0" applyFont="1" applyBorder="1" applyAlignment="1">
      <alignment horizontal="justify" vertical="center" wrapText="1"/>
    </xf>
    <xf numFmtId="2" fontId="3" fillId="0" borderId="21" xfId="0" applyNumberFormat="1" applyFont="1" applyBorder="1" applyAlignment="1">
      <alignment horizontal="center" vertical="center" wrapText="1"/>
    </xf>
    <xf numFmtId="0" fontId="0" fillId="0" borderId="22" xfId="0" applyBorder="1" applyAlignment="1">
      <alignment vertical="top" wrapText="1"/>
    </xf>
    <xf numFmtId="167" fontId="3" fillId="0" borderId="21" xfId="1"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22" xfId="0" applyBorder="1" applyAlignment="1">
      <alignment horizontal="center" vertical="center" wrapText="1"/>
    </xf>
    <xf numFmtId="171" fontId="4" fillId="0" borderId="21" xfId="3"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21" fillId="0" borderId="22" xfId="0" applyFont="1" applyBorder="1" applyAlignment="1">
      <alignment horizontal="justify" vertical="center" wrapText="1"/>
    </xf>
    <xf numFmtId="9" fontId="3" fillId="0" borderId="22" xfId="0" applyNumberFormat="1" applyFont="1" applyBorder="1" applyAlignment="1">
      <alignment vertical="center" wrapText="1"/>
    </xf>
    <xf numFmtId="9" fontId="11" fillId="0" borderId="22" xfId="0" applyNumberFormat="1" applyFont="1" applyBorder="1" applyAlignment="1">
      <alignment vertical="center" wrapText="1"/>
    </xf>
    <xf numFmtId="9" fontId="3" fillId="0" borderId="29" xfId="0" applyNumberFormat="1" applyFont="1" applyBorder="1" applyAlignment="1">
      <alignment vertical="center" wrapText="1"/>
    </xf>
    <xf numFmtId="165" fontId="3" fillId="0" borderId="5" xfId="0" applyNumberFormat="1" applyFont="1" applyBorder="1" applyAlignment="1">
      <alignment vertical="center" wrapText="1"/>
    </xf>
    <xf numFmtId="1" fontId="3" fillId="0" borderId="22" xfId="0" applyNumberFormat="1" applyFont="1" applyBorder="1" applyAlignment="1">
      <alignment horizontal="center" vertical="center" wrapText="1"/>
    </xf>
    <xf numFmtId="1" fontId="0" fillId="0" borderId="22" xfId="0" applyNumberFormat="1" applyBorder="1" applyAlignment="1">
      <alignment horizontal="left" vertical="center" wrapText="1"/>
    </xf>
    <xf numFmtId="9" fontId="0" fillId="0" borderId="21" xfId="0" applyNumberFormat="1" applyBorder="1" applyAlignment="1">
      <alignment vertical="center"/>
    </xf>
    <xf numFmtId="9" fontId="0" fillId="0" borderId="5" xfId="0" applyNumberFormat="1" applyBorder="1" applyAlignment="1">
      <alignment vertical="center"/>
    </xf>
    <xf numFmtId="1" fontId="0" fillId="0" borderId="22" xfId="0" applyNumberFormat="1" applyBorder="1" applyAlignment="1">
      <alignment vertical="center" wrapText="1"/>
    </xf>
    <xf numFmtId="176" fontId="3" fillId="0" borderId="5" xfId="0" applyNumberFormat="1" applyFont="1" applyBorder="1" applyAlignment="1">
      <alignment horizontal="center" vertical="center"/>
    </xf>
    <xf numFmtId="0" fontId="3" fillId="0" borderId="29" xfId="0" applyFont="1" applyBorder="1" applyAlignment="1">
      <alignment horizontal="left" vertical="center" wrapText="1"/>
    </xf>
    <xf numFmtId="165" fontId="4" fillId="0" borderId="4"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4" fillId="3" borderId="0" xfId="0" applyNumberFormat="1" applyFont="1" applyFill="1" applyAlignment="1">
      <alignment horizontal="center" vertical="center" wrapText="1"/>
    </xf>
    <xf numFmtId="165" fontId="0" fillId="0" borderId="0" xfId="0" applyNumberFormat="1"/>
    <xf numFmtId="166" fontId="4" fillId="3" borderId="3" xfId="1" applyNumberFormat="1" applyFont="1" applyFill="1" applyBorder="1" applyAlignment="1">
      <alignment horizontal="center" vertical="center" wrapText="1"/>
    </xf>
    <xf numFmtId="0" fontId="12" fillId="0" borderId="0" xfId="0" applyFont="1" applyAlignment="1">
      <alignment horizontal="justify"/>
    </xf>
    <xf numFmtId="0" fontId="4" fillId="0" borderId="5" xfId="0" applyFont="1" applyBorder="1" applyAlignment="1">
      <alignment horizontal="justify" vertical="center" wrapText="1"/>
    </xf>
    <xf numFmtId="0" fontId="11" fillId="0" borderId="5" xfId="0" applyFont="1" applyBorder="1" applyAlignment="1">
      <alignment horizontal="justify" vertical="center" wrapText="1"/>
    </xf>
    <xf numFmtId="9" fontId="4" fillId="3" borderId="5" xfId="0" applyNumberFormat="1" applyFont="1" applyFill="1" applyBorder="1" applyAlignment="1">
      <alignment horizontal="justify" vertical="center" wrapText="1"/>
    </xf>
    <xf numFmtId="0" fontId="4" fillId="3" borderId="5" xfId="0" applyFont="1" applyFill="1" applyBorder="1" applyAlignment="1">
      <alignment horizontal="justify" vertical="center" wrapText="1"/>
    </xf>
    <xf numFmtId="0" fontId="11" fillId="0" borderId="29"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9" fontId="4" fillId="0" borderId="29" xfId="0" applyNumberFormat="1" applyFont="1" applyBorder="1" applyAlignment="1">
      <alignment horizontal="justify" vertical="center" wrapText="1"/>
    </xf>
    <xf numFmtId="9" fontId="4" fillId="0" borderId="5" xfId="0" applyNumberFormat="1" applyFont="1" applyBorder="1" applyAlignment="1">
      <alignment horizontal="justify" vertical="center" wrapText="1"/>
    </xf>
    <xf numFmtId="0" fontId="4" fillId="0" borderId="4" xfId="0" applyFont="1" applyBorder="1" applyAlignment="1">
      <alignment horizontal="justify" vertical="center" wrapText="1"/>
    </xf>
    <xf numFmtId="9" fontId="4" fillId="21" borderId="5" xfId="1" applyFont="1" applyFill="1" applyBorder="1" applyAlignment="1">
      <alignment horizontal="center" vertical="center" wrapText="1"/>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0" fontId="0" fillId="0" borderId="0" xfId="0"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4" xfId="1" applyFont="1" applyFill="1" applyBorder="1" applyAlignment="1">
      <alignment horizontal="center" vertical="center" wrapText="1"/>
    </xf>
    <xf numFmtId="9" fontId="4" fillId="0" borderId="6" xfId="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9" fontId="4" fillId="11" borderId="5" xfId="1" applyFont="1" applyFill="1" applyBorder="1" applyAlignment="1">
      <alignment horizontal="center" vertical="center" wrapText="1"/>
    </xf>
    <xf numFmtId="9" fontId="4" fillId="7" borderId="28" xfId="1"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4" xfId="0" applyFont="1" applyFill="1" applyBorder="1" applyAlignment="1">
      <alignment horizontal="left" vertical="center" wrapText="1"/>
    </xf>
    <xf numFmtId="9" fontId="3" fillId="0" borderId="5" xfId="0" applyNumberFormat="1" applyFont="1" applyBorder="1" applyAlignment="1">
      <alignment horizontal="center" vertical="center"/>
    </xf>
    <xf numFmtId="0" fontId="3" fillId="0" borderId="5" xfId="0" applyFont="1" applyBorder="1" applyAlignment="1">
      <alignment horizontal="center" vertical="center"/>
    </xf>
    <xf numFmtId="0" fontId="4" fillId="3" borderId="5" xfId="0" applyFont="1" applyFill="1" applyBorder="1" applyAlignment="1">
      <alignment horizontal="center" vertical="center" wrapText="1"/>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165" fontId="12" fillId="3" borderId="28" xfId="0" applyNumberFormat="1" applyFont="1" applyFill="1" applyBorder="1" applyAlignment="1">
      <alignment horizontal="center" vertical="center" wrapText="1"/>
    </xf>
    <xf numFmtId="165" fontId="12" fillId="3" borderId="29"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9" fontId="4" fillId="3" borderId="28" xfId="0" applyNumberFormat="1" applyFont="1" applyFill="1" applyBorder="1" applyAlignment="1">
      <alignment horizontal="justify" vertical="center" wrapText="1"/>
    </xf>
    <xf numFmtId="9" fontId="4" fillId="3" borderId="29" xfId="0" applyNumberFormat="1" applyFont="1" applyFill="1" applyBorder="1" applyAlignment="1">
      <alignment horizontal="justify" vertical="center" wrapText="1"/>
    </xf>
    <xf numFmtId="169" fontId="4" fillId="0" borderId="28" xfId="0" applyNumberFormat="1" applyFont="1" applyBorder="1" applyAlignment="1">
      <alignment horizontal="center" vertical="center" wrapText="1"/>
    </xf>
    <xf numFmtId="169" fontId="4" fillId="0" borderId="4" xfId="0" applyNumberFormat="1" applyFont="1" applyBorder="1" applyAlignment="1">
      <alignment horizontal="center" vertical="center" wrapText="1"/>
    </xf>
    <xf numFmtId="169" fontId="4" fillId="0" borderId="29" xfId="0" applyNumberFormat="1" applyFont="1" applyBorder="1" applyAlignment="1">
      <alignment horizontal="center" vertical="center" wrapText="1"/>
    </xf>
    <xf numFmtId="165" fontId="4" fillId="3" borderId="4" xfId="0" applyNumberFormat="1" applyFont="1" applyFill="1" applyBorder="1" applyAlignment="1">
      <alignment horizontal="center" vertical="center" wrapText="1"/>
    </xf>
    <xf numFmtId="9" fontId="4" fillId="11" borderId="4" xfId="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9" fontId="4" fillId="7" borderId="6" xfId="1" applyFont="1" applyFill="1" applyBorder="1" applyAlignment="1">
      <alignment horizontal="center" vertical="center" wrapText="1"/>
    </xf>
    <xf numFmtId="9" fontId="4" fillId="0" borderId="28" xfId="1" applyFont="1" applyBorder="1" applyAlignment="1">
      <alignment horizontal="center" vertical="center" wrapText="1"/>
    </xf>
    <xf numFmtId="9" fontId="4" fillId="0" borderId="29" xfId="1" applyFont="1" applyBorder="1" applyAlignment="1">
      <alignment horizontal="center" vertical="center" wrapText="1"/>
    </xf>
    <xf numFmtId="9" fontId="4" fillId="5" borderId="28" xfId="1" applyFont="1" applyFill="1" applyBorder="1" applyAlignment="1">
      <alignment horizontal="center" vertical="center" wrapText="1"/>
    </xf>
    <xf numFmtId="9" fontId="4" fillId="5" borderId="29"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15" fillId="0" borderId="28"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29"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3" borderId="22"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165" fontId="4" fillId="0" borderId="28"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4" fillId="0" borderId="29" xfId="0" applyNumberFormat="1" applyFont="1" applyBorder="1" applyAlignment="1">
      <alignment horizontal="center" vertical="center" wrapText="1"/>
    </xf>
    <xf numFmtId="0" fontId="3" fillId="0" borderId="28" xfId="0" applyFont="1" applyBorder="1" applyAlignment="1">
      <alignment horizontal="left" vertical="center" wrapText="1"/>
    </xf>
    <xf numFmtId="0" fontId="3" fillId="0" borderId="4" xfId="0" applyFont="1" applyBorder="1" applyAlignment="1">
      <alignment horizontal="left" vertical="center" wrapText="1"/>
    </xf>
    <xf numFmtId="0" fontId="3" fillId="0" borderId="29" xfId="0" applyFont="1" applyBorder="1" applyAlignment="1">
      <alignment horizontal="left" vertical="center" wrapText="1"/>
    </xf>
    <xf numFmtId="10" fontId="4" fillId="0" borderId="5" xfId="0" applyNumberFormat="1" applyFont="1" applyBorder="1" applyAlignment="1">
      <alignment horizontal="center" vertical="center" wrapText="1"/>
    </xf>
    <xf numFmtId="9" fontId="4" fillId="0" borderId="5" xfId="1" applyFont="1" applyFill="1" applyBorder="1" applyAlignment="1">
      <alignment horizontal="center" vertical="center" wrapText="1"/>
    </xf>
    <xf numFmtId="165" fontId="11" fillId="3" borderId="29" xfId="0" applyNumberFormat="1" applyFont="1" applyFill="1" applyBorder="1" applyAlignment="1">
      <alignment horizontal="center" vertical="center" wrapText="1"/>
    </xf>
    <xf numFmtId="9" fontId="3" fillId="0" borderId="28" xfId="0" applyNumberFormat="1" applyFont="1" applyBorder="1" applyAlignment="1">
      <alignment horizontal="center" vertical="center"/>
    </xf>
    <xf numFmtId="9" fontId="3" fillId="0" borderId="29" xfId="0" applyNumberFormat="1" applyFont="1" applyBorder="1" applyAlignment="1">
      <alignment horizontal="center" vertical="center"/>
    </xf>
    <xf numFmtId="0" fontId="2" fillId="0" borderId="28" xfId="0" applyFont="1" applyBorder="1" applyAlignment="1">
      <alignment horizontal="left" vertical="center" wrapText="1"/>
    </xf>
    <xf numFmtId="165" fontId="4" fillId="0" borderId="5" xfId="0" applyNumberFormat="1" applyFont="1" applyBorder="1" applyAlignment="1">
      <alignment horizontal="center" vertical="center" wrapText="1"/>
    </xf>
    <xf numFmtId="44" fontId="4" fillId="0" borderId="5" xfId="4" applyFont="1" applyFill="1" applyBorder="1" applyAlignment="1">
      <alignment horizontal="center" vertical="center" wrapText="1"/>
    </xf>
    <xf numFmtId="9" fontId="4" fillId="5" borderId="6" xfId="1" applyFont="1" applyFill="1" applyBorder="1" applyAlignment="1">
      <alignment horizontal="center" vertical="center" wrapText="1"/>
    </xf>
    <xf numFmtId="0" fontId="0" fillId="0" borderId="22" xfId="0" applyBorder="1" applyAlignment="1">
      <alignment horizontal="center" vertical="top" wrapText="1"/>
    </xf>
    <xf numFmtId="0" fontId="0" fillId="0" borderId="22" xfId="0" applyBorder="1" applyAlignment="1">
      <alignment horizontal="left" vertical="center" wrapText="1"/>
    </xf>
    <xf numFmtId="10" fontId="3" fillId="0" borderId="21"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0" fontId="4"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9" fontId="3" fillId="5" borderId="5" xfId="1" applyFont="1" applyFill="1" applyBorder="1" applyAlignment="1">
      <alignment horizontal="center" vertical="center" wrapText="1"/>
    </xf>
    <xf numFmtId="9" fontId="3" fillId="3" borderId="5" xfId="1" applyFont="1" applyFill="1" applyBorder="1" applyAlignment="1">
      <alignment horizontal="center" vertical="center" wrapText="1"/>
    </xf>
    <xf numFmtId="1" fontId="4" fillId="0" borderId="21" xfId="0" applyNumberFormat="1" applyFont="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22" xfId="0" applyFont="1" applyFill="1" applyBorder="1" applyAlignment="1">
      <alignment horizontal="left" vertical="center" wrapText="1"/>
    </xf>
    <xf numFmtId="1" fontId="3" fillId="0" borderId="21"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3" fillId="4" borderId="5" xfId="1" applyFont="1" applyFill="1" applyBorder="1" applyAlignment="1">
      <alignment horizontal="center" vertical="center" wrapText="1"/>
    </xf>
    <xf numFmtId="0" fontId="3" fillId="0" borderId="21" xfId="0" applyFont="1" applyBorder="1" applyAlignment="1">
      <alignment horizontal="center" vertical="center" wrapText="1"/>
    </xf>
    <xf numFmtId="3" fontId="0" fillId="0" borderId="5" xfId="0" applyNumberFormat="1" applyBorder="1" applyAlignment="1">
      <alignment horizontal="center" vertical="center" wrapText="1"/>
    </xf>
    <xf numFmtId="0" fontId="0" fillId="0" borderId="5" xfId="0" applyBorder="1" applyAlignment="1">
      <alignment horizontal="center" vertical="center"/>
    </xf>
    <xf numFmtId="175" fontId="0" fillId="0" borderId="5" xfId="4" applyNumberFormat="1" applyFon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0" fillId="0" borderId="22" xfId="0" applyBorder="1" applyAlignment="1">
      <alignment horizontal="center" vertical="center" wrapText="1"/>
    </xf>
    <xf numFmtId="10" fontId="0" fillId="0" borderId="22" xfId="0" applyNumberFormat="1" applyBorder="1" applyAlignment="1">
      <alignment horizontal="center" vertical="center" wrapText="1"/>
    </xf>
    <xf numFmtId="0" fontId="0" fillId="0" borderId="22" xfId="0" applyBorder="1" applyAlignment="1">
      <alignment horizontal="left" vertical="top" wrapText="1"/>
    </xf>
    <xf numFmtId="0" fontId="26" fillId="0" borderId="22" xfId="0" applyFont="1" applyBorder="1" applyAlignment="1">
      <alignment horizontal="left" vertical="top" wrapText="1"/>
    </xf>
    <xf numFmtId="1" fontId="0" fillId="0" borderId="22" xfId="0" applyNumberFormat="1" applyBorder="1" applyAlignment="1">
      <alignment horizontal="center" vertical="center" wrapText="1"/>
    </xf>
    <xf numFmtId="9" fontId="0" fillId="0" borderId="22" xfId="0" applyNumberFormat="1" applyBorder="1" applyAlignment="1">
      <alignment horizontal="left" vertical="center" wrapText="1"/>
    </xf>
    <xf numFmtId="175" fontId="0" fillId="0" borderId="5" xfId="4" applyNumberFormat="1" applyFont="1" applyFill="1" applyBorder="1" applyAlignment="1">
      <alignment horizontal="center" vertical="center"/>
    </xf>
    <xf numFmtId="175" fontId="0" fillId="0" borderId="5" xfId="4" applyNumberFormat="1" applyFont="1" applyFill="1" applyBorder="1" applyAlignment="1">
      <alignment horizontal="center" vertical="center" wrapText="1"/>
    </xf>
    <xf numFmtId="0" fontId="0" fillId="0" borderId="21" xfId="0" applyBorder="1" applyAlignment="1">
      <alignment horizontal="center" vertical="center"/>
    </xf>
    <xf numFmtId="9" fontId="0" fillId="0" borderId="21" xfId="0" applyNumberFormat="1" applyBorder="1" applyAlignment="1">
      <alignment horizontal="center" vertical="center"/>
    </xf>
    <xf numFmtId="9" fontId="0" fillId="0" borderId="5" xfId="0" applyNumberFormat="1" applyBorder="1" applyAlignment="1">
      <alignment horizontal="center" vertical="center"/>
    </xf>
    <xf numFmtId="164" fontId="25" fillId="3" borderId="5" xfId="10" applyFont="1" applyFill="1" applyBorder="1" applyAlignment="1">
      <alignment horizontal="center" vertical="center" wrapText="1"/>
    </xf>
    <xf numFmtId="175" fontId="0" fillId="0" borderId="5" xfId="4" applyNumberFormat="1" applyFont="1" applyBorder="1" applyAlignment="1">
      <alignment horizontal="center" vertical="center" wrapText="1"/>
    </xf>
    <xf numFmtId="9" fontId="4" fillId="5" borderId="5" xfId="1"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9" fontId="3" fillId="0" borderId="22" xfId="0" applyNumberFormat="1" applyFont="1" applyBorder="1" applyAlignment="1">
      <alignment horizontal="center" vertical="center" wrapText="1"/>
    </xf>
    <xf numFmtId="10" fontId="0" fillId="0" borderId="21"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3" fillId="0" borderId="21" xfId="0" applyFont="1" applyBorder="1" applyAlignment="1">
      <alignment horizontal="center" vertical="center" wrapText="1"/>
    </xf>
    <xf numFmtId="10" fontId="3" fillId="0" borderId="5"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170" fontId="4" fillId="3" borderId="5" xfId="1" applyNumberFormat="1" applyFont="1" applyFill="1" applyBorder="1" applyAlignment="1">
      <alignment horizontal="center" vertical="center" wrapText="1"/>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9" fontId="3" fillId="0" borderId="5" xfId="0" applyNumberFormat="1" applyFont="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0" fontId="2" fillId="3" borderId="22"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170" fontId="4" fillId="3" borderId="4"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3" borderId="29" xfId="0" applyFont="1" applyFill="1" applyBorder="1" applyAlignment="1">
      <alignment horizontal="left" vertical="center" wrapText="1"/>
    </xf>
    <xf numFmtId="6" fontId="4" fillId="3" borderId="5" xfId="1"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4" fillId="0" borderId="22" xfId="0" applyFont="1" applyBorder="1" applyAlignment="1">
      <alignment horizontal="center" vertical="center" wrapText="1"/>
    </xf>
    <xf numFmtId="2" fontId="4" fillId="0" borderId="5" xfId="1" applyNumberFormat="1" applyFont="1" applyFill="1" applyBorder="1" applyAlignment="1">
      <alignment horizontal="center" vertical="center" wrapText="1"/>
    </xf>
    <xf numFmtId="44" fontId="4" fillId="0" borderId="28" xfId="4" applyFont="1" applyFill="1" applyBorder="1" applyAlignment="1">
      <alignment horizontal="center" vertical="center" wrapText="1"/>
    </xf>
    <xf numFmtId="44" fontId="4" fillId="0" borderId="29" xfId="4" applyFont="1" applyFill="1" applyBorder="1" applyAlignment="1">
      <alignment horizontal="center" vertical="center" wrapText="1"/>
    </xf>
    <xf numFmtId="10" fontId="3" fillId="0" borderId="28" xfId="0" applyNumberFormat="1" applyFont="1" applyBorder="1" applyAlignment="1">
      <alignment horizontal="left" vertical="center" wrapText="1"/>
    </xf>
    <xf numFmtId="10" fontId="3" fillId="0" borderId="4" xfId="0" applyNumberFormat="1" applyFont="1" applyBorder="1" applyAlignment="1">
      <alignment horizontal="left" vertical="center" wrapText="1"/>
    </xf>
    <xf numFmtId="10" fontId="3" fillId="0" borderId="29" xfId="0" applyNumberFormat="1" applyFont="1" applyBorder="1" applyAlignment="1">
      <alignment horizontal="left" vertical="center" wrapText="1"/>
    </xf>
    <xf numFmtId="10" fontId="3" fillId="0" borderId="5" xfId="0" applyNumberFormat="1" applyFont="1" applyBorder="1" applyAlignment="1">
      <alignment horizontal="center" vertical="center"/>
    </xf>
    <xf numFmtId="170" fontId="4" fillId="0" borderId="5" xfId="4" applyNumberFormat="1" applyFont="1" applyFill="1" applyBorder="1" applyAlignment="1">
      <alignment horizontal="center" vertical="center" wrapText="1"/>
    </xf>
    <xf numFmtId="9" fontId="3" fillId="0" borderId="28" xfId="0" applyNumberFormat="1" applyFont="1" applyBorder="1" applyAlignment="1">
      <alignment horizontal="left" vertical="center" wrapText="1"/>
    </xf>
    <xf numFmtId="9" fontId="3" fillId="0" borderId="4" xfId="0" applyNumberFormat="1" applyFont="1" applyBorder="1" applyAlignment="1">
      <alignment horizontal="left" vertical="center" wrapText="1"/>
    </xf>
    <xf numFmtId="9" fontId="3" fillId="0" borderId="29" xfId="0" applyNumberFormat="1" applyFont="1" applyBorder="1" applyAlignment="1">
      <alignment horizontal="left" vertical="center" wrapText="1"/>
    </xf>
    <xf numFmtId="42" fontId="12" fillId="0" borderId="28" xfId="0" applyNumberFormat="1" applyFont="1" applyBorder="1" applyAlignment="1">
      <alignment horizontal="center" vertical="center" wrapText="1"/>
    </xf>
    <xf numFmtId="42" fontId="12" fillId="0" borderId="29"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left" vertical="center" wrapText="1"/>
    </xf>
    <xf numFmtId="9" fontId="3" fillId="0" borderId="26" xfId="0" applyNumberFormat="1" applyFont="1" applyBorder="1" applyAlignment="1">
      <alignment horizontal="center" vertical="center"/>
    </xf>
    <xf numFmtId="9" fontId="3" fillId="0" borderId="27" xfId="0" applyNumberFormat="1" applyFont="1" applyBorder="1" applyAlignment="1">
      <alignment horizontal="center" vertical="center"/>
    </xf>
    <xf numFmtId="0" fontId="16" fillId="2" borderId="19" xfId="0" applyFont="1" applyFill="1" applyBorder="1" applyAlignment="1">
      <alignment horizontal="center"/>
    </xf>
    <xf numFmtId="0" fontId="16" fillId="2" borderId="17" xfId="0" applyFont="1" applyFill="1" applyBorder="1" applyAlignment="1">
      <alignment horizontal="center"/>
    </xf>
    <xf numFmtId="0" fontId="16" fillId="2" borderId="11" xfId="0" applyFont="1" applyFill="1" applyBorder="1" applyAlignment="1">
      <alignment horizontal="center"/>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11"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16" borderId="19" xfId="0" applyFont="1" applyFill="1" applyBorder="1" applyAlignment="1">
      <alignment horizontal="center" vertical="center"/>
    </xf>
    <xf numFmtId="0" fontId="16" fillId="16" borderId="17" xfId="0" applyFont="1" applyFill="1" applyBorder="1" applyAlignment="1">
      <alignment horizontal="center" vertical="center"/>
    </xf>
    <xf numFmtId="0" fontId="16" fillId="16" borderId="11" xfId="0" applyFont="1" applyFill="1" applyBorder="1" applyAlignment="1">
      <alignment horizontal="center" vertical="center"/>
    </xf>
    <xf numFmtId="2" fontId="17"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3" fillId="0" borderId="21" xfId="0" applyFont="1" applyBorder="1" applyAlignment="1">
      <alignment horizontal="center" vertical="center"/>
    </xf>
    <xf numFmtId="0" fontId="2" fillId="0" borderId="22" xfId="0" applyFont="1" applyBorder="1" applyAlignment="1">
      <alignment horizontal="left" vertical="center" wrapText="1"/>
    </xf>
    <xf numFmtId="0" fontId="3" fillId="0" borderId="22" xfId="0" applyFont="1" applyBorder="1" applyAlignment="1">
      <alignment horizontal="left" vertical="center" wrapText="1"/>
    </xf>
    <xf numFmtId="9" fontId="4" fillId="0" borderId="21" xfId="0" applyNumberFormat="1" applyFont="1" applyBorder="1" applyAlignment="1">
      <alignment horizontal="center" vertical="center" wrapText="1"/>
    </xf>
    <xf numFmtId="0" fontId="4" fillId="0" borderId="22" xfId="0" applyFont="1" applyBorder="1" applyAlignment="1">
      <alignment horizontal="left" vertical="center" wrapText="1"/>
    </xf>
    <xf numFmtId="1" fontId="3" fillId="3" borderId="21"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0" fontId="11" fillId="0" borderId="22" xfId="0" applyFont="1" applyBorder="1" applyAlignment="1">
      <alignment horizontal="left" vertical="center" wrapText="1"/>
    </xf>
    <xf numFmtId="165" fontId="2" fillId="3" borderId="5" xfId="0" applyNumberFormat="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0" fontId="4" fillId="0" borderId="21" xfId="0" applyFont="1" applyBorder="1" applyAlignment="1">
      <alignment horizontal="center" vertical="center" wrapText="1"/>
    </xf>
    <xf numFmtId="9" fontId="3" fillId="0" borderId="21" xfId="3" applyNumberFormat="1" applyFont="1" applyFill="1" applyBorder="1" applyAlignment="1">
      <alignment horizontal="center" vertical="center" wrapText="1"/>
    </xf>
    <xf numFmtId="0" fontId="3" fillId="0" borderId="21" xfId="3" applyNumberFormat="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0" borderId="22" xfId="0" applyFont="1" applyBorder="1" applyAlignment="1">
      <alignment vertical="center" wrapText="1"/>
    </xf>
    <xf numFmtId="0" fontId="3" fillId="0" borderId="22" xfId="0" applyFont="1" applyBorder="1" applyAlignment="1">
      <alignment vertical="center" wrapText="1"/>
    </xf>
    <xf numFmtId="10" fontId="3" fillId="0" borderId="5" xfId="1" applyNumberFormat="1" applyFont="1" applyFill="1" applyBorder="1" applyAlignment="1">
      <alignment horizontal="center" vertical="center" wrapText="1"/>
    </xf>
    <xf numFmtId="10" fontId="4" fillId="0" borderId="21" xfId="0" applyNumberFormat="1" applyFont="1" applyBorder="1" applyAlignment="1">
      <alignment horizontal="center" vertical="center" wrapText="1"/>
    </xf>
    <xf numFmtId="10" fontId="4" fillId="0" borderId="5" xfId="1" applyNumberFormat="1" applyFont="1" applyFill="1" applyBorder="1" applyAlignment="1">
      <alignment horizontal="center" vertical="center" wrapText="1"/>
    </xf>
    <xf numFmtId="9" fontId="3" fillId="0" borderId="21" xfId="1" applyFont="1" applyFill="1" applyBorder="1" applyAlignment="1">
      <alignment horizontal="center" vertical="center" wrapText="1"/>
    </xf>
    <xf numFmtId="165" fontId="2" fillId="0" borderId="5" xfId="0" applyNumberFormat="1" applyFont="1" applyBorder="1" applyAlignment="1">
      <alignment horizontal="center" vertical="center" wrapText="1"/>
    </xf>
    <xf numFmtId="9" fontId="4" fillId="0" borderId="22" xfId="0" applyNumberFormat="1" applyFont="1" applyBorder="1" applyAlignment="1">
      <alignment horizontal="left" vertical="center" wrapText="1"/>
    </xf>
    <xf numFmtId="9" fontId="3" fillId="0" borderId="22" xfId="0" applyNumberFormat="1" applyFont="1" applyBorder="1" applyAlignment="1">
      <alignment horizontal="left" vertical="center" wrapText="1"/>
    </xf>
    <xf numFmtId="171" fontId="4" fillId="0" borderId="21" xfId="3" applyNumberFormat="1" applyFont="1" applyFill="1" applyBorder="1" applyAlignment="1">
      <alignment vertical="center" wrapText="1"/>
    </xf>
    <xf numFmtId="169" fontId="3" fillId="0" borderId="5" xfId="0" applyNumberFormat="1" applyFont="1" applyBorder="1" applyAlignment="1">
      <alignment horizontal="center" vertical="center" wrapText="1"/>
    </xf>
    <xf numFmtId="10" fontId="2" fillId="0" borderId="22" xfId="0" applyNumberFormat="1" applyFont="1" applyBorder="1" applyAlignment="1">
      <alignment horizontal="left" vertical="center" wrapText="1"/>
    </xf>
    <xf numFmtId="10" fontId="3" fillId="0" borderId="22" xfId="0" applyNumberFormat="1" applyFont="1" applyBorder="1" applyAlignment="1">
      <alignment horizontal="left" vertical="center" wrapText="1"/>
    </xf>
    <xf numFmtId="169" fontId="4" fillId="0" borderId="5" xfId="0" applyNumberFormat="1" applyFont="1" applyBorder="1" applyAlignment="1">
      <alignment horizontal="center" vertical="center" wrapText="1"/>
    </xf>
    <xf numFmtId="10" fontId="11" fillId="0" borderId="22" xfId="0" applyNumberFormat="1" applyFont="1" applyBorder="1" applyAlignment="1">
      <alignment horizontal="left" vertical="center" wrapText="1"/>
    </xf>
    <xf numFmtId="42" fontId="12" fillId="0" borderId="5" xfId="0" applyNumberFormat="1" applyFont="1" applyBorder="1" applyAlignment="1">
      <alignment horizontal="center" vertical="center" wrapText="1"/>
    </xf>
    <xf numFmtId="10" fontId="3" fillId="0" borderId="21" xfId="1" applyNumberFormat="1" applyFont="1" applyFill="1" applyBorder="1" applyAlignment="1">
      <alignment horizontal="center" vertical="center" wrapText="1"/>
    </xf>
    <xf numFmtId="10" fontId="4" fillId="0" borderId="21" xfId="1" applyNumberFormat="1" applyFont="1" applyFill="1" applyBorder="1" applyAlignment="1">
      <alignment horizontal="center" vertical="center" wrapText="1"/>
    </xf>
    <xf numFmtId="0" fontId="16" fillId="16" borderId="11" xfId="0" applyFont="1" applyFill="1" applyBorder="1" applyAlignment="1">
      <alignment horizontal="center"/>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3" fontId="22" fillId="0" borderId="5" xfId="0" applyNumberFormat="1" applyFont="1" applyBorder="1" applyAlignment="1">
      <alignment horizontal="center" vertical="center" wrapText="1"/>
    </xf>
    <xf numFmtId="0" fontId="29" fillId="0" borderId="22" xfId="0" applyFont="1" applyBorder="1" applyAlignment="1">
      <alignment horizontal="center" vertical="top"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9" fontId="3" fillId="0" borderId="21" xfId="0" applyNumberFormat="1" applyFont="1" applyBorder="1" applyAlignment="1">
      <alignment horizontal="center" vertical="center"/>
    </xf>
    <xf numFmtId="1" fontId="3" fillId="0" borderId="21"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21" xfId="0" applyNumberFormat="1" applyFont="1" applyBorder="1" applyAlignment="1">
      <alignment horizontal="center" vertical="center"/>
    </xf>
    <xf numFmtId="0" fontId="13" fillId="3" borderId="22" xfId="0" applyFont="1" applyFill="1" applyBorder="1" applyAlignment="1">
      <alignment horizontal="left" vertical="center" wrapText="1"/>
    </xf>
    <xf numFmtId="9" fontId="4" fillId="0" borderId="22" xfId="0" applyNumberFormat="1" applyFont="1" applyBorder="1" applyAlignment="1">
      <alignment horizontal="center" vertical="center" wrapText="1"/>
    </xf>
    <xf numFmtId="0" fontId="17" fillId="0" borderId="22" xfId="0" applyFont="1" applyBorder="1" applyAlignment="1">
      <alignment horizontal="justify" vertical="center" wrapText="1"/>
    </xf>
    <xf numFmtId="9" fontId="17" fillId="0" borderId="22" xfId="0" applyNumberFormat="1" applyFont="1" applyBorder="1" applyAlignment="1">
      <alignment horizontal="justify"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0" fontId="4" fillId="0" borderId="5" xfId="2" applyFont="1" applyBorder="1" applyAlignment="1">
      <alignment horizontal="center" vertical="center" wrapText="1"/>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0" borderId="5" xfId="0" applyFont="1" applyBorder="1" applyAlignment="1">
      <alignment horizontal="center" vertical="center"/>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5" xfId="0" applyFont="1" applyBorder="1" applyAlignment="1">
      <alignment horizontal="center" vertical="center" textRotation="90" wrapText="1"/>
    </xf>
    <xf numFmtId="166" fontId="3" fillId="0" borderId="28" xfId="1" applyNumberFormat="1" applyFont="1" applyFill="1" applyBorder="1" applyAlignment="1">
      <alignment horizontal="center" vertical="center"/>
    </xf>
    <xf numFmtId="166" fontId="3" fillId="0" borderId="29" xfId="1" applyNumberFormat="1" applyFont="1" applyFill="1" applyBorder="1" applyAlignment="1">
      <alignment horizontal="center" vertical="center"/>
    </xf>
    <xf numFmtId="0" fontId="16" fillId="20" borderId="19" xfId="0" applyFont="1" applyFill="1" applyBorder="1" applyAlignment="1">
      <alignment horizontal="center"/>
    </xf>
    <xf numFmtId="0" fontId="16" fillId="20" borderId="17" xfId="0" applyFont="1" applyFill="1" applyBorder="1" applyAlignment="1">
      <alignment horizontal="center"/>
    </xf>
    <xf numFmtId="0" fontId="16" fillId="20" borderId="11" xfId="0" applyFont="1" applyFill="1" applyBorder="1" applyAlignment="1">
      <alignment horizontal="center"/>
    </xf>
    <xf numFmtId="0" fontId="11" fillId="20" borderId="8" xfId="0" applyFont="1" applyFill="1" applyBorder="1" applyAlignment="1">
      <alignment horizontal="center" vertical="center" wrapText="1"/>
    </xf>
    <xf numFmtId="0" fontId="11" fillId="20" borderId="13" xfId="0" applyFont="1" applyFill="1" applyBorder="1" applyAlignment="1">
      <alignment horizontal="center" vertical="center" wrapText="1"/>
    </xf>
    <xf numFmtId="9" fontId="11" fillId="20" borderId="8" xfId="1" applyFont="1" applyFill="1" applyBorder="1" applyAlignment="1">
      <alignment horizontal="center" vertical="center" wrapText="1"/>
    </xf>
    <xf numFmtId="9" fontId="11" fillId="20" borderId="13" xfId="1" applyFont="1" applyFill="1" applyBorder="1" applyAlignment="1">
      <alignment horizontal="center" vertical="center" wrapText="1"/>
    </xf>
    <xf numFmtId="165" fontId="11" fillId="20" borderId="8" xfId="0" applyNumberFormat="1" applyFont="1" applyFill="1" applyBorder="1" applyAlignment="1">
      <alignment horizontal="center" vertical="center" wrapText="1"/>
    </xf>
    <xf numFmtId="165" fontId="11" fillId="20" borderId="13" xfId="0" applyNumberFormat="1" applyFont="1" applyFill="1" applyBorder="1" applyAlignment="1">
      <alignment horizontal="center" vertical="center" wrapText="1"/>
    </xf>
    <xf numFmtId="0" fontId="11" fillId="20" borderId="30" xfId="0" applyFont="1" applyFill="1" applyBorder="1" applyAlignment="1">
      <alignment horizontal="center" vertical="center" wrapText="1"/>
    </xf>
    <xf numFmtId="0" fontId="11" fillId="20" borderId="8" xfId="0" applyFont="1" applyFill="1" applyBorder="1" applyAlignment="1">
      <alignment horizontal="justify" vertical="center" wrapText="1"/>
    </xf>
    <xf numFmtId="0" fontId="11" fillId="20" borderId="13" xfId="0" applyFont="1" applyFill="1" applyBorder="1" applyAlignment="1">
      <alignment horizontal="justify" vertical="center" wrapText="1"/>
    </xf>
    <xf numFmtId="0" fontId="4" fillId="3" borderId="28"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6" xfId="0" applyFont="1" applyFill="1" applyBorder="1" applyAlignment="1">
      <alignment horizontal="justify" vertical="center" wrapText="1"/>
    </xf>
    <xf numFmtId="9" fontId="4" fillId="4" borderId="28" xfId="1" applyFont="1" applyFill="1" applyBorder="1" applyAlignment="1">
      <alignment horizontal="center" vertical="center"/>
    </xf>
    <xf numFmtId="9" fontId="4" fillId="4" borderId="29" xfId="1" applyFont="1" applyFill="1" applyBorder="1" applyAlignment="1">
      <alignment horizontal="center" vertical="center"/>
    </xf>
    <xf numFmtId="170" fontId="4" fillId="3" borderId="5" xfId="4" applyNumberFormat="1" applyFont="1" applyFill="1" applyBorder="1" applyAlignment="1">
      <alignment horizontal="center" vertical="center" wrapText="1"/>
    </xf>
    <xf numFmtId="165" fontId="4" fillId="3" borderId="5" xfId="4" applyNumberFormat="1" applyFont="1" applyFill="1" applyBorder="1" applyAlignment="1">
      <alignment horizontal="center" vertical="center" wrapText="1"/>
    </xf>
    <xf numFmtId="9" fontId="4" fillId="0" borderId="28" xfId="0" applyNumberFormat="1" applyFont="1" applyBorder="1" applyAlignment="1">
      <alignment horizontal="justify" vertical="center" wrapText="1"/>
    </xf>
    <xf numFmtId="9" fontId="4" fillId="0" borderId="4" xfId="0" applyNumberFormat="1" applyFont="1" applyBorder="1" applyAlignment="1">
      <alignment horizontal="justify" vertical="center" wrapText="1"/>
    </xf>
    <xf numFmtId="9" fontId="4" fillId="0" borderId="29" xfId="0" applyNumberFormat="1" applyFont="1" applyBorder="1" applyAlignment="1">
      <alignment horizontal="justify" vertical="center" wrapText="1"/>
    </xf>
    <xf numFmtId="0" fontId="4" fillId="3" borderId="29" xfId="0" applyFont="1" applyFill="1" applyBorder="1" applyAlignment="1">
      <alignment horizontal="justify" vertical="center" wrapText="1"/>
    </xf>
    <xf numFmtId="10" fontId="4" fillId="3" borderId="28" xfId="0" applyNumberFormat="1" applyFont="1" applyFill="1" applyBorder="1" applyAlignment="1">
      <alignment horizontal="justify" vertical="center" wrapText="1"/>
    </xf>
    <xf numFmtId="10" fontId="4" fillId="3" borderId="4" xfId="0" applyNumberFormat="1" applyFont="1" applyFill="1" applyBorder="1" applyAlignment="1">
      <alignment horizontal="justify" vertical="center" wrapText="1"/>
    </xf>
    <xf numFmtId="10" fontId="4" fillId="3" borderId="29" xfId="0" applyNumberFormat="1" applyFont="1" applyFill="1" applyBorder="1" applyAlignment="1">
      <alignment horizontal="justify" vertical="center" wrapText="1"/>
    </xf>
    <xf numFmtId="0" fontId="11" fillId="0" borderId="28" xfId="0" applyFont="1" applyBorder="1" applyAlignment="1">
      <alignment horizontal="justify" vertical="center" wrapText="1"/>
    </xf>
    <xf numFmtId="0" fontId="4" fillId="0" borderId="4" xfId="0" applyFont="1" applyBorder="1" applyAlignment="1">
      <alignment horizontal="justify" vertical="center" wrapText="1"/>
    </xf>
    <xf numFmtId="9" fontId="4" fillId="8" borderId="5" xfId="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9" fontId="4" fillId="6" borderId="5" xfId="1" applyFont="1" applyFill="1" applyBorder="1" applyAlignment="1">
      <alignment horizontal="center" vertical="center" wrapText="1"/>
    </xf>
    <xf numFmtId="1" fontId="3" fillId="0" borderId="28" xfId="0" applyNumberFormat="1" applyFont="1" applyBorder="1" applyAlignment="1">
      <alignment horizontal="center" vertical="center"/>
    </xf>
    <xf numFmtId="1" fontId="3" fillId="0" borderId="29" xfId="0" applyNumberFormat="1" applyFont="1" applyBorder="1" applyAlignment="1">
      <alignment horizontal="center" vertical="center"/>
    </xf>
    <xf numFmtId="170" fontId="4" fillId="3" borderId="28" xfId="1" applyNumberFormat="1" applyFont="1" applyFill="1" applyBorder="1" applyAlignment="1">
      <alignment horizontal="center" vertical="center" wrapText="1"/>
    </xf>
    <xf numFmtId="0" fontId="11" fillId="0" borderId="5" xfId="0" applyFont="1" applyBorder="1" applyAlignment="1">
      <alignment horizontal="justify" vertical="center" wrapText="1"/>
    </xf>
    <xf numFmtId="0" fontId="4" fillId="0" borderId="5" xfId="0" applyFont="1" applyBorder="1" applyAlignment="1">
      <alignment horizontal="justify" vertical="center" wrapText="1"/>
    </xf>
    <xf numFmtId="165" fontId="4" fillId="3" borderId="5" xfId="1" applyNumberFormat="1" applyFont="1" applyFill="1" applyBorder="1" applyAlignment="1">
      <alignment horizontal="center" vertical="center" wrapText="1"/>
    </xf>
    <xf numFmtId="1" fontId="3" fillId="0" borderId="26" xfId="0" applyNumberFormat="1" applyFont="1" applyBorder="1" applyAlignment="1">
      <alignment horizontal="center" vertical="center"/>
    </xf>
    <xf numFmtId="1" fontId="3" fillId="0" borderId="27" xfId="0" applyNumberFormat="1" applyFont="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4" fillId="3" borderId="2" xfId="0" applyFont="1" applyFill="1" applyBorder="1" applyAlignment="1">
      <alignment horizontal="justify" vertical="center" wrapText="1"/>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65">
    <dxf>
      <fill>
        <patternFill>
          <bgColor rgb="FF00B050"/>
        </patternFill>
      </fill>
    </dxf>
    <dxf>
      <fill>
        <patternFill>
          <bgColor rgb="FF92D05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92D050"/>
        </patternFill>
      </fill>
    </dxf>
    <dxf>
      <fill>
        <patternFill>
          <bgColor rgb="FF00B050"/>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FF99CC"/>
      <color rgb="FFF98607"/>
      <color rgb="FFFF6600"/>
      <color rgb="FF008000"/>
      <color rgb="FFFFFFCC"/>
      <color rgb="FF669900"/>
      <color rgb="FFFFCC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17</c:v>
                </c:pt>
                <c:pt idx="1">
                  <c:v>8</c:v>
                </c:pt>
                <c:pt idx="2">
                  <c:v>3</c:v>
                </c:pt>
                <c:pt idx="3">
                  <c:v>2</c:v>
                </c:pt>
                <c:pt idx="4">
                  <c:v>31</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989330</xdr:colOff>
      <xdr:row>3</xdr:row>
      <xdr:rowOff>115146</xdr:rowOff>
    </xdr:from>
    <xdr:to>
      <xdr:col>10</xdr:col>
      <xdr:colOff>643043</xdr:colOff>
      <xdr:row>23</xdr:row>
      <xdr:rowOff>82973</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92"/>
  <sheetViews>
    <sheetView showGridLines="0" tabSelected="1" topLeftCell="D1" zoomScale="75" zoomScaleNormal="80" zoomScalePageLayoutView="50" workbookViewId="0">
      <selection activeCell="CD1" sqref="CD1:CK1"/>
    </sheetView>
  </sheetViews>
  <sheetFormatPr baseColWidth="10" defaultRowHeight="15" x14ac:dyDescent="0.25"/>
  <cols>
    <col min="1" max="1" width="15.28515625" hidden="1" customWidth="1"/>
    <col min="2" max="2" width="9.5703125" hidden="1" customWidth="1"/>
    <col min="3" max="3" width="10.85546875" hidden="1" customWidth="1"/>
    <col min="4" max="4" width="5.85546875" style="66" customWidth="1"/>
    <col min="5" max="5" width="11.28515625" style="66" customWidth="1"/>
    <col min="6" max="6" width="16.5703125" style="66" customWidth="1"/>
    <col min="7" max="7" width="12.85546875" style="66" customWidth="1"/>
    <col min="8" max="8" width="9.7109375" style="66" customWidth="1"/>
    <col min="9" max="9" width="7.7109375" style="66" customWidth="1"/>
    <col min="10" max="10" width="12.140625" style="66" customWidth="1"/>
    <col min="11" max="11" width="10.140625" style="66" hidden="1" customWidth="1"/>
    <col min="12" max="12" width="13" style="66" hidden="1" customWidth="1"/>
    <col min="13" max="13" width="8.28515625" style="66" hidden="1" customWidth="1"/>
    <col min="14" max="14" width="10.42578125" style="66" hidden="1" customWidth="1"/>
    <col min="15" max="15" width="11.42578125" style="66" hidden="1" customWidth="1"/>
    <col min="16" max="16" width="9.5703125" style="66" hidden="1" customWidth="1"/>
    <col min="17" max="17" width="8.28515625" style="66"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11.42578125"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11.42578125" hidden="1" customWidth="1"/>
    <col min="58" max="58" width="37.7109375" hidden="1" customWidth="1"/>
    <col min="59" max="59" width="255.7109375" hidden="1" customWidth="1"/>
    <col min="60" max="60" width="17.85546875" hidden="1" customWidth="1"/>
    <col min="61" max="61" width="9.85546875" hidden="1" customWidth="1"/>
    <col min="62" max="62" width="13.28515625" hidden="1" customWidth="1"/>
    <col min="63" max="63" width="12" hidden="1" customWidth="1"/>
    <col min="64" max="64" width="11.85546875" hidden="1" customWidth="1"/>
    <col min="65" max="65" width="37.7109375" hidden="1" customWidth="1"/>
    <col min="66" max="66" width="255.7109375" hidden="1" customWidth="1"/>
    <col min="67" max="67" width="21.42578125" hidden="1" customWidth="1"/>
    <col min="68" max="68" width="9.85546875" hidden="1" customWidth="1"/>
    <col min="69" max="69" width="20.42578125" hidden="1" customWidth="1"/>
    <col min="70" max="71" width="13.28515625" hidden="1" customWidth="1"/>
    <col min="72" max="72" width="1.7109375" hidden="1" customWidth="1"/>
    <col min="73" max="73" width="255.7109375" hidden="1" customWidth="1"/>
    <col min="74" max="74" width="23.5703125" hidden="1" customWidth="1"/>
    <col min="75" max="75" width="20.140625" hidden="1" customWidth="1"/>
    <col min="76" max="76" width="21.85546875" hidden="1" customWidth="1"/>
    <col min="77" max="77" width="21.7109375" hidden="1" customWidth="1"/>
    <col min="78" max="79" width="30.7109375" hidden="1" customWidth="1"/>
    <col min="80" max="80" width="29.5703125" hidden="1" customWidth="1"/>
    <col min="81" max="81" width="80.28515625" hidden="1" customWidth="1"/>
    <col min="82" max="82" width="8.7109375" customWidth="1"/>
    <col min="83" max="83" width="9.7109375" customWidth="1"/>
    <col min="84" max="84" width="11" customWidth="1"/>
    <col min="85" max="85" width="19.42578125" customWidth="1"/>
    <col min="86" max="86" width="18" style="377" customWidth="1"/>
    <col min="87" max="87" width="6.28515625" customWidth="1"/>
    <col min="88" max="88" width="13.5703125" customWidth="1"/>
    <col min="89" max="89" width="52.140625" style="379" customWidth="1"/>
    <col min="90" max="90" width="11.5703125" customWidth="1"/>
    <col min="91" max="91" width="10.5703125" customWidth="1"/>
    <col min="92" max="92" width="9.140625" customWidth="1"/>
  </cols>
  <sheetData>
    <row r="1" spans="1:93" ht="15.75" thickBot="1" x14ac:dyDescent="0.3">
      <c r="D1" s="608" t="s">
        <v>492</v>
      </c>
      <c r="E1" s="609"/>
      <c r="F1" s="609"/>
      <c r="G1" s="609"/>
      <c r="H1" s="609"/>
      <c r="I1" s="609"/>
      <c r="J1" s="609"/>
      <c r="K1" s="609"/>
      <c r="L1" s="609"/>
      <c r="M1" s="609"/>
      <c r="N1" s="609"/>
      <c r="O1" s="609"/>
      <c r="P1" s="609"/>
      <c r="Q1" s="610"/>
      <c r="R1" s="402">
        <v>2014</v>
      </c>
      <c r="S1" s="403"/>
      <c r="T1" s="403"/>
      <c r="U1" s="403"/>
      <c r="V1" s="403"/>
      <c r="W1" s="403"/>
      <c r="X1" s="650"/>
      <c r="Y1" s="402">
        <v>2015</v>
      </c>
      <c r="Z1" s="403"/>
      <c r="AA1" s="403"/>
      <c r="AB1" s="403"/>
      <c r="AC1" s="403"/>
      <c r="AD1" s="403"/>
      <c r="AE1" s="650"/>
      <c r="AF1" s="402">
        <v>2016</v>
      </c>
      <c r="AG1" s="403"/>
      <c r="AH1" s="403"/>
      <c r="AI1" s="403"/>
      <c r="AJ1" s="403"/>
      <c r="AK1" s="403"/>
      <c r="AL1" s="650"/>
      <c r="AM1" s="402">
        <v>2017</v>
      </c>
      <c r="AN1" s="403"/>
      <c r="AO1" s="403"/>
      <c r="AP1" s="403"/>
      <c r="AQ1" s="403"/>
      <c r="AR1" s="403"/>
      <c r="AS1" s="650"/>
      <c r="AT1" s="402">
        <v>2018</v>
      </c>
      <c r="AU1" s="403"/>
      <c r="AV1" s="403"/>
      <c r="AW1" s="403"/>
      <c r="AX1" s="403"/>
      <c r="AY1" s="403"/>
      <c r="AZ1" s="650"/>
      <c r="BA1" s="402">
        <v>2019</v>
      </c>
      <c r="BB1" s="403"/>
      <c r="BC1" s="403"/>
      <c r="BD1" s="403"/>
      <c r="BE1" s="403"/>
      <c r="BF1" s="403"/>
      <c r="BG1" s="650"/>
      <c r="BH1" s="402">
        <v>2020</v>
      </c>
      <c r="BI1" s="403"/>
      <c r="BJ1" s="403"/>
      <c r="BK1" s="403"/>
      <c r="BL1" s="403"/>
      <c r="BM1" s="403"/>
      <c r="BN1" s="650"/>
      <c r="BO1" s="402">
        <v>2021</v>
      </c>
      <c r="BP1" s="403"/>
      <c r="BQ1" s="403"/>
      <c r="BR1" s="403"/>
      <c r="BS1" s="403"/>
      <c r="BT1" s="403"/>
      <c r="BU1" s="650"/>
      <c r="BV1" s="599">
        <v>2022</v>
      </c>
      <c r="BW1" s="600"/>
      <c r="BX1" s="600"/>
      <c r="BY1" s="600"/>
      <c r="BZ1" s="600"/>
      <c r="CA1" s="600"/>
      <c r="CB1" s="600"/>
      <c r="CC1" s="601"/>
      <c r="CD1" s="694" t="s">
        <v>1152</v>
      </c>
      <c r="CE1" s="695"/>
      <c r="CF1" s="695"/>
      <c r="CG1" s="695"/>
      <c r="CH1" s="695"/>
      <c r="CI1" s="695"/>
      <c r="CJ1" s="695"/>
      <c r="CK1" s="696"/>
      <c r="CL1" s="402" t="s">
        <v>976</v>
      </c>
      <c r="CM1" s="403"/>
      <c r="CN1" s="403"/>
    </row>
    <row r="2" spans="1:93" ht="21.75" customHeight="1" thickBot="1" x14ac:dyDescent="0.3">
      <c r="A2" s="423" t="s">
        <v>0</v>
      </c>
      <c r="B2" s="423" t="s">
        <v>1</v>
      </c>
      <c r="C2" s="673" t="s">
        <v>2</v>
      </c>
      <c r="D2" s="423" t="s">
        <v>1</v>
      </c>
      <c r="E2" s="423" t="s">
        <v>3</v>
      </c>
      <c r="F2" s="423" t="s">
        <v>4</v>
      </c>
      <c r="G2" s="423" t="s">
        <v>5</v>
      </c>
      <c r="H2" s="423" t="s">
        <v>6</v>
      </c>
      <c r="I2" s="423" t="s">
        <v>7</v>
      </c>
      <c r="J2" s="423" t="s">
        <v>8</v>
      </c>
      <c r="K2" s="673" t="s">
        <v>290</v>
      </c>
      <c r="L2" s="674"/>
      <c r="M2" s="674"/>
      <c r="N2" s="674"/>
      <c r="O2" s="674"/>
      <c r="P2" s="674"/>
      <c r="Q2" s="675"/>
      <c r="R2" s="404" t="s">
        <v>660</v>
      </c>
      <c r="S2" s="404" t="s">
        <v>276</v>
      </c>
      <c r="T2" s="406" t="s">
        <v>277</v>
      </c>
      <c r="U2" s="602" t="s">
        <v>251</v>
      </c>
      <c r="V2" s="602" t="s">
        <v>252</v>
      </c>
      <c r="W2" s="404" t="s">
        <v>253</v>
      </c>
      <c r="X2" s="404" t="s">
        <v>254</v>
      </c>
      <c r="Y2" s="404" t="s">
        <v>659</v>
      </c>
      <c r="Z2" s="404" t="s">
        <v>276</v>
      </c>
      <c r="AA2" s="406" t="s">
        <v>277</v>
      </c>
      <c r="AB2" s="602" t="s">
        <v>251</v>
      </c>
      <c r="AC2" s="602" t="s">
        <v>252</v>
      </c>
      <c r="AD2" s="404" t="s">
        <v>253</v>
      </c>
      <c r="AE2" s="404" t="s">
        <v>254</v>
      </c>
      <c r="AF2" s="404" t="s">
        <v>658</v>
      </c>
      <c r="AG2" s="404" t="s">
        <v>276</v>
      </c>
      <c r="AH2" s="406" t="s">
        <v>277</v>
      </c>
      <c r="AI2" s="602" t="s">
        <v>251</v>
      </c>
      <c r="AJ2" s="602" t="s">
        <v>252</v>
      </c>
      <c r="AK2" s="404" t="s">
        <v>253</v>
      </c>
      <c r="AL2" s="404" t="s">
        <v>254</v>
      </c>
      <c r="AM2" s="404" t="s">
        <v>657</v>
      </c>
      <c r="AN2" s="404" t="s">
        <v>276</v>
      </c>
      <c r="AO2" s="406" t="s">
        <v>277</v>
      </c>
      <c r="AP2" s="602" t="s">
        <v>251</v>
      </c>
      <c r="AQ2" s="602" t="s">
        <v>252</v>
      </c>
      <c r="AR2" s="404" t="s">
        <v>253</v>
      </c>
      <c r="AS2" s="404" t="s">
        <v>254</v>
      </c>
      <c r="AT2" s="404" t="s">
        <v>656</v>
      </c>
      <c r="AU2" s="404" t="s">
        <v>276</v>
      </c>
      <c r="AV2" s="406" t="s">
        <v>277</v>
      </c>
      <c r="AW2" s="602" t="s">
        <v>251</v>
      </c>
      <c r="AX2" s="602" t="s">
        <v>252</v>
      </c>
      <c r="AY2" s="404" t="s">
        <v>253</v>
      </c>
      <c r="AZ2" s="404" t="s">
        <v>254</v>
      </c>
      <c r="BA2" s="404" t="s">
        <v>655</v>
      </c>
      <c r="BB2" s="404" t="s">
        <v>276</v>
      </c>
      <c r="BC2" s="406" t="s">
        <v>277</v>
      </c>
      <c r="BD2" s="602" t="s">
        <v>251</v>
      </c>
      <c r="BE2" s="602" t="s">
        <v>252</v>
      </c>
      <c r="BF2" s="404" t="s">
        <v>253</v>
      </c>
      <c r="BG2" s="404" t="s">
        <v>254</v>
      </c>
      <c r="BH2" s="605" t="s">
        <v>502</v>
      </c>
      <c r="BI2" s="605" t="s">
        <v>276</v>
      </c>
      <c r="BJ2" s="651" t="s">
        <v>277</v>
      </c>
      <c r="BK2" s="653" t="s">
        <v>251</v>
      </c>
      <c r="BL2" s="653" t="s">
        <v>252</v>
      </c>
      <c r="BM2" s="605" t="s">
        <v>253</v>
      </c>
      <c r="BN2" s="605" t="s">
        <v>254</v>
      </c>
      <c r="BO2" s="404" t="s">
        <v>581</v>
      </c>
      <c r="BP2" s="404" t="s">
        <v>276</v>
      </c>
      <c r="BQ2" s="406" t="s">
        <v>277</v>
      </c>
      <c r="BR2" s="602" t="s">
        <v>251</v>
      </c>
      <c r="BS2" s="602" t="s">
        <v>252</v>
      </c>
      <c r="BT2" s="404" t="s">
        <v>253</v>
      </c>
      <c r="BU2" s="404" t="s">
        <v>254</v>
      </c>
      <c r="BV2" s="404" t="s">
        <v>462</v>
      </c>
      <c r="BW2" s="404" t="s">
        <v>276</v>
      </c>
      <c r="BX2" s="406" t="s">
        <v>277</v>
      </c>
      <c r="BY2" s="602" t="s">
        <v>251</v>
      </c>
      <c r="BZ2" s="602" t="s">
        <v>252</v>
      </c>
      <c r="CA2" s="406" t="s">
        <v>1031</v>
      </c>
      <c r="CB2" s="404" t="s">
        <v>253</v>
      </c>
      <c r="CC2" s="605" t="s">
        <v>254</v>
      </c>
      <c r="CD2" s="697" t="s">
        <v>1100</v>
      </c>
      <c r="CE2" s="697" t="s">
        <v>276</v>
      </c>
      <c r="CF2" s="699" t="s">
        <v>277</v>
      </c>
      <c r="CG2" s="701" t="s">
        <v>251</v>
      </c>
      <c r="CH2" s="701" t="s">
        <v>252</v>
      </c>
      <c r="CI2" s="699" t="s">
        <v>1031</v>
      </c>
      <c r="CJ2" s="697" t="s">
        <v>253</v>
      </c>
      <c r="CK2" s="704" t="s">
        <v>254</v>
      </c>
      <c r="CL2" s="423" t="s">
        <v>977</v>
      </c>
      <c r="CM2" s="404" t="s">
        <v>1104</v>
      </c>
      <c r="CN2" s="406" t="s">
        <v>1040</v>
      </c>
    </row>
    <row r="3" spans="1:93" ht="52.5" customHeight="1" thickBot="1" x14ac:dyDescent="0.3">
      <c r="A3" s="423"/>
      <c r="B3" s="423"/>
      <c r="C3" s="673"/>
      <c r="D3" s="404"/>
      <c r="E3" s="404"/>
      <c r="F3" s="404"/>
      <c r="G3" s="404"/>
      <c r="H3" s="404"/>
      <c r="I3" s="404"/>
      <c r="J3" s="404"/>
      <c r="K3" s="62" t="s">
        <v>431</v>
      </c>
      <c r="L3" s="62" t="s">
        <v>286</v>
      </c>
      <c r="M3" s="62" t="s">
        <v>432</v>
      </c>
      <c r="N3" s="62" t="s">
        <v>287</v>
      </c>
      <c r="O3" s="62" t="s">
        <v>433</v>
      </c>
      <c r="P3" s="62" t="s">
        <v>288</v>
      </c>
      <c r="Q3" s="62" t="s">
        <v>289</v>
      </c>
      <c r="R3" s="405"/>
      <c r="S3" s="405"/>
      <c r="T3" s="407"/>
      <c r="U3" s="603"/>
      <c r="V3" s="603"/>
      <c r="W3" s="405"/>
      <c r="X3" s="405"/>
      <c r="Y3" s="405"/>
      <c r="Z3" s="405"/>
      <c r="AA3" s="407"/>
      <c r="AB3" s="603"/>
      <c r="AC3" s="603"/>
      <c r="AD3" s="405"/>
      <c r="AE3" s="405"/>
      <c r="AF3" s="405"/>
      <c r="AG3" s="405"/>
      <c r="AH3" s="407"/>
      <c r="AI3" s="603"/>
      <c r="AJ3" s="603"/>
      <c r="AK3" s="405"/>
      <c r="AL3" s="405"/>
      <c r="AM3" s="405"/>
      <c r="AN3" s="405"/>
      <c r="AO3" s="407"/>
      <c r="AP3" s="603"/>
      <c r="AQ3" s="603"/>
      <c r="AR3" s="405"/>
      <c r="AS3" s="405"/>
      <c r="AT3" s="405"/>
      <c r="AU3" s="405"/>
      <c r="AV3" s="407"/>
      <c r="AW3" s="603"/>
      <c r="AX3" s="603"/>
      <c r="AY3" s="405"/>
      <c r="AZ3" s="405"/>
      <c r="BA3" s="405"/>
      <c r="BB3" s="405"/>
      <c r="BC3" s="407"/>
      <c r="BD3" s="603"/>
      <c r="BE3" s="603"/>
      <c r="BF3" s="405"/>
      <c r="BG3" s="405"/>
      <c r="BH3" s="606"/>
      <c r="BI3" s="606"/>
      <c r="BJ3" s="652"/>
      <c r="BK3" s="654"/>
      <c r="BL3" s="654"/>
      <c r="BM3" s="606"/>
      <c r="BN3" s="606"/>
      <c r="BO3" s="405"/>
      <c r="BP3" s="405"/>
      <c r="BQ3" s="407"/>
      <c r="BR3" s="603"/>
      <c r="BS3" s="603"/>
      <c r="BT3" s="405"/>
      <c r="BU3" s="405"/>
      <c r="BV3" s="405"/>
      <c r="BW3" s="405"/>
      <c r="BX3" s="407"/>
      <c r="BY3" s="603"/>
      <c r="BZ3" s="603"/>
      <c r="CA3" s="407"/>
      <c r="CB3" s="604"/>
      <c r="CC3" s="606"/>
      <c r="CD3" s="698"/>
      <c r="CE3" s="698"/>
      <c r="CF3" s="700"/>
      <c r="CG3" s="702"/>
      <c r="CH3" s="702"/>
      <c r="CI3" s="700"/>
      <c r="CJ3" s="703"/>
      <c r="CK3" s="705"/>
      <c r="CL3" s="404"/>
      <c r="CM3" s="405"/>
      <c r="CN3" s="407"/>
    </row>
    <row r="4" spans="1:93" ht="178.5" customHeight="1" x14ac:dyDescent="0.25">
      <c r="A4" s="677" t="s">
        <v>9</v>
      </c>
      <c r="B4" s="680" t="s">
        <v>10</v>
      </c>
      <c r="C4" s="681">
        <v>0</v>
      </c>
      <c r="D4" s="626" t="s">
        <v>457</v>
      </c>
      <c r="E4" s="425" t="s">
        <v>11</v>
      </c>
      <c r="F4" s="47" t="s">
        <v>12</v>
      </c>
      <c r="G4" s="47" t="s">
        <v>13</v>
      </c>
      <c r="H4" s="224" t="s">
        <v>991</v>
      </c>
      <c r="I4" s="47" t="s">
        <v>14</v>
      </c>
      <c r="J4" s="47">
        <v>12</v>
      </c>
      <c r="K4" s="425" t="s">
        <v>291</v>
      </c>
      <c r="L4" s="425" t="s">
        <v>366</v>
      </c>
      <c r="M4" s="425" t="s">
        <v>293</v>
      </c>
      <c r="N4" s="425" t="s">
        <v>423</v>
      </c>
      <c r="O4" s="425" t="s">
        <v>293</v>
      </c>
      <c r="P4" s="425" t="s">
        <v>294</v>
      </c>
      <c r="Q4" s="109">
        <v>12</v>
      </c>
      <c r="R4" s="92">
        <v>3</v>
      </c>
      <c r="S4" s="611"/>
      <c r="T4" s="611">
        <v>0</v>
      </c>
      <c r="U4" s="611"/>
      <c r="V4" s="611" t="s">
        <v>493</v>
      </c>
      <c r="W4" s="425" t="s">
        <v>255</v>
      </c>
      <c r="X4" s="274" t="s">
        <v>494</v>
      </c>
      <c r="Y4" s="92">
        <v>3</v>
      </c>
      <c r="Z4" s="90">
        <v>3</v>
      </c>
      <c r="AA4" s="33">
        <f>Z4/Y4</f>
        <v>1</v>
      </c>
      <c r="AB4" s="275"/>
      <c r="AC4" s="270"/>
      <c r="AD4" s="425" t="s">
        <v>255</v>
      </c>
      <c r="AE4" s="276" t="s">
        <v>663</v>
      </c>
      <c r="AF4" s="177">
        <v>5</v>
      </c>
      <c r="AG4" s="85">
        <v>2</v>
      </c>
      <c r="AH4" s="33">
        <f>AG4/AF4</f>
        <v>0.4</v>
      </c>
      <c r="AI4" s="501" t="s">
        <v>694</v>
      </c>
      <c r="AJ4" s="501" t="s">
        <v>695</v>
      </c>
      <c r="AK4" s="425" t="s">
        <v>255</v>
      </c>
      <c r="AL4" s="192" t="s">
        <v>727</v>
      </c>
      <c r="AM4" s="147">
        <v>7</v>
      </c>
      <c r="AN4" s="68">
        <v>2</v>
      </c>
      <c r="AO4" s="33">
        <f>AN4/AM4</f>
        <v>0.2857142857142857</v>
      </c>
      <c r="AP4" s="550" t="s">
        <v>780</v>
      </c>
      <c r="AQ4" s="550" t="s">
        <v>781</v>
      </c>
      <c r="AR4" s="425" t="s">
        <v>255</v>
      </c>
      <c r="AS4" s="163" t="s">
        <v>810</v>
      </c>
      <c r="AT4" s="171">
        <v>10</v>
      </c>
      <c r="AU4" s="125">
        <v>5</v>
      </c>
      <c r="AV4" s="33">
        <f>AU4/AT4</f>
        <v>0.5</v>
      </c>
      <c r="AW4" s="520">
        <v>25000000</v>
      </c>
      <c r="AX4" s="520">
        <v>23993333</v>
      </c>
      <c r="AY4" s="425" t="s">
        <v>255</v>
      </c>
      <c r="AZ4" s="277" t="s">
        <v>859</v>
      </c>
      <c r="BA4" s="147">
        <v>12</v>
      </c>
      <c r="BB4" s="125">
        <v>7</v>
      </c>
      <c r="BC4" s="33">
        <f>BB4/BA4</f>
        <v>0.58333333333333337</v>
      </c>
      <c r="BD4" s="501">
        <v>32000000</v>
      </c>
      <c r="BE4" s="501">
        <v>31440300</v>
      </c>
      <c r="BF4" s="425" t="s">
        <v>255</v>
      </c>
      <c r="BG4" s="277" t="s">
        <v>931</v>
      </c>
      <c r="BH4" s="147">
        <v>9</v>
      </c>
      <c r="BI4" s="68">
        <v>8</v>
      </c>
      <c r="BJ4" s="71">
        <f>(BI4/BH4)*1</f>
        <v>0.88888888888888884</v>
      </c>
      <c r="BK4" s="69" t="s">
        <v>503</v>
      </c>
      <c r="BL4" s="69">
        <v>6400000</v>
      </c>
      <c r="BM4" s="513" t="s">
        <v>255</v>
      </c>
      <c r="BN4" s="277" t="s">
        <v>504</v>
      </c>
      <c r="BO4" s="278">
        <v>9</v>
      </c>
      <c r="BP4" s="32">
        <v>8</v>
      </c>
      <c r="BQ4" s="33">
        <f>BP4/BO4</f>
        <v>0.88888888888888884</v>
      </c>
      <c r="BR4" s="279">
        <v>8655000</v>
      </c>
      <c r="BS4" s="270">
        <v>8655000</v>
      </c>
      <c r="BT4" s="425" t="s">
        <v>255</v>
      </c>
      <c r="BU4" s="280" t="s">
        <v>582</v>
      </c>
      <c r="BV4" s="68">
        <v>10</v>
      </c>
      <c r="BW4" s="32">
        <v>9</v>
      </c>
      <c r="BX4" s="33">
        <f>BW4/BV4</f>
        <v>0.9</v>
      </c>
      <c r="BY4" s="275">
        <f>34620000+26400000</f>
        <v>61020000</v>
      </c>
      <c r="BZ4" s="270">
        <v>28850000</v>
      </c>
      <c r="CA4" s="33">
        <f>BZ4/BY4</f>
        <v>0.47279580465421173</v>
      </c>
      <c r="CB4" s="224" t="s">
        <v>991</v>
      </c>
      <c r="CC4" s="200" t="s">
        <v>1042</v>
      </c>
      <c r="CD4" s="68">
        <v>12</v>
      </c>
      <c r="CE4" s="32">
        <v>9</v>
      </c>
      <c r="CF4" s="31">
        <f>CE4/CD4</f>
        <v>0.75</v>
      </c>
      <c r="CG4" s="270">
        <f>28850000+700000+714286+124337067+209114628</f>
        <v>363715981</v>
      </c>
      <c r="CH4" s="55">
        <f>34620000+26400000+700000+714286+40697760+169897310</f>
        <v>273029356</v>
      </c>
      <c r="CI4" s="31">
        <f>CH4/CG4</f>
        <v>0.75066637228678712</v>
      </c>
      <c r="CJ4" s="224" t="s">
        <v>991</v>
      </c>
      <c r="CK4" s="380" t="s">
        <v>1105</v>
      </c>
      <c r="CL4" s="47">
        <v>12</v>
      </c>
      <c r="CM4" s="204">
        <v>9</v>
      </c>
      <c r="CN4" s="31">
        <f>CM4/CL4</f>
        <v>0.75</v>
      </c>
    </row>
    <row r="5" spans="1:93" ht="174.75" customHeight="1" x14ac:dyDescent="0.25">
      <c r="A5" s="678"/>
      <c r="B5" s="400"/>
      <c r="C5" s="682"/>
      <c r="D5" s="626"/>
      <c r="E5" s="425"/>
      <c r="F5" s="47" t="s">
        <v>15</v>
      </c>
      <c r="G5" s="47" t="s">
        <v>424</v>
      </c>
      <c r="H5" s="85" t="s">
        <v>992</v>
      </c>
      <c r="I5" s="47">
        <v>0</v>
      </c>
      <c r="J5" s="47">
        <v>12</v>
      </c>
      <c r="K5" s="425"/>
      <c r="L5" s="425"/>
      <c r="M5" s="425"/>
      <c r="N5" s="425"/>
      <c r="O5" s="425"/>
      <c r="P5" s="425"/>
      <c r="Q5" s="109">
        <v>12</v>
      </c>
      <c r="R5" s="92">
        <v>0</v>
      </c>
      <c r="S5" s="611"/>
      <c r="T5" s="611"/>
      <c r="U5" s="611"/>
      <c r="V5" s="611"/>
      <c r="W5" s="425"/>
      <c r="X5" s="274" t="s">
        <v>495</v>
      </c>
      <c r="Y5" s="92">
        <v>0</v>
      </c>
      <c r="Z5" s="90">
        <v>0</v>
      </c>
      <c r="AA5" s="33">
        <v>1</v>
      </c>
      <c r="AB5" s="275"/>
      <c r="AC5" s="270"/>
      <c r="AD5" s="425"/>
      <c r="AE5" s="276" t="s">
        <v>664</v>
      </c>
      <c r="AF5" s="177">
        <v>4</v>
      </c>
      <c r="AG5" s="85">
        <v>2</v>
      </c>
      <c r="AH5" s="33">
        <v>1</v>
      </c>
      <c r="AI5" s="501"/>
      <c r="AJ5" s="501"/>
      <c r="AK5" s="425"/>
      <c r="AL5" s="192" t="s">
        <v>728</v>
      </c>
      <c r="AM5" s="147">
        <v>4</v>
      </c>
      <c r="AN5" s="68">
        <v>4</v>
      </c>
      <c r="AO5" s="33">
        <v>1</v>
      </c>
      <c r="AP5" s="550"/>
      <c r="AQ5" s="550"/>
      <c r="AR5" s="425"/>
      <c r="AS5" s="163" t="s">
        <v>811</v>
      </c>
      <c r="AT5" s="171">
        <v>4</v>
      </c>
      <c r="AU5" s="125">
        <v>8</v>
      </c>
      <c r="AV5" s="33">
        <v>1</v>
      </c>
      <c r="AW5" s="517"/>
      <c r="AX5" s="517"/>
      <c r="AY5" s="425"/>
      <c r="AZ5" s="163" t="s">
        <v>860</v>
      </c>
      <c r="BA5" s="147">
        <v>8</v>
      </c>
      <c r="BB5" s="125">
        <v>8</v>
      </c>
      <c r="BC5" s="33">
        <v>1</v>
      </c>
      <c r="BD5" s="501"/>
      <c r="BE5" s="501"/>
      <c r="BF5" s="425"/>
      <c r="BG5" s="163" t="s">
        <v>860</v>
      </c>
      <c r="BH5" s="147">
        <v>8</v>
      </c>
      <c r="BI5" s="68">
        <v>7</v>
      </c>
      <c r="BJ5" s="71">
        <f t="shared" ref="BJ5:BJ8" si="0">(BI5/BH5)*1</f>
        <v>0.875</v>
      </c>
      <c r="BK5" s="69" t="s">
        <v>505</v>
      </c>
      <c r="BL5" s="69" t="s">
        <v>506</v>
      </c>
      <c r="BM5" s="513"/>
      <c r="BN5" s="281" t="s">
        <v>507</v>
      </c>
      <c r="BO5" s="278">
        <v>12</v>
      </c>
      <c r="BP5" s="32">
        <v>12</v>
      </c>
      <c r="BQ5" s="33">
        <v>1</v>
      </c>
      <c r="BR5" s="270">
        <v>8655000</v>
      </c>
      <c r="BS5" s="270">
        <v>8655000</v>
      </c>
      <c r="BT5" s="425"/>
      <c r="BU5" s="282" t="s">
        <v>583</v>
      </c>
      <c r="BV5" s="68">
        <v>10</v>
      </c>
      <c r="BW5" s="32">
        <v>0</v>
      </c>
      <c r="BX5" s="33">
        <f>BW5/BV5</f>
        <v>0</v>
      </c>
      <c r="BY5" s="283">
        <v>34620000</v>
      </c>
      <c r="BZ5" s="270">
        <f>28850000+6600000</f>
        <v>35450000</v>
      </c>
      <c r="CA5" s="33">
        <v>1</v>
      </c>
      <c r="CB5" s="85" t="s">
        <v>992</v>
      </c>
      <c r="CC5" s="284" t="s">
        <v>1094</v>
      </c>
      <c r="CD5" s="68">
        <v>12</v>
      </c>
      <c r="CE5" s="32">
        <v>0</v>
      </c>
      <c r="CF5" s="31">
        <f>CE5/CD5</f>
        <v>0</v>
      </c>
      <c r="CG5" s="270">
        <f>28850000+6600000+124337067+209114628</f>
        <v>368901695</v>
      </c>
      <c r="CH5" s="376">
        <f>34620000+40697760+169897310</f>
        <v>245215070</v>
      </c>
      <c r="CI5" s="31">
        <f t="shared" ref="CI5:CI6" si="1">CH5/CG5</f>
        <v>0.66471657171431542</v>
      </c>
      <c r="CJ5" s="85" t="s">
        <v>992</v>
      </c>
      <c r="CK5" s="381" t="s">
        <v>1106</v>
      </c>
      <c r="CL5" s="47">
        <v>12</v>
      </c>
      <c r="CM5" s="32">
        <v>0</v>
      </c>
      <c r="CN5" s="31">
        <f>CM5/CL5</f>
        <v>0</v>
      </c>
    </row>
    <row r="6" spans="1:93" ht="185.25" customHeight="1" x14ac:dyDescent="0.25">
      <c r="A6" s="678"/>
      <c r="B6" s="400"/>
      <c r="C6" s="682"/>
      <c r="D6" s="626"/>
      <c r="E6" s="425"/>
      <c r="F6" s="47" t="s">
        <v>425</v>
      </c>
      <c r="G6" s="47" t="s">
        <v>16</v>
      </c>
      <c r="H6" s="85" t="s">
        <v>993</v>
      </c>
      <c r="I6" s="47" t="s">
        <v>426</v>
      </c>
      <c r="J6" s="61">
        <v>1</v>
      </c>
      <c r="K6" s="425"/>
      <c r="L6" s="425"/>
      <c r="M6" s="425"/>
      <c r="N6" s="425"/>
      <c r="O6" s="425"/>
      <c r="P6" s="425"/>
      <c r="Q6" s="110">
        <v>1</v>
      </c>
      <c r="R6" s="285">
        <v>0.01</v>
      </c>
      <c r="S6" s="611"/>
      <c r="T6" s="611"/>
      <c r="U6" s="611"/>
      <c r="V6" s="611"/>
      <c r="W6" s="425"/>
      <c r="X6" s="274" t="s">
        <v>496</v>
      </c>
      <c r="Y6" s="285">
        <v>0.01</v>
      </c>
      <c r="Z6" s="91">
        <v>0.05</v>
      </c>
      <c r="AA6" s="33">
        <f t="shared" ref="AA6:AA8" si="2">(Z6/Y6)*1</f>
        <v>5</v>
      </c>
      <c r="AB6" s="275"/>
      <c r="AC6" s="270"/>
      <c r="AD6" s="425"/>
      <c r="AE6" s="276" t="s">
        <v>664</v>
      </c>
      <c r="AF6" s="177">
        <v>5</v>
      </c>
      <c r="AG6" s="85">
        <v>5</v>
      </c>
      <c r="AH6" s="33">
        <f t="shared" ref="AH6:AH8" si="3">(AG6/AF6)*1</f>
        <v>1</v>
      </c>
      <c r="AI6" s="501"/>
      <c r="AJ6" s="501"/>
      <c r="AK6" s="425"/>
      <c r="AL6" s="192" t="s">
        <v>729</v>
      </c>
      <c r="AM6" s="164">
        <v>1</v>
      </c>
      <c r="AN6" s="118">
        <v>1</v>
      </c>
      <c r="AO6" s="33">
        <f t="shared" ref="AO6:AO8" si="4">(AN6/AM6)*1</f>
        <v>1</v>
      </c>
      <c r="AP6" s="550"/>
      <c r="AQ6" s="550"/>
      <c r="AR6" s="425"/>
      <c r="AS6" s="172" t="s">
        <v>812</v>
      </c>
      <c r="AT6" s="171">
        <v>100</v>
      </c>
      <c r="AU6" s="125">
        <v>100</v>
      </c>
      <c r="AV6" s="33">
        <f t="shared" ref="AV6:AV8" si="5">(AU6/AT6)*1</f>
        <v>1</v>
      </c>
      <c r="AW6" s="517"/>
      <c r="AX6" s="517"/>
      <c r="AY6" s="425"/>
      <c r="AZ6" s="172" t="s">
        <v>861</v>
      </c>
      <c r="BA6" s="164">
        <v>1</v>
      </c>
      <c r="BB6" s="286">
        <v>0.75</v>
      </c>
      <c r="BC6" s="33">
        <f t="shared" ref="BC6:BC8" si="6">(BB6/BA6)*1</f>
        <v>0.75</v>
      </c>
      <c r="BD6" s="501"/>
      <c r="BE6" s="501"/>
      <c r="BF6" s="425"/>
      <c r="BG6" s="110" t="s">
        <v>932</v>
      </c>
      <c r="BH6" s="179">
        <v>1</v>
      </c>
      <c r="BI6" s="71">
        <v>1</v>
      </c>
      <c r="BJ6" s="71">
        <f t="shared" si="0"/>
        <v>1</v>
      </c>
      <c r="BK6" s="14"/>
      <c r="BL6" s="69"/>
      <c r="BM6" s="513"/>
      <c r="BN6" s="287" t="s">
        <v>508</v>
      </c>
      <c r="BO6" s="288">
        <v>1</v>
      </c>
      <c r="BP6" s="33">
        <v>1</v>
      </c>
      <c r="BQ6" s="33">
        <f t="shared" ref="BQ6:BQ8" si="7">(BP6/BO6)*1</f>
        <v>1</v>
      </c>
      <c r="BR6" s="289">
        <v>8655000</v>
      </c>
      <c r="BS6" s="270">
        <v>8655000</v>
      </c>
      <c r="BT6" s="425"/>
      <c r="BU6" s="290" t="s">
        <v>584</v>
      </c>
      <c r="BV6" s="118">
        <v>1</v>
      </c>
      <c r="BW6" s="33">
        <v>1</v>
      </c>
      <c r="BX6" s="33">
        <f t="shared" ref="BX6:BX7" si="8">(BW6/BV6)*1</f>
        <v>1</v>
      </c>
      <c r="BY6" s="275">
        <v>34620000</v>
      </c>
      <c r="BZ6" s="270">
        <v>28850000</v>
      </c>
      <c r="CA6" s="33">
        <f>BZ6/BY6</f>
        <v>0.83333333333333337</v>
      </c>
      <c r="CB6" s="85" t="s">
        <v>993</v>
      </c>
      <c r="CC6" s="291" t="s">
        <v>1043</v>
      </c>
      <c r="CD6" s="292">
        <v>1</v>
      </c>
      <c r="CE6" s="33">
        <v>1</v>
      </c>
      <c r="CF6" s="34">
        <f t="shared" ref="CF6:CF7" si="9">(CE6/CD6)*1</f>
        <v>1</v>
      </c>
      <c r="CG6" s="270">
        <f>28850000+124337067</f>
        <v>153187067</v>
      </c>
      <c r="CH6" s="55">
        <f>34620000+40697760</f>
        <v>75317760</v>
      </c>
      <c r="CI6" s="31">
        <f t="shared" si="1"/>
        <v>0.49167179367694269</v>
      </c>
      <c r="CJ6" s="85" t="s">
        <v>993</v>
      </c>
      <c r="CK6" s="382" t="s">
        <v>1107</v>
      </c>
      <c r="CL6" s="61">
        <v>1</v>
      </c>
      <c r="CM6" s="33">
        <v>1</v>
      </c>
      <c r="CN6" s="34">
        <f>CM6/CL6</f>
        <v>1</v>
      </c>
    </row>
    <row r="7" spans="1:93" ht="64.5" customHeight="1" x14ac:dyDescent="0.25">
      <c r="A7" s="678"/>
      <c r="B7" s="400"/>
      <c r="C7" s="682"/>
      <c r="D7" s="626" t="s">
        <v>17</v>
      </c>
      <c r="E7" s="425" t="s">
        <v>18</v>
      </c>
      <c r="F7" s="47" t="s">
        <v>19</v>
      </c>
      <c r="G7" s="47" t="s">
        <v>427</v>
      </c>
      <c r="H7" s="85" t="s">
        <v>994</v>
      </c>
      <c r="I7" s="47">
        <v>0</v>
      </c>
      <c r="J7" s="47">
        <v>1</v>
      </c>
      <c r="K7" s="425"/>
      <c r="L7" s="425"/>
      <c r="M7" s="425"/>
      <c r="N7" s="425"/>
      <c r="O7" s="425"/>
      <c r="P7" s="425"/>
      <c r="Q7" s="293">
        <v>1</v>
      </c>
      <c r="R7" s="92">
        <v>1</v>
      </c>
      <c r="S7" s="611"/>
      <c r="T7" s="611"/>
      <c r="U7" s="611"/>
      <c r="V7" s="611"/>
      <c r="W7" s="425" t="s">
        <v>255</v>
      </c>
      <c r="X7" s="274" t="s">
        <v>497</v>
      </c>
      <c r="Y7" s="92">
        <v>1</v>
      </c>
      <c r="Z7" s="90">
        <v>1</v>
      </c>
      <c r="AA7" s="33">
        <f t="shared" si="2"/>
        <v>1</v>
      </c>
      <c r="AB7" s="495"/>
      <c r="AC7" s="495"/>
      <c r="AD7" s="425" t="s">
        <v>255</v>
      </c>
      <c r="AE7" s="276" t="s">
        <v>665</v>
      </c>
      <c r="AF7" s="177">
        <v>1</v>
      </c>
      <c r="AG7" s="85">
        <v>1</v>
      </c>
      <c r="AH7" s="33">
        <f t="shared" si="3"/>
        <v>1</v>
      </c>
      <c r="AI7" s="501" t="s">
        <v>694</v>
      </c>
      <c r="AJ7" s="501" t="s">
        <v>695</v>
      </c>
      <c r="AK7" s="425" t="s">
        <v>255</v>
      </c>
      <c r="AL7" s="192" t="s">
        <v>730</v>
      </c>
      <c r="AM7" s="147">
        <v>1</v>
      </c>
      <c r="AN7" s="68">
        <v>1</v>
      </c>
      <c r="AO7" s="33">
        <f t="shared" si="4"/>
        <v>1</v>
      </c>
      <c r="AP7" s="550" t="s">
        <v>782</v>
      </c>
      <c r="AQ7" s="550" t="s">
        <v>783</v>
      </c>
      <c r="AR7" s="425" t="s">
        <v>255</v>
      </c>
      <c r="AS7" s="163" t="s">
        <v>813</v>
      </c>
      <c r="AT7" s="171">
        <v>1</v>
      </c>
      <c r="AU7" s="125">
        <v>1</v>
      </c>
      <c r="AV7" s="33">
        <f t="shared" si="5"/>
        <v>1</v>
      </c>
      <c r="AW7" s="527">
        <v>25000000</v>
      </c>
      <c r="AX7" s="520">
        <v>23933333</v>
      </c>
      <c r="AY7" s="425" t="s">
        <v>255</v>
      </c>
      <c r="AZ7" s="163" t="s">
        <v>862</v>
      </c>
      <c r="BA7" s="147">
        <v>1</v>
      </c>
      <c r="BB7" s="125">
        <v>1</v>
      </c>
      <c r="BC7" s="33">
        <f t="shared" si="6"/>
        <v>1</v>
      </c>
      <c r="BD7" s="501"/>
      <c r="BE7" s="501"/>
      <c r="BF7" s="425" t="s">
        <v>255</v>
      </c>
      <c r="BG7" s="163" t="s">
        <v>933</v>
      </c>
      <c r="BH7" s="294">
        <v>1</v>
      </c>
      <c r="BI7" s="72">
        <v>1</v>
      </c>
      <c r="BJ7" s="71">
        <f t="shared" si="0"/>
        <v>1</v>
      </c>
      <c r="BK7" s="501"/>
      <c r="BL7" s="501"/>
      <c r="BM7" s="513" t="s">
        <v>255</v>
      </c>
      <c r="BN7" s="615" t="s">
        <v>509</v>
      </c>
      <c r="BO7" s="295">
        <v>1</v>
      </c>
      <c r="BP7" s="35">
        <v>1</v>
      </c>
      <c r="BQ7" s="33">
        <f t="shared" si="7"/>
        <v>1</v>
      </c>
      <c r="BR7" s="495">
        <v>8655000</v>
      </c>
      <c r="BS7" s="495">
        <v>8655000</v>
      </c>
      <c r="BT7" s="425" t="s">
        <v>255</v>
      </c>
      <c r="BU7" s="280" t="s">
        <v>585</v>
      </c>
      <c r="BV7" s="85">
        <v>1</v>
      </c>
      <c r="BW7" s="35">
        <v>1</v>
      </c>
      <c r="BX7" s="33">
        <f t="shared" si="8"/>
        <v>1</v>
      </c>
      <c r="BY7" s="483">
        <v>0</v>
      </c>
      <c r="BZ7" s="483">
        <v>0</v>
      </c>
      <c r="CA7" s="33">
        <v>0</v>
      </c>
      <c r="CB7" s="85" t="s">
        <v>994</v>
      </c>
      <c r="CC7" s="200" t="s">
        <v>1044</v>
      </c>
      <c r="CD7" s="68">
        <v>1</v>
      </c>
      <c r="CE7" s="35">
        <v>1</v>
      </c>
      <c r="CF7" s="34">
        <f t="shared" si="9"/>
        <v>1</v>
      </c>
      <c r="CG7" s="483">
        <f>714286+124337067+40000000</f>
        <v>165051353</v>
      </c>
      <c r="CH7" s="483">
        <f>714286+40697760+20000000</f>
        <v>61412046</v>
      </c>
      <c r="CI7" s="709">
        <f>CH7/CG7</f>
        <v>0.37207841610362319</v>
      </c>
      <c r="CJ7" s="85" t="s">
        <v>994</v>
      </c>
      <c r="CK7" s="383" t="s">
        <v>1108</v>
      </c>
      <c r="CL7" s="47">
        <v>1</v>
      </c>
      <c r="CM7" s="35">
        <v>1</v>
      </c>
      <c r="CN7" s="34">
        <f>CM7/CL7</f>
        <v>1</v>
      </c>
    </row>
    <row r="8" spans="1:93" ht="180.75" customHeight="1" x14ac:dyDescent="0.25">
      <c r="A8" s="678"/>
      <c r="B8" s="400"/>
      <c r="C8" s="682"/>
      <c r="D8" s="626"/>
      <c r="E8" s="425"/>
      <c r="F8" s="47" t="s">
        <v>20</v>
      </c>
      <c r="G8" s="47" t="s">
        <v>21</v>
      </c>
      <c r="H8" s="85" t="s">
        <v>991</v>
      </c>
      <c r="I8" s="47" t="s">
        <v>994</v>
      </c>
      <c r="J8" s="47">
        <v>12</v>
      </c>
      <c r="K8" s="425"/>
      <c r="L8" s="425"/>
      <c r="M8" s="425"/>
      <c r="N8" s="425"/>
      <c r="O8" s="425"/>
      <c r="P8" s="425"/>
      <c r="Q8" s="109">
        <v>12</v>
      </c>
      <c r="R8" s="552">
        <v>3</v>
      </c>
      <c r="S8" s="611"/>
      <c r="T8" s="611"/>
      <c r="U8" s="611"/>
      <c r="V8" s="611"/>
      <c r="W8" s="425"/>
      <c r="X8" s="668" t="s">
        <v>498</v>
      </c>
      <c r="Y8" s="552">
        <v>3</v>
      </c>
      <c r="Z8" s="90">
        <v>2</v>
      </c>
      <c r="AA8" s="33">
        <f t="shared" si="2"/>
        <v>0.66666666666666663</v>
      </c>
      <c r="AB8" s="495"/>
      <c r="AC8" s="495"/>
      <c r="AD8" s="425"/>
      <c r="AE8" s="276" t="s">
        <v>666</v>
      </c>
      <c r="AF8" s="177">
        <v>12</v>
      </c>
      <c r="AG8" s="85">
        <v>12</v>
      </c>
      <c r="AH8" s="33">
        <f t="shared" si="3"/>
        <v>1</v>
      </c>
      <c r="AI8" s="501"/>
      <c r="AJ8" s="501"/>
      <c r="AK8" s="425"/>
      <c r="AL8" s="192" t="s">
        <v>731</v>
      </c>
      <c r="AM8" s="147">
        <v>12</v>
      </c>
      <c r="AN8" s="68">
        <v>12</v>
      </c>
      <c r="AO8" s="33">
        <f t="shared" si="4"/>
        <v>1</v>
      </c>
      <c r="AP8" s="550"/>
      <c r="AQ8" s="550"/>
      <c r="AR8" s="425"/>
      <c r="AS8" s="163" t="s">
        <v>814</v>
      </c>
      <c r="AT8" s="171">
        <v>12</v>
      </c>
      <c r="AU8" s="125">
        <v>12</v>
      </c>
      <c r="AV8" s="33">
        <f t="shared" si="5"/>
        <v>1</v>
      </c>
      <c r="AW8" s="527"/>
      <c r="AX8" s="517"/>
      <c r="AY8" s="425"/>
      <c r="AZ8" s="163" t="s">
        <v>863</v>
      </c>
      <c r="BA8" s="147">
        <v>12</v>
      </c>
      <c r="BB8" s="125">
        <v>12</v>
      </c>
      <c r="BC8" s="33">
        <f t="shared" si="6"/>
        <v>1</v>
      </c>
      <c r="BD8" s="501"/>
      <c r="BE8" s="501"/>
      <c r="BF8" s="425"/>
      <c r="BG8" s="163" t="s">
        <v>863</v>
      </c>
      <c r="BH8" s="147">
        <v>12</v>
      </c>
      <c r="BI8" s="68">
        <v>11</v>
      </c>
      <c r="BJ8" s="71">
        <f t="shared" si="0"/>
        <v>0.91666666666666663</v>
      </c>
      <c r="BK8" s="501"/>
      <c r="BL8" s="501"/>
      <c r="BM8" s="513"/>
      <c r="BN8" s="615"/>
      <c r="BO8" s="278">
        <v>11</v>
      </c>
      <c r="BP8" s="32">
        <v>11</v>
      </c>
      <c r="BQ8" s="33">
        <f t="shared" si="7"/>
        <v>1</v>
      </c>
      <c r="BR8" s="495"/>
      <c r="BS8" s="495"/>
      <c r="BT8" s="425"/>
      <c r="BU8" s="280" t="s">
        <v>586</v>
      </c>
      <c r="BV8" s="68">
        <v>11</v>
      </c>
      <c r="BW8" s="32">
        <v>11</v>
      </c>
      <c r="BX8" s="33">
        <v>1</v>
      </c>
      <c r="BY8" s="485"/>
      <c r="BZ8" s="485"/>
      <c r="CA8" s="33">
        <v>0</v>
      </c>
      <c r="CB8" s="85" t="s">
        <v>991</v>
      </c>
      <c r="CC8" s="296" t="s">
        <v>1045</v>
      </c>
      <c r="CD8" s="68">
        <v>12</v>
      </c>
      <c r="CE8" s="32">
        <v>12</v>
      </c>
      <c r="CF8" s="34">
        <v>1</v>
      </c>
      <c r="CG8" s="485"/>
      <c r="CH8" s="485"/>
      <c r="CI8" s="710"/>
      <c r="CJ8" s="85" t="s">
        <v>991</v>
      </c>
      <c r="CK8" s="384" t="s">
        <v>1109</v>
      </c>
      <c r="CL8" s="47">
        <v>12</v>
      </c>
      <c r="CM8" s="32">
        <v>12</v>
      </c>
      <c r="CN8" s="239">
        <f>CM8/CL8</f>
        <v>1</v>
      </c>
    </row>
    <row r="9" spans="1:93" ht="47.25" customHeight="1" x14ac:dyDescent="0.25">
      <c r="A9" s="678"/>
      <c r="B9" s="400"/>
      <c r="C9" s="682"/>
      <c r="D9" s="626" t="s">
        <v>22</v>
      </c>
      <c r="E9" s="425" t="s">
        <v>23</v>
      </c>
      <c r="F9" s="447" t="s">
        <v>24</v>
      </c>
      <c r="G9" s="447" t="s">
        <v>25</v>
      </c>
      <c r="H9" s="513" t="s">
        <v>995</v>
      </c>
      <c r="I9" s="425">
        <v>0</v>
      </c>
      <c r="J9" s="424">
        <v>0.35</v>
      </c>
      <c r="K9" s="425" t="s">
        <v>295</v>
      </c>
      <c r="L9" s="425" t="s">
        <v>379</v>
      </c>
      <c r="M9" s="425" t="s">
        <v>367</v>
      </c>
      <c r="N9" s="425" t="s">
        <v>450</v>
      </c>
      <c r="O9" s="425" t="s">
        <v>368</v>
      </c>
      <c r="P9" s="425" t="s">
        <v>399</v>
      </c>
      <c r="Q9" s="667">
        <v>0.35</v>
      </c>
      <c r="R9" s="552"/>
      <c r="S9" s="612"/>
      <c r="T9" s="612"/>
      <c r="U9" s="612"/>
      <c r="V9" s="612"/>
      <c r="W9" s="425" t="s">
        <v>279</v>
      </c>
      <c r="X9" s="668"/>
      <c r="Y9" s="552"/>
      <c r="Z9" s="91">
        <v>0.03</v>
      </c>
      <c r="AA9" s="490">
        <v>0</v>
      </c>
      <c r="AB9" s="495"/>
      <c r="AC9" s="495"/>
      <c r="AD9" s="425" t="s">
        <v>279</v>
      </c>
      <c r="AE9" s="276" t="s">
        <v>667</v>
      </c>
      <c r="AF9" s="556">
        <v>0.13</v>
      </c>
      <c r="AG9" s="562">
        <v>0.13</v>
      </c>
      <c r="AH9" s="490">
        <v>0</v>
      </c>
      <c r="AI9" s="501" t="s">
        <v>696</v>
      </c>
      <c r="AJ9" s="501" t="s">
        <v>697</v>
      </c>
      <c r="AK9" s="425" t="s">
        <v>279</v>
      </c>
      <c r="AL9" s="479" t="s">
        <v>732</v>
      </c>
      <c r="AM9" s="662">
        <v>0.13</v>
      </c>
      <c r="AN9" s="446">
        <v>0</v>
      </c>
      <c r="AO9" s="490">
        <v>0</v>
      </c>
      <c r="AP9" s="501" t="s">
        <v>784</v>
      </c>
      <c r="AQ9" s="501" t="s">
        <v>785</v>
      </c>
      <c r="AR9" s="425" t="s">
        <v>279</v>
      </c>
      <c r="AS9" s="539" t="s">
        <v>815</v>
      </c>
      <c r="AT9" s="530">
        <v>0.15</v>
      </c>
      <c r="AU9" s="531">
        <v>0.15</v>
      </c>
      <c r="AV9" s="490">
        <v>0</v>
      </c>
      <c r="AW9" s="516" t="s">
        <v>855</v>
      </c>
      <c r="AX9" s="528" t="s">
        <v>856</v>
      </c>
      <c r="AY9" s="425" t="s">
        <v>279</v>
      </c>
      <c r="AZ9" s="539" t="s">
        <v>864</v>
      </c>
      <c r="BA9" s="515">
        <v>1</v>
      </c>
      <c r="BB9" s="513" t="s">
        <v>915</v>
      </c>
      <c r="BC9" s="490">
        <v>0</v>
      </c>
      <c r="BD9" s="501">
        <v>34750000</v>
      </c>
      <c r="BE9" s="501">
        <v>25081000</v>
      </c>
      <c r="BF9" s="425" t="s">
        <v>279</v>
      </c>
      <c r="BG9" s="479" t="s">
        <v>934</v>
      </c>
      <c r="BH9" s="648">
        <v>8.7499999999999994E-2</v>
      </c>
      <c r="BI9" s="513">
        <v>0</v>
      </c>
      <c r="BJ9" s="625">
        <v>0</v>
      </c>
      <c r="BK9" s="501"/>
      <c r="BL9" s="501"/>
      <c r="BM9" s="513" t="s">
        <v>279</v>
      </c>
      <c r="BN9" s="615" t="s">
        <v>510</v>
      </c>
      <c r="BO9" s="649">
        <v>8.7499999999999994E-2</v>
      </c>
      <c r="BP9" s="425">
        <v>0</v>
      </c>
      <c r="BQ9" s="490">
        <v>0</v>
      </c>
      <c r="BR9" s="495" t="s">
        <v>587</v>
      </c>
      <c r="BS9" s="495" t="s">
        <v>588</v>
      </c>
      <c r="BT9" s="425" t="s">
        <v>279</v>
      </c>
      <c r="BU9" s="617" t="s">
        <v>589</v>
      </c>
      <c r="BV9" s="446" t="s">
        <v>978</v>
      </c>
      <c r="BW9" s="425">
        <v>0</v>
      </c>
      <c r="BX9" s="490">
        <v>0</v>
      </c>
      <c r="BY9" s="483">
        <v>0</v>
      </c>
      <c r="BZ9" s="483">
        <v>0</v>
      </c>
      <c r="CA9" s="419">
        <v>0</v>
      </c>
      <c r="CB9" s="513" t="s">
        <v>995</v>
      </c>
      <c r="CC9" s="486" t="s">
        <v>1079</v>
      </c>
      <c r="CD9" s="446" t="s">
        <v>978</v>
      </c>
      <c r="CE9" s="447">
        <v>0</v>
      </c>
      <c r="CF9" s="428">
        <v>0</v>
      </c>
      <c r="CG9" s="456">
        <v>124337067</v>
      </c>
      <c r="CH9" s="456">
        <v>124337067</v>
      </c>
      <c r="CI9" s="442">
        <v>0</v>
      </c>
      <c r="CJ9" s="513" t="s">
        <v>995</v>
      </c>
      <c r="CK9" s="706" t="s">
        <v>1110</v>
      </c>
      <c r="CL9" s="424">
        <v>0.35</v>
      </c>
      <c r="CM9" s="408">
        <v>0</v>
      </c>
      <c r="CN9" s="428">
        <v>0</v>
      </c>
    </row>
    <row r="10" spans="1:93" ht="57.75" customHeight="1" x14ac:dyDescent="0.25">
      <c r="A10" s="678"/>
      <c r="B10" s="400"/>
      <c r="C10" s="682"/>
      <c r="D10" s="626"/>
      <c r="E10" s="425"/>
      <c r="F10" s="447"/>
      <c r="G10" s="447"/>
      <c r="H10" s="513"/>
      <c r="I10" s="425"/>
      <c r="J10" s="424"/>
      <c r="K10" s="425"/>
      <c r="L10" s="425"/>
      <c r="M10" s="425"/>
      <c r="N10" s="425"/>
      <c r="O10" s="425"/>
      <c r="P10" s="425"/>
      <c r="Q10" s="667"/>
      <c r="R10" s="92">
        <v>0</v>
      </c>
      <c r="S10" s="553"/>
      <c r="T10" s="553"/>
      <c r="U10" s="553"/>
      <c r="V10" s="553"/>
      <c r="W10" s="425"/>
      <c r="X10" s="274"/>
      <c r="Y10" s="92">
        <v>0</v>
      </c>
      <c r="Z10" s="90"/>
      <c r="AA10" s="490"/>
      <c r="AB10" s="495"/>
      <c r="AC10" s="495"/>
      <c r="AD10" s="425"/>
      <c r="AE10" s="276" t="s">
        <v>668</v>
      </c>
      <c r="AF10" s="556"/>
      <c r="AG10" s="562"/>
      <c r="AH10" s="490"/>
      <c r="AI10" s="501"/>
      <c r="AJ10" s="501"/>
      <c r="AK10" s="425"/>
      <c r="AL10" s="479"/>
      <c r="AM10" s="613"/>
      <c r="AN10" s="446"/>
      <c r="AO10" s="490"/>
      <c r="AP10" s="550" t="s">
        <v>786</v>
      </c>
      <c r="AQ10" s="550" t="s">
        <v>787</v>
      </c>
      <c r="AR10" s="425"/>
      <c r="AS10" s="539" t="s">
        <v>816</v>
      </c>
      <c r="AT10" s="529"/>
      <c r="AU10" s="517"/>
      <c r="AV10" s="490"/>
      <c r="AW10" s="517"/>
      <c r="AX10" s="527"/>
      <c r="AY10" s="425"/>
      <c r="AZ10" s="539" t="s">
        <v>816</v>
      </c>
      <c r="BA10" s="515"/>
      <c r="BB10" s="513"/>
      <c r="BC10" s="490"/>
      <c r="BD10" s="501"/>
      <c r="BE10" s="501"/>
      <c r="BF10" s="425"/>
      <c r="BG10" s="479"/>
      <c r="BH10" s="648"/>
      <c r="BI10" s="513"/>
      <c r="BJ10" s="625"/>
      <c r="BK10" s="501"/>
      <c r="BL10" s="501"/>
      <c r="BM10" s="513"/>
      <c r="BN10" s="615"/>
      <c r="BO10" s="649"/>
      <c r="BP10" s="425"/>
      <c r="BQ10" s="490"/>
      <c r="BR10" s="495"/>
      <c r="BS10" s="495"/>
      <c r="BT10" s="425"/>
      <c r="BU10" s="617"/>
      <c r="BV10" s="446"/>
      <c r="BW10" s="425"/>
      <c r="BX10" s="490"/>
      <c r="BY10" s="484"/>
      <c r="BZ10" s="484"/>
      <c r="CA10" s="426"/>
      <c r="CB10" s="513"/>
      <c r="CC10" s="487"/>
      <c r="CD10" s="446"/>
      <c r="CE10" s="447"/>
      <c r="CF10" s="428"/>
      <c r="CG10" s="463"/>
      <c r="CH10" s="463"/>
      <c r="CI10" s="437"/>
      <c r="CJ10" s="513"/>
      <c r="CK10" s="707"/>
      <c r="CL10" s="424"/>
      <c r="CM10" s="409"/>
      <c r="CN10" s="428"/>
    </row>
    <row r="11" spans="1:93" ht="52.5" customHeight="1" thickBot="1" x14ac:dyDescent="0.3">
      <c r="A11" s="678"/>
      <c r="B11" s="400"/>
      <c r="C11" s="682"/>
      <c r="D11" s="626"/>
      <c r="E11" s="425"/>
      <c r="F11" s="447"/>
      <c r="G11" s="447"/>
      <c r="H11" s="595"/>
      <c r="I11" s="425"/>
      <c r="J11" s="424"/>
      <c r="K11" s="425"/>
      <c r="L11" s="425"/>
      <c r="M11" s="425"/>
      <c r="N11" s="425"/>
      <c r="O11" s="425"/>
      <c r="P11" s="425"/>
      <c r="Q11" s="667"/>
      <c r="R11" s="92" t="s">
        <v>41</v>
      </c>
      <c r="S11" s="612"/>
      <c r="T11" s="612"/>
      <c r="U11" s="612"/>
      <c r="V11" s="612"/>
      <c r="W11" s="425"/>
      <c r="X11" s="274"/>
      <c r="Y11" s="92" t="s">
        <v>41</v>
      </c>
      <c r="Z11" s="90" t="s">
        <v>37</v>
      </c>
      <c r="AA11" s="490"/>
      <c r="AB11" s="495"/>
      <c r="AC11" s="495"/>
      <c r="AD11" s="425"/>
      <c r="AE11" s="276" t="s">
        <v>668</v>
      </c>
      <c r="AF11" s="556"/>
      <c r="AG11" s="562"/>
      <c r="AH11" s="490"/>
      <c r="AI11" s="501"/>
      <c r="AJ11" s="501"/>
      <c r="AK11" s="425"/>
      <c r="AL11" s="479"/>
      <c r="AM11" s="613"/>
      <c r="AN11" s="446"/>
      <c r="AO11" s="490"/>
      <c r="AP11" s="550" t="s">
        <v>786</v>
      </c>
      <c r="AQ11" s="550" t="s">
        <v>787</v>
      </c>
      <c r="AR11" s="425"/>
      <c r="AS11" s="539" t="s">
        <v>816</v>
      </c>
      <c r="AT11" s="529"/>
      <c r="AU11" s="517"/>
      <c r="AV11" s="490"/>
      <c r="AW11" s="517"/>
      <c r="AX11" s="527"/>
      <c r="AY11" s="425"/>
      <c r="AZ11" s="539" t="s">
        <v>816</v>
      </c>
      <c r="BA11" s="515"/>
      <c r="BB11" s="513"/>
      <c r="BC11" s="490"/>
      <c r="BD11" s="501"/>
      <c r="BE11" s="501"/>
      <c r="BF11" s="425"/>
      <c r="BG11" s="479"/>
      <c r="BH11" s="648"/>
      <c r="BI11" s="513"/>
      <c r="BJ11" s="625"/>
      <c r="BK11" s="501"/>
      <c r="BL11" s="501"/>
      <c r="BM11" s="513"/>
      <c r="BN11" s="615"/>
      <c r="BO11" s="649"/>
      <c r="BP11" s="425"/>
      <c r="BQ11" s="490"/>
      <c r="BR11" s="495"/>
      <c r="BS11" s="495"/>
      <c r="BT11" s="425"/>
      <c r="BU11" s="617"/>
      <c r="BV11" s="446"/>
      <c r="BW11" s="425"/>
      <c r="BX11" s="490"/>
      <c r="BY11" s="484"/>
      <c r="BZ11" s="484"/>
      <c r="CA11" s="427"/>
      <c r="CB11" s="595"/>
      <c r="CC11" s="596"/>
      <c r="CD11" s="446"/>
      <c r="CE11" s="447"/>
      <c r="CF11" s="428"/>
      <c r="CG11" s="463"/>
      <c r="CH11" s="463"/>
      <c r="CI11" s="466"/>
      <c r="CJ11" s="595"/>
      <c r="CK11" s="708"/>
      <c r="CL11" s="424"/>
      <c r="CM11" s="410"/>
      <c r="CN11" s="428"/>
    </row>
    <row r="12" spans="1:93" ht="165.75" customHeight="1" x14ac:dyDescent="0.25">
      <c r="A12" s="691" t="s">
        <v>26</v>
      </c>
      <c r="B12" s="425" t="s">
        <v>27</v>
      </c>
      <c r="C12" s="690" t="s">
        <v>28</v>
      </c>
      <c r="D12" s="111" t="s">
        <v>29</v>
      </c>
      <c r="E12" s="47" t="s">
        <v>30</v>
      </c>
      <c r="F12" s="47" t="s">
        <v>31</v>
      </c>
      <c r="G12" s="47" t="s">
        <v>32</v>
      </c>
      <c r="H12" s="224" t="s">
        <v>996</v>
      </c>
      <c r="I12" s="47" t="s">
        <v>33</v>
      </c>
      <c r="J12" s="47" t="s">
        <v>34</v>
      </c>
      <c r="K12" s="47" t="s">
        <v>295</v>
      </c>
      <c r="L12" s="47" t="s">
        <v>380</v>
      </c>
      <c r="M12" s="47" t="s">
        <v>296</v>
      </c>
      <c r="N12" s="47" t="s">
        <v>428</v>
      </c>
      <c r="O12" s="47" t="s">
        <v>297</v>
      </c>
      <c r="P12" s="47" t="s">
        <v>398</v>
      </c>
      <c r="Q12" s="109" t="s">
        <v>34</v>
      </c>
      <c r="R12" s="285" t="s">
        <v>41</v>
      </c>
      <c r="S12" s="612"/>
      <c r="T12" s="612"/>
      <c r="U12" s="612"/>
      <c r="V12" s="612"/>
      <c r="W12" s="425" t="s">
        <v>278</v>
      </c>
      <c r="X12" s="297"/>
      <c r="Y12" s="285" t="s">
        <v>41</v>
      </c>
      <c r="Z12" s="91" t="s">
        <v>37</v>
      </c>
      <c r="AA12" s="256">
        <v>0.77</v>
      </c>
      <c r="AB12" s="270"/>
      <c r="AC12" s="270"/>
      <c r="AD12" s="425" t="s">
        <v>278</v>
      </c>
      <c r="AE12" s="298" t="s">
        <v>669</v>
      </c>
      <c r="AF12" s="299">
        <v>0.125</v>
      </c>
      <c r="AG12" s="292">
        <v>0.22</v>
      </c>
      <c r="AH12" s="256">
        <v>0.64449999999999996</v>
      </c>
      <c r="AI12" s="501" t="s">
        <v>698</v>
      </c>
      <c r="AJ12" s="501" t="s">
        <v>699</v>
      </c>
      <c r="AK12" s="425" t="s">
        <v>278</v>
      </c>
      <c r="AL12" s="192" t="s">
        <v>733</v>
      </c>
      <c r="AM12" s="300">
        <v>0.12</v>
      </c>
      <c r="AN12" s="301">
        <v>0.22</v>
      </c>
      <c r="AO12" s="256">
        <v>0.77</v>
      </c>
      <c r="AP12" s="501" t="s">
        <v>788</v>
      </c>
      <c r="AQ12" s="501" t="s">
        <v>789</v>
      </c>
      <c r="AR12" s="425" t="s">
        <v>278</v>
      </c>
      <c r="AS12" s="546" t="s">
        <v>817</v>
      </c>
      <c r="AT12" s="302">
        <v>0.11700000000000001</v>
      </c>
      <c r="AU12" s="303">
        <v>0.18</v>
      </c>
      <c r="AV12" s="256">
        <v>0.64449999999999996</v>
      </c>
      <c r="AW12" s="181" t="s">
        <v>856</v>
      </c>
      <c r="AX12" s="181" t="s">
        <v>856</v>
      </c>
      <c r="AY12" s="425" t="s">
        <v>278</v>
      </c>
      <c r="AZ12" s="304" t="s">
        <v>865</v>
      </c>
      <c r="BA12" s="299">
        <v>0.17499999999999999</v>
      </c>
      <c r="BB12" s="292">
        <v>0.21</v>
      </c>
      <c r="BC12" s="256">
        <v>0.77</v>
      </c>
      <c r="BD12" s="501" t="s">
        <v>921</v>
      </c>
      <c r="BE12" s="501" t="s">
        <v>922</v>
      </c>
      <c r="BF12" s="425" t="s">
        <v>278</v>
      </c>
      <c r="BG12" s="305" t="s">
        <v>935</v>
      </c>
      <c r="BH12" s="299" t="s">
        <v>403</v>
      </c>
      <c r="BI12" s="263">
        <v>35.299999999999997</v>
      </c>
      <c r="BJ12" s="14">
        <v>0</v>
      </c>
      <c r="BK12" s="69"/>
      <c r="BL12" s="69"/>
      <c r="BM12" s="513" t="s">
        <v>278</v>
      </c>
      <c r="BN12" s="281" t="s">
        <v>511</v>
      </c>
      <c r="BO12" s="306" t="s">
        <v>403</v>
      </c>
      <c r="BP12" s="307" t="s">
        <v>421</v>
      </c>
      <c r="BQ12" s="256">
        <v>0.64449999999999996</v>
      </c>
      <c r="BR12" s="270">
        <v>0</v>
      </c>
      <c r="BS12" s="270">
        <v>0</v>
      </c>
      <c r="BT12" s="425" t="s">
        <v>278</v>
      </c>
      <c r="BU12" s="308" t="s">
        <v>590</v>
      </c>
      <c r="BV12" s="118">
        <v>0.13</v>
      </c>
      <c r="BW12" s="307" t="s">
        <v>463</v>
      </c>
      <c r="BX12" s="256">
        <v>0.4</v>
      </c>
      <c r="BY12" s="270">
        <f>8380975+175942526+66232642475</f>
        <v>66416965976</v>
      </c>
      <c r="BZ12" s="270">
        <f>6285731+
140457526+66232642475</f>
        <v>66379385732</v>
      </c>
      <c r="CA12" s="309">
        <f>BZ12/BY12</f>
        <v>0.9994341770442573</v>
      </c>
      <c r="CB12" s="224" t="s">
        <v>996</v>
      </c>
      <c r="CC12" s="310" t="s">
        <v>1080</v>
      </c>
      <c r="CD12" s="68" t="s">
        <v>1101</v>
      </c>
      <c r="CE12" s="38">
        <v>0.12</v>
      </c>
      <c r="CF12" s="264">
        <v>0.87</v>
      </c>
      <c r="CG12" s="55">
        <f>358000000+8380975+175942526+66232642475+240328965+358000000+1724800+11200000+737000000</f>
        <v>68123219741</v>
      </c>
      <c r="CH12" s="55">
        <f>6285731+358000000+1724800+11200000+
140457526+66232642475+387567781+588301852</f>
        <v>67726180165</v>
      </c>
      <c r="CI12" s="231">
        <f>CH12/CG12</f>
        <v>0.99417174382670814</v>
      </c>
      <c r="CJ12" s="224" t="s">
        <v>996</v>
      </c>
      <c r="CK12" s="744" t="s">
        <v>1163</v>
      </c>
      <c r="CL12" s="47" t="s">
        <v>34</v>
      </c>
      <c r="CM12" s="378">
        <v>0.12</v>
      </c>
      <c r="CN12" s="264">
        <v>0.87</v>
      </c>
    </row>
    <row r="13" spans="1:93" s="2" customFormat="1" ht="201.75" customHeight="1" x14ac:dyDescent="0.25">
      <c r="A13" s="691"/>
      <c r="B13" s="425"/>
      <c r="C13" s="690"/>
      <c r="D13" s="112" t="s">
        <v>35</v>
      </c>
      <c r="E13" s="57" t="s">
        <v>36</v>
      </c>
      <c r="F13" s="57" t="s">
        <v>429</v>
      </c>
      <c r="G13" s="57" t="s">
        <v>430</v>
      </c>
      <c r="H13" s="85" t="s">
        <v>997</v>
      </c>
      <c r="I13" s="57" t="s">
        <v>37</v>
      </c>
      <c r="J13" s="47">
        <f>100*10*3</f>
        <v>3000</v>
      </c>
      <c r="K13" s="47" t="s">
        <v>295</v>
      </c>
      <c r="L13" s="47" t="s">
        <v>451</v>
      </c>
      <c r="M13" s="47" t="s">
        <v>369</v>
      </c>
      <c r="N13" s="47" t="s">
        <v>393</v>
      </c>
      <c r="O13" s="47" t="s">
        <v>370</v>
      </c>
      <c r="P13" s="47" t="s">
        <v>394</v>
      </c>
      <c r="Q13" s="109">
        <f>100*10*3</f>
        <v>3000</v>
      </c>
      <c r="R13" s="92" t="s">
        <v>41</v>
      </c>
      <c r="S13" s="612"/>
      <c r="T13" s="612"/>
      <c r="U13" s="612"/>
      <c r="V13" s="612"/>
      <c r="W13" s="425"/>
      <c r="X13" s="297"/>
      <c r="Y13" s="92" t="s">
        <v>41</v>
      </c>
      <c r="Z13" s="90" t="s">
        <v>37</v>
      </c>
      <c r="AA13" s="256">
        <v>0.33</v>
      </c>
      <c r="AB13" s="270"/>
      <c r="AC13" s="270"/>
      <c r="AD13" s="425"/>
      <c r="AE13" s="298" t="s">
        <v>670</v>
      </c>
      <c r="AF13" s="177">
        <v>300</v>
      </c>
      <c r="AG13" s="85">
        <v>714</v>
      </c>
      <c r="AH13" s="256">
        <v>0.33</v>
      </c>
      <c r="AI13" s="501"/>
      <c r="AJ13" s="501"/>
      <c r="AK13" s="425"/>
      <c r="AL13" s="192" t="s">
        <v>734</v>
      </c>
      <c r="AM13" s="147">
        <v>300</v>
      </c>
      <c r="AN13" s="68">
        <v>65</v>
      </c>
      <c r="AO13" s="256">
        <v>0.33</v>
      </c>
      <c r="AP13" s="550"/>
      <c r="AQ13" s="550"/>
      <c r="AR13" s="425"/>
      <c r="AS13" s="546"/>
      <c r="AT13" s="311">
        <v>3</v>
      </c>
      <c r="AU13" s="312">
        <v>3</v>
      </c>
      <c r="AV13" s="256">
        <v>0.33</v>
      </c>
      <c r="AW13" s="181" t="s">
        <v>856</v>
      </c>
      <c r="AX13" s="181" t="s">
        <v>856</v>
      </c>
      <c r="AY13" s="425"/>
      <c r="AZ13" s="313" t="s">
        <v>866</v>
      </c>
      <c r="BA13" s="177">
        <v>3</v>
      </c>
      <c r="BB13" s="85" t="s">
        <v>916</v>
      </c>
      <c r="BC13" s="256">
        <v>0.33</v>
      </c>
      <c r="BD13" s="501"/>
      <c r="BE13" s="501"/>
      <c r="BF13" s="425"/>
      <c r="BG13" s="305" t="s">
        <v>936</v>
      </c>
      <c r="BH13" s="177">
        <v>0</v>
      </c>
      <c r="BI13" s="85">
        <v>0</v>
      </c>
      <c r="BJ13" s="14">
        <v>1</v>
      </c>
      <c r="BK13" s="69"/>
      <c r="BL13" s="69"/>
      <c r="BM13" s="513"/>
      <c r="BN13" s="277" t="s">
        <v>512</v>
      </c>
      <c r="BO13" s="111">
        <v>0</v>
      </c>
      <c r="BP13" s="47">
        <v>0</v>
      </c>
      <c r="BQ13" s="256">
        <v>1</v>
      </c>
      <c r="BR13" s="270">
        <v>225000000</v>
      </c>
      <c r="BS13" s="270" t="s">
        <v>591</v>
      </c>
      <c r="BT13" s="425"/>
      <c r="BU13" s="280" t="s">
        <v>592</v>
      </c>
      <c r="BV13" s="68">
        <v>205</v>
      </c>
      <c r="BW13" s="47">
        <v>193</v>
      </c>
      <c r="BX13" s="256">
        <v>0.94099999999999995</v>
      </c>
      <c r="BY13" s="270">
        <f>8380975
+264860887+
1463333+3690000</f>
        <v>278395195</v>
      </c>
      <c r="BZ13" s="275">
        <f>3331245+196405887+630000+3960000</f>
        <v>204327132</v>
      </c>
      <c r="CA13" s="256">
        <f>BZ13/BY13</f>
        <v>0.73394633122170083</v>
      </c>
      <c r="CB13" s="85" t="s">
        <v>997</v>
      </c>
      <c r="CC13" s="200" t="s">
        <v>1093</v>
      </c>
      <c r="CD13" s="68">
        <v>205</v>
      </c>
      <c r="CE13" s="57">
        <f>193+8+19</f>
        <v>220</v>
      </c>
      <c r="CF13" s="56">
        <v>1</v>
      </c>
      <c r="CG13" s="55">
        <f>8380975+1724800+18000000
+264860887+
1463333+3690000+40000000+18000000</f>
        <v>356119995</v>
      </c>
      <c r="CH13" s="55">
        <f>3331245+196405887+630000+3960000+1724800+8000000+5400000+13500000</f>
        <v>232951932</v>
      </c>
      <c r="CI13" s="56">
        <f>CH13/CG13</f>
        <v>0.65413887248875202</v>
      </c>
      <c r="CJ13" s="85" t="s">
        <v>997</v>
      </c>
      <c r="CK13" s="383" t="s">
        <v>1154</v>
      </c>
      <c r="CL13" s="57">
        <f>100*10*3</f>
        <v>3000</v>
      </c>
      <c r="CM13" s="215">
        <f>981.5+8+201+19</f>
        <v>1209.5</v>
      </c>
      <c r="CN13" s="257">
        <f>CM13/CL13</f>
        <v>0.40316666666666667</v>
      </c>
      <c r="CO13" s="131"/>
    </row>
    <row r="14" spans="1:93" ht="93.75" customHeight="1" x14ac:dyDescent="0.25">
      <c r="A14" s="691"/>
      <c r="B14" s="425"/>
      <c r="C14" s="690"/>
      <c r="D14" s="626" t="s">
        <v>38</v>
      </c>
      <c r="E14" s="425" t="s">
        <v>39</v>
      </c>
      <c r="F14" s="425" t="s">
        <v>434</v>
      </c>
      <c r="G14" s="425" t="s">
        <v>40</v>
      </c>
      <c r="H14" s="452" t="s">
        <v>998</v>
      </c>
      <c r="I14" s="447" t="s">
        <v>37</v>
      </c>
      <c r="J14" s="447" t="s">
        <v>41</v>
      </c>
      <c r="K14" s="425" t="s">
        <v>291</v>
      </c>
      <c r="L14" s="425" t="s">
        <v>381</v>
      </c>
      <c r="M14" s="425" t="s">
        <v>371</v>
      </c>
      <c r="N14" s="425" t="s">
        <v>386</v>
      </c>
      <c r="O14" s="425" t="s">
        <v>372</v>
      </c>
      <c r="P14" s="425" t="s">
        <v>395</v>
      </c>
      <c r="Q14" s="581" t="s">
        <v>41</v>
      </c>
      <c r="R14" s="92" t="s">
        <v>41</v>
      </c>
      <c r="S14" s="612"/>
      <c r="T14" s="612"/>
      <c r="U14" s="612"/>
      <c r="V14" s="612"/>
      <c r="W14" s="425"/>
      <c r="X14" s="297"/>
      <c r="Y14" s="92" t="s">
        <v>41</v>
      </c>
      <c r="Z14" s="90" t="s">
        <v>37</v>
      </c>
      <c r="AA14" s="490">
        <v>0</v>
      </c>
      <c r="AB14" s="647"/>
      <c r="AC14" s="647"/>
      <c r="AD14" s="425"/>
      <c r="AE14" s="298" t="s">
        <v>670</v>
      </c>
      <c r="AF14" s="314">
        <v>0.06</v>
      </c>
      <c r="AG14" s="292">
        <v>0.06</v>
      </c>
      <c r="AH14" s="490">
        <v>0</v>
      </c>
      <c r="AI14" s="501"/>
      <c r="AJ14" s="501"/>
      <c r="AK14" s="425"/>
      <c r="AL14" s="172" t="s">
        <v>735</v>
      </c>
      <c r="AM14" s="164">
        <v>0.06</v>
      </c>
      <c r="AN14" s="68">
        <v>0</v>
      </c>
      <c r="AO14" s="490">
        <v>0</v>
      </c>
      <c r="AP14" s="550"/>
      <c r="AQ14" s="550"/>
      <c r="AR14" s="425"/>
      <c r="AS14" s="546"/>
      <c r="AT14" s="315">
        <v>0.06</v>
      </c>
      <c r="AU14" s="286">
        <v>0.04</v>
      </c>
      <c r="AV14" s="490">
        <v>0</v>
      </c>
      <c r="AW14" s="181" t="s">
        <v>856</v>
      </c>
      <c r="AX14" s="181" t="s">
        <v>856</v>
      </c>
      <c r="AY14" s="425"/>
      <c r="AZ14" s="316" t="s">
        <v>867</v>
      </c>
      <c r="BA14" s="515">
        <v>12</v>
      </c>
      <c r="BB14" s="513" t="s">
        <v>917</v>
      </c>
      <c r="BC14" s="490">
        <v>0</v>
      </c>
      <c r="BD14" s="501"/>
      <c r="BE14" s="501"/>
      <c r="BF14" s="425"/>
      <c r="BG14" s="659" t="s">
        <v>937</v>
      </c>
      <c r="BH14" s="556">
        <v>0.1</v>
      </c>
      <c r="BI14" s="513">
        <v>0</v>
      </c>
      <c r="BJ14" s="625">
        <v>0</v>
      </c>
      <c r="BK14" s="501"/>
      <c r="BL14" s="501"/>
      <c r="BM14" s="513"/>
      <c r="BN14" s="615" t="s">
        <v>513</v>
      </c>
      <c r="BO14" s="616">
        <v>0.1</v>
      </c>
      <c r="BP14" s="425">
        <v>0</v>
      </c>
      <c r="BQ14" s="490">
        <v>0</v>
      </c>
      <c r="BR14" s="647" t="s">
        <v>593</v>
      </c>
      <c r="BS14" s="647" t="s">
        <v>594</v>
      </c>
      <c r="BT14" s="425"/>
      <c r="BU14" s="617" t="s">
        <v>595</v>
      </c>
      <c r="BV14" s="445">
        <v>0.1</v>
      </c>
      <c r="BW14" s="425">
        <v>0</v>
      </c>
      <c r="BX14" s="490">
        <v>0</v>
      </c>
      <c r="BY14" s="593">
        <v>30000000</v>
      </c>
      <c r="BZ14" s="593">
        <v>30000000</v>
      </c>
      <c r="CA14" s="419">
        <f>BZ14/BY14</f>
        <v>1</v>
      </c>
      <c r="CB14" s="452" t="s">
        <v>998</v>
      </c>
      <c r="CC14" s="486" t="s">
        <v>1046</v>
      </c>
      <c r="CD14" s="445">
        <v>0.1</v>
      </c>
      <c r="CE14" s="447">
        <v>0</v>
      </c>
      <c r="CF14" s="428">
        <v>0</v>
      </c>
      <c r="CG14" s="448">
        <v>1546483714</v>
      </c>
      <c r="CH14" s="450">
        <f>30000000+1250120000</f>
        <v>1280120000</v>
      </c>
      <c r="CI14" s="442">
        <f>CH14/CG14</f>
        <v>0.82776170768003321</v>
      </c>
      <c r="CJ14" s="452" t="s">
        <v>998</v>
      </c>
      <c r="CK14" s="454" t="s">
        <v>1153</v>
      </c>
      <c r="CL14" s="447" t="s">
        <v>41</v>
      </c>
      <c r="CM14" s="408">
        <v>0</v>
      </c>
      <c r="CN14" s="428">
        <v>0</v>
      </c>
    </row>
    <row r="15" spans="1:93" ht="73.5" customHeight="1" x14ac:dyDescent="0.25">
      <c r="A15" s="691"/>
      <c r="B15" s="425"/>
      <c r="C15" s="690"/>
      <c r="D15" s="626"/>
      <c r="E15" s="425"/>
      <c r="F15" s="425"/>
      <c r="G15" s="425"/>
      <c r="H15" s="453"/>
      <c r="I15" s="447"/>
      <c r="J15" s="447"/>
      <c r="K15" s="425"/>
      <c r="L15" s="425"/>
      <c r="M15" s="425"/>
      <c r="N15" s="425"/>
      <c r="O15" s="425"/>
      <c r="P15" s="425"/>
      <c r="Q15" s="581"/>
      <c r="R15" s="92" t="s">
        <v>41</v>
      </c>
      <c r="S15" s="612"/>
      <c r="T15" s="612"/>
      <c r="U15" s="612"/>
      <c r="V15" s="612"/>
      <c r="W15" s="425"/>
      <c r="X15" s="297"/>
      <c r="Y15" s="92" t="s">
        <v>41</v>
      </c>
      <c r="Z15" s="90" t="s">
        <v>37</v>
      </c>
      <c r="AA15" s="490"/>
      <c r="AB15" s="647"/>
      <c r="AC15" s="647"/>
      <c r="AD15" s="425"/>
      <c r="AE15" s="298" t="s">
        <v>670</v>
      </c>
      <c r="AF15" s="177" t="s">
        <v>691</v>
      </c>
      <c r="AG15" s="85" t="s">
        <v>691</v>
      </c>
      <c r="AH15" s="490"/>
      <c r="AI15" s="69" t="s">
        <v>700</v>
      </c>
      <c r="AJ15" s="69" t="s">
        <v>700</v>
      </c>
      <c r="AK15" s="425"/>
      <c r="AL15" s="539" t="s">
        <v>736</v>
      </c>
      <c r="AM15" s="177" t="s">
        <v>691</v>
      </c>
      <c r="AN15" s="85" t="s">
        <v>691</v>
      </c>
      <c r="AO15" s="490"/>
      <c r="AP15" s="69" t="s">
        <v>700</v>
      </c>
      <c r="AQ15" s="69" t="s">
        <v>700</v>
      </c>
      <c r="AR15" s="425"/>
      <c r="AS15" s="479" t="s">
        <v>818</v>
      </c>
      <c r="AT15" s="317">
        <v>649</v>
      </c>
      <c r="AU15" s="125">
        <v>649</v>
      </c>
      <c r="AV15" s="490"/>
      <c r="AW15" s="181" t="s">
        <v>856</v>
      </c>
      <c r="AX15" s="181" t="s">
        <v>856</v>
      </c>
      <c r="AY15" s="425"/>
      <c r="AZ15" s="521" t="s">
        <v>868</v>
      </c>
      <c r="BA15" s="515"/>
      <c r="BB15" s="513"/>
      <c r="BC15" s="490"/>
      <c r="BD15" s="501"/>
      <c r="BE15" s="501"/>
      <c r="BF15" s="425"/>
      <c r="BG15" s="659"/>
      <c r="BH15" s="515"/>
      <c r="BI15" s="513"/>
      <c r="BJ15" s="625"/>
      <c r="BK15" s="501"/>
      <c r="BL15" s="501"/>
      <c r="BM15" s="513"/>
      <c r="BN15" s="615"/>
      <c r="BO15" s="626"/>
      <c r="BP15" s="425"/>
      <c r="BQ15" s="490"/>
      <c r="BR15" s="647"/>
      <c r="BS15" s="647"/>
      <c r="BT15" s="425"/>
      <c r="BU15" s="617"/>
      <c r="BV15" s="446"/>
      <c r="BW15" s="425"/>
      <c r="BX15" s="490"/>
      <c r="BY15" s="594"/>
      <c r="BZ15" s="594"/>
      <c r="CA15" s="420"/>
      <c r="CB15" s="453"/>
      <c r="CC15" s="488"/>
      <c r="CD15" s="446"/>
      <c r="CE15" s="447"/>
      <c r="CF15" s="428"/>
      <c r="CG15" s="449"/>
      <c r="CH15" s="451"/>
      <c r="CI15" s="438"/>
      <c r="CJ15" s="453"/>
      <c r="CK15" s="455"/>
      <c r="CL15" s="447"/>
      <c r="CM15" s="411"/>
      <c r="CN15" s="428"/>
    </row>
    <row r="16" spans="1:93" ht="107.25" customHeight="1" x14ac:dyDescent="0.25">
      <c r="A16" s="691"/>
      <c r="B16" s="425"/>
      <c r="C16" s="690"/>
      <c r="D16" s="111" t="s">
        <v>42</v>
      </c>
      <c r="E16" s="57" t="s">
        <v>43</v>
      </c>
      <c r="F16" s="57" t="s">
        <v>44</v>
      </c>
      <c r="G16" s="57" t="s">
        <v>45</v>
      </c>
      <c r="H16" s="85" t="s">
        <v>999</v>
      </c>
      <c r="I16" s="59">
        <v>0.8</v>
      </c>
      <c r="J16" s="47" t="s">
        <v>435</v>
      </c>
      <c r="K16" s="425" t="s">
        <v>295</v>
      </c>
      <c r="L16" s="425" t="s">
        <v>298</v>
      </c>
      <c r="M16" s="425">
        <v>3602018</v>
      </c>
      <c r="N16" s="425" t="s">
        <v>299</v>
      </c>
      <c r="O16" s="425">
        <v>360201800</v>
      </c>
      <c r="P16" s="425" t="s">
        <v>300</v>
      </c>
      <c r="Q16" s="109" t="s">
        <v>435</v>
      </c>
      <c r="R16" s="92" t="s">
        <v>41</v>
      </c>
      <c r="S16" s="612"/>
      <c r="T16" s="612"/>
      <c r="U16" s="612"/>
      <c r="V16" s="612"/>
      <c r="W16" s="425" t="s">
        <v>452</v>
      </c>
      <c r="X16" s="297"/>
      <c r="Y16" s="92" t="s">
        <v>41</v>
      </c>
      <c r="Z16" s="90" t="s">
        <v>37</v>
      </c>
      <c r="AA16" s="256" t="e">
        <f>Z16/Y16</f>
        <v>#VALUE!</v>
      </c>
      <c r="AB16" s="495"/>
      <c r="AC16" s="495"/>
      <c r="AD16" s="425" t="s">
        <v>452</v>
      </c>
      <c r="AE16" s="298" t="s">
        <v>670</v>
      </c>
      <c r="AF16" s="177" t="s">
        <v>691</v>
      </c>
      <c r="AG16" s="85" t="s">
        <v>691</v>
      </c>
      <c r="AH16" s="256" t="e">
        <f>AG16/AF16</f>
        <v>#VALUE!</v>
      </c>
      <c r="AI16" s="69" t="s">
        <v>700</v>
      </c>
      <c r="AJ16" s="69" t="s">
        <v>700</v>
      </c>
      <c r="AK16" s="425" t="s">
        <v>452</v>
      </c>
      <c r="AL16" s="539"/>
      <c r="AM16" s="177" t="s">
        <v>691</v>
      </c>
      <c r="AN16" s="85" t="s">
        <v>691</v>
      </c>
      <c r="AO16" s="256" t="e">
        <f>AN16/AM16</f>
        <v>#VALUE!</v>
      </c>
      <c r="AP16" s="69" t="s">
        <v>700</v>
      </c>
      <c r="AQ16" s="69" t="s">
        <v>700</v>
      </c>
      <c r="AR16" s="425" t="s">
        <v>452</v>
      </c>
      <c r="AS16" s="479"/>
      <c r="AT16" s="171">
        <v>155</v>
      </c>
      <c r="AU16" s="125">
        <v>155</v>
      </c>
      <c r="AV16" s="256">
        <f>AU16/AT16</f>
        <v>1</v>
      </c>
      <c r="AW16" s="181" t="s">
        <v>856</v>
      </c>
      <c r="AX16" s="181" t="s">
        <v>856</v>
      </c>
      <c r="AY16" s="425" t="s">
        <v>452</v>
      </c>
      <c r="AZ16" s="521"/>
      <c r="BA16" s="177">
        <v>253</v>
      </c>
      <c r="BB16" s="85">
        <v>253</v>
      </c>
      <c r="BC16" s="256">
        <f>BB16/BA16</f>
        <v>1</v>
      </c>
      <c r="BD16" s="501">
        <v>150000000</v>
      </c>
      <c r="BE16" s="501">
        <v>150000000</v>
      </c>
      <c r="BF16" s="425" t="s">
        <v>452</v>
      </c>
      <c r="BG16" s="640" t="s">
        <v>938</v>
      </c>
      <c r="BH16" s="177">
        <v>1741</v>
      </c>
      <c r="BI16" s="85">
        <v>1741</v>
      </c>
      <c r="BJ16" s="14">
        <v>1</v>
      </c>
      <c r="BK16" s="501"/>
      <c r="BL16" s="501"/>
      <c r="BM16" s="513" t="s">
        <v>514</v>
      </c>
      <c r="BN16" s="640" t="s">
        <v>515</v>
      </c>
      <c r="BO16" s="111">
        <v>1741</v>
      </c>
      <c r="BP16" s="47">
        <v>1523</v>
      </c>
      <c r="BQ16" s="256">
        <f>BP16/BO16</f>
        <v>0.87478460654796097</v>
      </c>
      <c r="BR16" s="495"/>
      <c r="BS16" s="495"/>
      <c r="BT16" s="425" t="s">
        <v>452</v>
      </c>
      <c r="BU16" s="639" t="s">
        <v>596</v>
      </c>
      <c r="BV16" s="68">
        <v>1741</v>
      </c>
      <c r="BW16" s="47">
        <v>1925</v>
      </c>
      <c r="BX16" s="256">
        <v>1</v>
      </c>
      <c r="BY16" s="483">
        <v>0</v>
      </c>
      <c r="BZ16" s="483">
        <v>0</v>
      </c>
      <c r="CA16" s="267">
        <v>0</v>
      </c>
      <c r="CB16" s="85" t="s">
        <v>999</v>
      </c>
      <c r="CC16" s="590" t="s">
        <v>1047</v>
      </c>
      <c r="CD16" s="68">
        <v>1741</v>
      </c>
      <c r="CE16" s="57">
        <v>1925</v>
      </c>
      <c r="CF16" s="221">
        <v>1</v>
      </c>
      <c r="CG16" s="456">
        <v>0</v>
      </c>
      <c r="CH16" s="456">
        <v>0</v>
      </c>
      <c r="CI16" s="206">
        <v>0</v>
      </c>
      <c r="CJ16" s="85" t="s">
        <v>999</v>
      </c>
      <c r="CK16" s="458" t="s">
        <v>1156</v>
      </c>
      <c r="CL16" s="47" t="s">
        <v>435</v>
      </c>
      <c r="CM16" s="205">
        <v>5959</v>
      </c>
      <c r="CN16" s="60">
        <v>1</v>
      </c>
    </row>
    <row r="17" spans="1:92" ht="71.25" customHeight="1" x14ac:dyDescent="0.25">
      <c r="A17" s="691"/>
      <c r="B17" s="425"/>
      <c r="C17" s="690"/>
      <c r="D17" s="111" t="s">
        <v>46</v>
      </c>
      <c r="E17" s="57" t="s">
        <v>47</v>
      </c>
      <c r="F17" s="57" t="s">
        <v>48</v>
      </c>
      <c r="G17" s="57" t="s">
        <v>45</v>
      </c>
      <c r="H17" s="85" t="s">
        <v>999</v>
      </c>
      <c r="I17" s="57" t="s">
        <v>37</v>
      </c>
      <c r="J17" s="47" t="s">
        <v>435</v>
      </c>
      <c r="K17" s="425"/>
      <c r="L17" s="425"/>
      <c r="M17" s="425"/>
      <c r="N17" s="425"/>
      <c r="O17" s="425"/>
      <c r="P17" s="425"/>
      <c r="Q17" s="109" t="s">
        <v>435</v>
      </c>
      <c r="R17" s="285" t="s">
        <v>41</v>
      </c>
      <c r="S17" s="612"/>
      <c r="T17" s="612"/>
      <c r="U17" s="612"/>
      <c r="V17" s="612"/>
      <c r="W17" s="425"/>
      <c r="X17" s="297"/>
      <c r="Y17" s="285" t="s">
        <v>41</v>
      </c>
      <c r="Z17" s="91">
        <v>0.01</v>
      </c>
      <c r="AA17" s="256" t="e">
        <f>Z17/Y17</f>
        <v>#VALUE!</v>
      </c>
      <c r="AB17" s="495"/>
      <c r="AC17" s="495"/>
      <c r="AD17" s="425"/>
      <c r="AE17" s="298" t="s">
        <v>671</v>
      </c>
      <c r="AF17" s="299">
        <v>4.0000000000000001E-3</v>
      </c>
      <c r="AG17" s="292">
        <v>4.0000000000000001E-3</v>
      </c>
      <c r="AH17" s="256">
        <f>AG17/AF17</f>
        <v>1</v>
      </c>
      <c r="AI17" s="501">
        <v>16500000</v>
      </c>
      <c r="AJ17" s="501">
        <v>16500000</v>
      </c>
      <c r="AK17" s="425"/>
      <c r="AL17" s="539" t="s">
        <v>737</v>
      </c>
      <c r="AM17" s="318">
        <v>4.0000000000000001E-3</v>
      </c>
      <c r="AN17" s="319" t="s">
        <v>41</v>
      </c>
      <c r="AO17" s="256" t="e">
        <f>AN17/AM17</f>
        <v>#VALUE!</v>
      </c>
      <c r="AP17" s="550" t="s">
        <v>790</v>
      </c>
      <c r="AQ17" s="550" t="s">
        <v>700</v>
      </c>
      <c r="AR17" s="425"/>
      <c r="AS17" s="547" t="s">
        <v>819</v>
      </c>
      <c r="AT17" s="320">
        <v>4.0000000000000001E-3</v>
      </c>
      <c r="AU17" s="321">
        <v>3.5000000000000001E-3</v>
      </c>
      <c r="AV17" s="256">
        <f>AU17/AT17</f>
        <v>0.875</v>
      </c>
      <c r="AW17" s="527" t="s">
        <v>856</v>
      </c>
      <c r="AX17" s="527" t="s">
        <v>856</v>
      </c>
      <c r="AY17" s="425"/>
      <c r="AZ17" s="522" t="s">
        <v>869</v>
      </c>
      <c r="BA17" s="177">
        <v>253</v>
      </c>
      <c r="BB17" s="85">
        <v>253</v>
      </c>
      <c r="BC17" s="256">
        <f>BB17/BA17</f>
        <v>1</v>
      </c>
      <c r="BD17" s="501"/>
      <c r="BE17" s="501"/>
      <c r="BF17" s="425"/>
      <c r="BG17" s="640"/>
      <c r="BH17" s="177">
        <v>1741</v>
      </c>
      <c r="BI17" s="85">
        <v>1741</v>
      </c>
      <c r="BJ17" s="14">
        <v>1</v>
      </c>
      <c r="BK17" s="501"/>
      <c r="BL17" s="501"/>
      <c r="BM17" s="513"/>
      <c r="BN17" s="640"/>
      <c r="BO17" s="111">
        <v>1741</v>
      </c>
      <c r="BP17" s="47">
        <v>1523</v>
      </c>
      <c r="BQ17" s="256">
        <f>BP17/BO17</f>
        <v>0.87478460654796097</v>
      </c>
      <c r="BR17" s="495"/>
      <c r="BS17" s="495"/>
      <c r="BT17" s="425"/>
      <c r="BU17" s="639"/>
      <c r="BV17" s="68">
        <v>1741</v>
      </c>
      <c r="BW17" s="47">
        <v>1925</v>
      </c>
      <c r="BX17" s="256">
        <v>1</v>
      </c>
      <c r="BY17" s="485"/>
      <c r="BZ17" s="485"/>
      <c r="CA17" s="267">
        <v>0</v>
      </c>
      <c r="CB17" s="85" t="s">
        <v>999</v>
      </c>
      <c r="CC17" s="592"/>
      <c r="CD17" s="68">
        <v>1741</v>
      </c>
      <c r="CE17" s="57">
        <v>1925</v>
      </c>
      <c r="CF17" s="221">
        <v>1</v>
      </c>
      <c r="CG17" s="457"/>
      <c r="CH17" s="457"/>
      <c r="CI17" s="206">
        <v>0</v>
      </c>
      <c r="CJ17" s="85" t="s">
        <v>999</v>
      </c>
      <c r="CK17" s="459"/>
      <c r="CL17" s="47" t="s">
        <v>435</v>
      </c>
      <c r="CM17" s="205">
        <v>5959</v>
      </c>
      <c r="CN17" s="221">
        <v>1</v>
      </c>
    </row>
    <row r="18" spans="1:92" ht="86.25" customHeight="1" x14ac:dyDescent="0.25">
      <c r="A18" s="691"/>
      <c r="B18" s="425"/>
      <c r="C18" s="690"/>
      <c r="D18" s="626" t="s">
        <v>49</v>
      </c>
      <c r="E18" s="447" t="s">
        <v>50</v>
      </c>
      <c r="F18" s="57" t="s">
        <v>51</v>
      </c>
      <c r="G18" s="57" t="s">
        <v>52</v>
      </c>
      <c r="H18" s="85" t="s">
        <v>1000</v>
      </c>
      <c r="I18" s="57" t="s">
        <v>53</v>
      </c>
      <c r="J18" s="47" t="s">
        <v>54</v>
      </c>
      <c r="K18" s="425" t="s">
        <v>436</v>
      </c>
      <c r="L18" s="425" t="s">
        <v>382</v>
      </c>
      <c r="M18" s="425" t="s">
        <v>301</v>
      </c>
      <c r="N18" s="425" t="s">
        <v>437</v>
      </c>
      <c r="O18" s="425" t="s">
        <v>302</v>
      </c>
      <c r="P18" s="425" t="s">
        <v>396</v>
      </c>
      <c r="Q18" s="109" t="s">
        <v>54</v>
      </c>
      <c r="R18" s="285" t="s">
        <v>41</v>
      </c>
      <c r="S18" s="612"/>
      <c r="T18" s="612"/>
      <c r="U18" s="612"/>
      <c r="V18" s="612"/>
      <c r="W18" s="425" t="s">
        <v>280</v>
      </c>
      <c r="X18" s="297"/>
      <c r="Y18" s="285" t="s">
        <v>41</v>
      </c>
      <c r="Z18" s="91">
        <v>0.05</v>
      </c>
      <c r="AA18" s="256">
        <v>1</v>
      </c>
      <c r="AB18" s="645"/>
      <c r="AC18" s="645"/>
      <c r="AD18" s="425" t="s">
        <v>280</v>
      </c>
      <c r="AE18" s="298" t="s">
        <v>670</v>
      </c>
      <c r="AF18" s="500">
        <v>7.0000000000000001E-3</v>
      </c>
      <c r="AG18" s="544">
        <v>0.109</v>
      </c>
      <c r="AH18" s="256">
        <v>1</v>
      </c>
      <c r="AI18" s="501"/>
      <c r="AJ18" s="501"/>
      <c r="AK18" s="425" t="s">
        <v>280</v>
      </c>
      <c r="AL18" s="539"/>
      <c r="AM18" s="665">
        <v>7.0000000000000001E-3</v>
      </c>
      <c r="AN18" s="588" t="s">
        <v>41</v>
      </c>
      <c r="AO18" s="256">
        <v>1</v>
      </c>
      <c r="AP18" s="550"/>
      <c r="AQ18" s="550"/>
      <c r="AR18" s="425" t="s">
        <v>280</v>
      </c>
      <c r="AS18" s="547"/>
      <c r="AT18" s="540">
        <v>0.1</v>
      </c>
      <c r="AU18" s="541">
        <v>0.08</v>
      </c>
      <c r="AV18" s="256">
        <v>1</v>
      </c>
      <c r="AW18" s="527"/>
      <c r="AX18" s="527"/>
      <c r="AY18" s="425" t="s">
        <v>280</v>
      </c>
      <c r="AZ18" s="522"/>
      <c r="BA18" s="299">
        <v>4.0000000000000001E-3</v>
      </c>
      <c r="BB18" s="1">
        <v>4.3999999999999997E-2</v>
      </c>
      <c r="BC18" s="256">
        <v>1</v>
      </c>
      <c r="BD18" s="658">
        <v>115272000</v>
      </c>
      <c r="BE18" s="658">
        <v>57636000</v>
      </c>
      <c r="BF18" s="425" t="s">
        <v>280</v>
      </c>
      <c r="BG18" s="522"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500" t="s">
        <v>401</v>
      </c>
      <c r="BI18" s="1">
        <v>0.03</v>
      </c>
      <c r="BJ18" s="14">
        <v>1</v>
      </c>
      <c r="BK18" s="642" t="s">
        <v>516</v>
      </c>
      <c r="BL18" s="642">
        <v>1980000</v>
      </c>
      <c r="BM18" s="513" t="s">
        <v>280</v>
      </c>
      <c r="BN18" s="643" t="s">
        <v>517</v>
      </c>
      <c r="BO18" s="635" t="s">
        <v>401</v>
      </c>
      <c r="BP18" s="36">
        <v>0.03</v>
      </c>
      <c r="BQ18" s="256">
        <v>1</v>
      </c>
      <c r="BR18" s="645" t="s">
        <v>465</v>
      </c>
      <c r="BS18" s="645" t="s">
        <v>466</v>
      </c>
      <c r="BT18" s="425" t="s">
        <v>280</v>
      </c>
      <c r="BU18" s="646" t="s">
        <v>597</v>
      </c>
      <c r="BV18" s="322" t="s">
        <v>979</v>
      </c>
      <c r="BW18" s="36">
        <v>0.03</v>
      </c>
      <c r="BX18" s="256">
        <v>1</v>
      </c>
      <c r="BY18" s="460">
        <f>163000000+
31500000</f>
        <v>194500000</v>
      </c>
      <c r="BZ18" s="460">
        <f>163000000+63000000</f>
        <v>226000000</v>
      </c>
      <c r="CA18" s="426">
        <v>1</v>
      </c>
      <c r="CB18" s="85" t="s">
        <v>1000</v>
      </c>
      <c r="CC18" s="585" t="s">
        <v>1048</v>
      </c>
      <c r="CD18" s="68" t="s">
        <v>1102</v>
      </c>
      <c r="CE18" s="37">
        <v>0.03</v>
      </c>
      <c r="CF18" s="40">
        <v>1</v>
      </c>
      <c r="CG18" s="460">
        <f>163000000+63000000+121344300+13571428+141093371+121344300</f>
        <v>623353399</v>
      </c>
      <c r="CH18" s="456">
        <f>163000000+13571428+119492679+
31500000+33093900+121344300</f>
        <v>482002307</v>
      </c>
      <c r="CI18" s="464">
        <f>CH18/CG18</f>
        <v>0.77324084182943553</v>
      </c>
      <c r="CJ18" s="85" t="s">
        <v>1000</v>
      </c>
      <c r="CK18" s="717" t="s">
        <v>1157</v>
      </c>
      <c r="CL18" s="47" t="s">
        <v>54</v>
      </c>
      <c r="CM18" s="37">
        <v>0.03</v>
      </c>
      <c r="CN18" s="232">
        <v>1</v>
      </c>
    </row>
    <row r="19" spans="1:92" ht="93.75" customHeight="1" x14ac:dyDescent="0.25">
      <c r="A19" s="691"/>
      <c r="B19" s="425"/>
      <c r="C19" s="690"/>
      <c r="D19" s="626"/>
      <c r="E19" s="447"/>
      <c r="F19" s="447" t="s">
        <v>55</v>
      </c>
      <c r="G19" s="447" t="s">
        <v>52</v>
      </c>
      <c r="H19" s="452" t="s">
        <v>1001</v>
      </c>
      <c r="I19" s="447" t="s">
        <v>56</v>
      </c>
      <c r="J19" s="425" t="s">
        <v>57</v>
      </c>
      <c r="K19" s="425"/>
      <c r="L19" s="425"/>
      <c r="M19" s="425"/>
      <c r="N19" s="425"/>
      <c r="O19" s="425"/>
      <c r="P19" s="425"/>
      <c r="Q19" s="581" t="s">
        <v>57</v>
      </c>
      <c r="R19" s="92" t="s">
        <v>41</v>
      </c>
      <c r="S19" s="612"/>
      <c r="T19" s="612"/>
      <c r="U19" s="612"/>
      <c r="V19" s="612"/>
      <c r="W19" s="425"/>
      <c r="X19" s="274"/>
      <c r="Y19" s="92" t="s">
        <v>41</v>
      </c>
      <c r="Z19" s="90">
        <v>1</v>
      </c>
      <c r="AA19" s="490">
        <v>0.97219999999999995</v>
      </c>
      <c r="AB19" s="645"/>
      <c r="AC19" s="645"/>
      <c r="AD19" s="425"/>
      <c r="AE19" s="276" t="s">
        <v>672</v>
      </c>
      <c r="AF19" s="500"/>
      <c r="AG19" s="544"/>
      <c r="AH19" s="490">
        <v>0.97219999999999995</v>
      </c>
      <c r="AI19" s="501"/>
      <c r="AJ19" s="501"/>
      <c r="AK19" s="425"/>
      <c r="AL19" s="539"/>
      <c r="AM19" s="665"/>
      <c r="AN19" s="588"/>
      <c r="AO19" s="490">
        <v>0.97219999999999995</v>
      </c>
      <c r="AP19" s="550"/>
      <c r="AQ19" s="550"/>
      <c r="AR19" s="425"/>
      <c r="AS19" s="547"/>
      <c r="AT19" s="540"/>
      <c r="AU19" s="541"/>
      <c r="AV19" s="490">
        <v>0.97219999999999995</v>
      </c>
      <c r="AW19" s="527"/>
      <c r="AX19" s="527"/>
      <c r="AY19" s="425"/>
      <c r="AZ19" s="522"/>
      <c r="BA19" s="500">
        <v>7.0000000000000001E-3</v>
      </c>
      <c r="BB19" s="544">
        <v>8.6999999999999994E-2</v>
      </c>
      <c r="BC19" s="490">
        <v>0.97219999999999995</v>
      </c>
      <c r="BD19" s="658"/>
      <c r="BE19" s="658"/>
      <c r="BF19" s="425"/>
      <c r="BG19" s="522"/>
      <c r="BH19" s="500"/>
      <c r="BI19" s="544" t="s">
        <v>412</v>
      </c>
      <c r="BJ19" s="625">
        <v>0.97219999999999995</v>
      </c>
      <c r="BK19" s="642"/>
      <c r="BL19" s="642"/>
      <c r="BM19" s="513"/>
      <c r="BN19" s="644"/>
      <c r="BO19" s="635"/>
      <c r="BP19" s="489" t="s">
        <v>412</v>
      </c>
      <c r="BQ19" s="490">
        <v>0.97219999999999995</v>
      </c>
      <c r="BR19" s="645"/>
      <c r="BS19" s="645"/>
      <c r="BT19" s="425"/>
      <c r="BU19" s="646"/>
      <c r="BV19" s="597">
        <v>7.0000000000000007E-2</v>
      </c>
      <c r="BW19" s="489" t="s">
        <v>412</v>
      </c>
      <c r="BX19" s="490">
        <v>0.97219999999999995</v>
      </c>
      <c r="BY19" s="461"/>
      <c r="BZ19" s="461"/>
      <c r="CA19" s="426"/>
      <c r="CB19" s="452" t="s">
        <v>1001</v>
      </c>
      <c r="CC19" s="586"/>
      <c r="CD19" s="597">
        <v>7.0000000000000007E-2</v>
      </c>
      <c r="CE19" s="465" t="s">
        <v>412</v>
      </c>
      <c r="CF19" s="428">
        <v>1</v>
      </c>
      <c r="CG19" s="461"/>
      <c r="CH19" s="463"/>
      <c r="CI19" s="464"/>
      <c r="CJ19" s="452" t="s">
        <v>1001</v>
      </c>
      <c r="CK19" s="718"/>
      <c r="CL19" s="425" t="s">
        <v>57</v>
      </c>
      <c r="CM19" s="412" t="s">
        <v>412</v>
      </c>
      <c r="CN19" s="441">
        <v>1</v>
      </c>
    </row>
    <row r="20" spans="1:92" ht="67.5" customHeight="1" x14ac:dyDescent="0.25">
      <c r="A20" s="691"/>
      <c r="B20" s="425"/>
      <c r="C20" s="690"/>
      <c r="D20" s="626"/>
      <c r="E20" s="447"/>
      <c r="F20" s="447"/>
      <c r="G20" s="447"/>
      <c r="H20" s="453"/>
      <c r="I20" s="447"/>
      <c r="J20" s="425"/>
      <c r="K20" s="425"/>
      <c r="L20" s="425"/>
      <c r="M20" s="425"/>
      <c r="N20" s="425"/>
      <c r="O20" s="425"/>
      <c r="P20" s="425"/>
      <c r="Q20" s="581"/>
      <c r="R20" s="92" t="s">
        <v>41</v>
      </c>
      <c r="S20" s="553"/>
      <c r="T20" s="553"/>
      <c r="U20" s="553"/>
      <c r="V20" s="553"/>
      <c r="W20" s="425"/>
      <c r="X20" s="668"/>
      <c r="Y20" s="92" t="s">
        <v>41</v>
      </c>
      <c r="Z20" s="90" t="s">
        <v>661</v>
      </c>
      <c r="AA20" s="490"/>
      <c r="AB20" s="645"/>
      <c r="AC20" s="645"/>
      <c r="AD20" s="425"/>
      <c r="AE20" s="554" t="s">
        <v>673</v>
      </c>
      <c r="AF20" s="556">
        <v>0.04</v>
      </c>
      <c r="AG20" s="562">
        <v>0.04</v>
      </c>
      <c r="AH20" s="490"/>
      <c r="AI20" s="501">
        <v>10000000</v>
      </c>
      <c r="AJ20" s="501">
        <v>10000000</v>
      </c>
      <c r="AK20" s="425"/>
      <c r="AL20" s="539" t="s">
        <v>738</v>
      </c>
      <c r="AM20" s="662">
        <v>0.05</v>
      </c>
      <c r="AN20" s="445">
        <v>0.05</v>
      </c>
      <c r="AO20" s="490"/>
      <c r="AP20" s="501" t="s">
        <v>791</v>
      </c>
      <c r="AQ20" s="501" t="s">
        <v>792</v>
      </c>
      <c r="AR20" s="425"/>
      <c r="AS20" s="479" t="s">
        <v>820</v>
      </c>
      <c r="AT20" s="530">
        <v>0.06</v>
      </c>
      <c r="AU20" s="531">
        <v>0.06</v>
      </c>
      <c r="AV20" s="490"/>
      <c r="AW20" s="528" t="s">
        <v>856</v>
      </c>
      <c r="AX20" s="528" t="s">
        <v>856</v>
      </c>
      <c r="AY20" s="425"/>
      <c r="AZ20" s="523" t="s">
        <v>870</v>
      </c>
      <c r="BA20" s="500"/>
      <c r="BB20" s="544"/>
      <c r="BC20" s="490"/>
      <c r="BD20" s="658"/>
      <c r="BE20" s="658"/>
      <c r="BF20" s="425"/>
      <c r="BG20" s="522"/>
      <c r="BH20" s="500"/>
      <c r="BI20" s="544"/>
      <c r="BJ20" s="625"/>
      <c r="BK20" s="642"/>
      <c r="BL20" s="642"/>
      <c r="BM20" s="513"/>
      <c r="BN20" s="644"/>
      <c r="BO20" s="635"/>
      <c r="BP20" s="489"/>
      <c r="BQ20" s="490"/>
      <c r="BR20" s="645"/>
      <c r="BS20" s="645"/>
      <c r="BT20" s="425"/>
      <c r="BU20" s="646"/>
      <c r="BV20" s="598"/>
      <c r="BW20" s="489"/>
      <c r="BX20" s="490"/>
      <c r="BY20" s="462"/>
      <c r="BZ20" s="462"/>
      <c r="CA20" s="420"/>
      <c r="CB20" s="453"/>
      <c r="CC20" s="587"/>
      <c r="CD20" s="598"/>
      <c r="CE20" s="465"/>
      <c r="CF20" s="428"/>
      <c r="CG20" s="462"/>
      <c r="CH20" s="457"/>
      <c r="CI20" s="436"/>
      <c r="CJ20" s="453"/>
      <c r="CK20" s="719"/>
      <c r="CL20" s="425"/>
      <c r="CM20" s="413"/>
      <c r="CN20" s="441"/>
    </row>
    <row r="21" spans="1:92" ht="15" customHeight="1" x14ac:dyDescent="0.25">
      <c r="A21" s="691"/>
      <c r="B21" s="425"/>
      <c r="C21" s="690"/>
      <c r="D21" s="626" t="s">
        <v>58</v>
      </c>
      <c r="E21" s="447" t="s">
        <v>59</v>
      </c>
      <c r="F21" s="447" t="s">
        <v>453</v>
      </c>
      <c r="G21" s="447" t="s">
        <v>60</v>
      </c>
      <c r="H21" s="452" t="s">
        <v>1002</v>
      </c>
      <c r="I21" s="447" t="s">
        <v>37</v>
      </c>
      <c r="J21" s="424">
        <v>0.1</v>
      </c>
      <c r="K21" s="425" t="s">
        <v>291</v>
      </c>
      <c r="L21" s="425" t="s">
        <v>303</v>
      </c>
      <c r="M21" s="425">
        <v>4103059</v>
      </c>
      <c r="N21" s="425" t="s">
        <v>304</v>
      </c>
      <c r="O21" s="425">
        <v>410305900</v>
      </c>
      <c r="P21" s="425" t="s">
        <v>305</v>
      </c>
      <c r="Q21" s="667">
        <v>0.1</v>
      </c>
      <c r="R21" s="92" t="s">
        <v>41</v>
      </c>
      <c r="S21" s="612"/>
      <c r="T21" s="612"/>
      <c r="U21" s="612"/>
      <c r="V21" s="612"/>
      <c r="W21" s="425" t="s">
        <v>458</v>
      </c>
      <c r="X21" s="668"/>
      <c r="Y21" s="92" t="s">
        <v>41</v>
      </c>
      <c r="Z21" s="90" t="s">
        <v>661</v>
      </c>
      <c r="AA21" s="490">
        <v>1</v>
      </c>
      <c r="AB21" s="495"/>
      <c r="AC21" s="495"/>
      <c r="AD21" s="425" t="s">
        <v>458</v>
      </c>
      <c r="AE21" s="554"/>
      <c r="AF21" s="556"/>
      <c r="AG21" s="562"/>
      <c r="AH21" s="490">
        <v>1</v>
      </c>
      <c r="AI21" s="501"/>
      <c r="AJ21" s="501"/>
      <c r="AK21" s="425" t="s">
        <v>458</v>
      </c>
      <c r="AL21" s="539"/>
      <c r="AM21" s="662"/>
      <c r="AN21" s="446"/>
      <c r="AO21" s="490">
        <v>1</v>
      </c>
      <c r="AP21" s="501"/>
      <c r="AQ21" s="501"/>
      <c r="AR21" s="425" t="s">
        <v>458</v>
      </c>
      <c r="AS21" s="479"/>
      <c r="AT21" s="530"/>
      <c r="AU21" s="531"/>
      <c r="AV21" s="490">
        <v>1</v>
      </c>
      <c r="AW21" s="528"/>
      <c r="AX21" s="528"/>
      <c r="AY21" s="425" t="s">
        <v>458</v>
      </c>
      <c r="AZ21" s="523"/>
      <c r="BA21" s="515">
        <v>200</v>
      </c>
      <c r="BB21" s="513">
        <v>200</v>
      </c>
      <c r="BC21" s="490">
        <v>1</v>
      </c>
      <c r="BD21" s="501">
        <v>30000000</v>
      </c>
      <c r="BE21" s="501">
        <v>15245000</v>
      </c>
      <c r="BF21" s="425" t="s">
        <v>458</v>
      </c>
      <c r="BG21" s="539" t="s">
        <v>939</v>
      </c>
      <c r="BH21" s="556">
        <v>0</v>
      </c>
      <c r="BI21" s="513">
        <v>0</v>
      </c>
      <c r="BJ21" s="625">
        <v>1</v>
      </c>
      <c r="BK21" s="501"/>
      <c r="BL21" s="501"/>
      <c r="BM21" s="513" t="s">
        <v>518</v>
      </c>
      <c r="BN21" s="640" t="s">
        <v>519</v>
      </c>
      <c r="BO21" s="641">
        <v>10</v>
      </c>
      <c r="BP21" s="425">
        <v>55</v>
      </c>
      <c r="BQ21" s="490">
        <v>1</v>
      </c>
      <c r="BR21" s="495" t="s">
        <v>467</v>
      </c>
      <c r="BS21" s="495" t="s">
        <v>598</v>
      </c>
      <c r="BT21" s="425" t="s">
        <v>458</v>
      </c>
      <c r="BU21" s="639" t="s">
        <v>599</v>
      </c>
      <c r="BV21" s="588">
        <v>0.1336</v>
      </c>
      <c r="BW21" s="489">
        <v>0.1336</v>
      </c>
      <c r="BX21" s="490">
        <v>1</v>
      </c>
      <c r="BY21" s="589">
        <f>70000000+45000000+
363237526+363237526+264860887+163000000</f>
        <v>1269335939</v>
      </c>
      <c r="BZ21" s="496">
        <f>34620000+
30000000+
7000000+171202526+264860887+163000000</f>
        <v>670683413</v>
      </c>
      <c r="CA21" s="419">
        <v>1</v>
      </c>
      <c r="CB21" s="452" t="s">
        <v>1002</v>
      </c>
      <c r="CC21" s="590" t="s">
        <v>1081</v>
      </c>
      <c r="CD21" s="445">
        <v>0.03</v>
      </c>
      <c r="CE21" s="465">
        <v>0.1336</v>
      </c>
      <c r="CF21" s="434">
        <v>1</v>
      </c>
      <c r="CG21" s="711">
        <f>121344300+70000000+45000000+5000000+646800+500000+
363237526+363237526+264860887+163000000+104655000+5000000</f>
        <v>1506482039</v>
      </c>
      <c r="CH21" s="712">
        <f>121344300+34620000+1250000+646800+2500000+
30000000+
7000000+171202526+264860887+163000000+62836666+2500000</f>
        <v>861761179</v>
      </c>
      <c r="CI21" s="429">
        <v>1</v>
      </c>
      <c r="CJ21" s="452" t="s">
        <v>1002</v>
      </c>
      <c r="CK21" s="713" t="s">
        <v>1146</v>
      </c>
      <c r="CL21" s="424">
        <v>0.1</v>
      </c>
      <c r="CM21" s="412">
        <v>0.1336</v>
      </c>
      <c r="CN21" s="429">
        <v>1</v>
      </c>
    </row>
    <row r="22" spans="1:92" ht="16.5" x14ac:dyDescent="0.25">
      <c r="A22" s="691"/>
      <c r="B22" s="425"/>
      <c r="C22" s="690"/>
      <c r="D22" s="626"/>
      <c r="E22" s="447"/>
      <c r="F22" s="447"/>
      <c r="G22" s="447"/>
      <c r="H22" s="481"/>
      <c r="I22" s="447"/>
      <c r="J22" s="424"/>
      <c r="K22" s="425"/>
      <c r="L22" s="425"/>
      <c r="M22" s="425"/>
      <c r="N22" s="425"/>
      <c r="O22" s="425"/>
      <c r="P22" s="425"/>
      <c r="Q22" s="667"/>
      <c r="R22" s="92" t="s">
        <v>41</v>
      </c>
      <c r="S22" s="612"/>
      <c r="T22" s="612"/>
      <c r="U22" s="612"/>
      <c r="V22" s="612"/>
      <c r="W22" s="425"/>
      <c r="X22" s="274"/>
      <c r="Y22" s="92" t="s">
        <v>41</v>
      </c>
      <c r="Z22" s="90" t="s">
        <v>661</v>
      </c>
      <c r="AA22" s="490"/>
      <c r="AB22" s="495"/>
      <c r="AC22" s="495"/>
      <c r="AD22" s="425"/>
      <c r="AE22" s="276" t="s">
        <v>674</v>
      </c>
      <c r="AF22" s="556"/>
      <c r="AG22" s="562"/>
      <c r="AH22" s="490"/>
      <c r="AI22" s="501"/>
      <c r="AJ22" s="501"/>
      <c r="AK22" s="425"/>
      <c r="AL22" s="539"/>
      <c r="AM22" s="662"/>
      <c r="AN22" s="446"/>
      <c r="AO22" s="490"/>
      <c r="AP22" s="501"/>
      <c r="AQ22" s="501"/>
      <c r="AR22" s="425"/>
      <c r="AS22" s="479"/>
      <c r="AT22" s="529">
        <v>400</v>
      </c>
      <c r="AU22" s="517">
        <v>437</v>
      </c>
      <c r="AV22" s="490"/>
      <c r="AW22" s="527" t="s">
        <v>856</v>
      </c>
      <c r="AX22" s="527" t="s">
        <v>856</v>
      </c>
      <c r="AY22" s="425"/>
      <c r="AZ22" s="521" t="s">
        <v>871</v>
      </c>
      <c r="BA22" s="515"/>
      <c r="BB22" s="513"/>
      <c r="BC22" s="490"/>
      <c r="BD22" s="501"/>
      <c r="BE22" s="501"/>
      <c r="BF22" s="425"/>
      <c r="BG22" s="539"/>
      <c r="BH22" s="515"/>
      <c r="BI22" s="513"/>
      <c r="BJ22" s="625"/>
      <c r="BK22" s="501"/>
      <c r="BL22" s="501"/>
      <c r="BM22" s="513"/>
      <c r="BN22" s="640"/>
      <c r="BO22" s="641"/>
      <c r="BP22" s="425"/>
      <c r="BQ22" s="490"/>
      <c r="BR22" s="495"/>
      <c r="BS22" s="495"/>
      <c r="BT22" s="425"/>
      <c r="BU22" s="639"/>
      <c r="BV22" s="588"/>
      <c r="BW22" s="425"/>
      <c r="BX22" s="490"/>
      <c r="BY22" s="589"/>
      <c r="BZ22" s="496"/>
      <c r="CA22" s="426"/>
      <c r="CB22" s="481"/>
      <c r="CC22" s="591"/>
      <c r="CD22" s="446"/>
      <c r="CE22" s="447"/>
      <c r="CF22" s="434"/>
      <c r="CG22" s="711"/>
      <c r="CH22" s="712"/>
      <c r="CI22" s="430"/>
      <c r="CJ22" s="481"/>
      <c r="CK22" s="714"/>
      <c r="CL22" s="424"/>
      <c r="CM22" s="409"/>
      <c r="CN22" s="430"/>
    </row>
    <row r="23" spans="1:92" ht="51.75" customHeight="1" x14ac:dyDescent="0.25">
      <c r="A23" s="691"/>
      <c r="B23" s="425"/>
      <c r="C23" s="690"/>
      <c r="D23" s="626"/>
      <c r="E23" s="447"/>
      <c r="F23" s="447"/>
      <c r="G23" s="447"/>
      <c r="H23" s="481"/>
      <c r="I23" s="447"/>
      <c r="J23" s="424"/>
      <c r="K23" s="425"/>
      <c r="L23" s="425"/>
      <c r="M23" s="425"/>
      <c r="N23" s="425"/>
      <c r="O23" s="425"/>
      <c r="P23" s="425"/>
      <c r="Q23" s="667"/>
      <c r="R23" s="92" t="s">
        <v>41</v>
      </c>
      <c r="S23" s="612"/>
      <c r="T23" s="612"/>
      <c r="U23" s="612"/>
      <c r="V23" s="612"/>
      <c r="W23" s="425"/>
      <c r="X23" s="274"/>
      <c r="Y23" s="92" t="s">
        <v>41</v>
      </c>
      <c r="Z23" s="90" t="s">
        <v>661</v>
      </c>
      <c r="AA23" s="490"/>
      <c r="AB23" s="495"/>
      <c r="AC23" s="495"/>
      <c r="AD23" s="425"/>
      <c r="AE23" s="276" t="s">
        <v>675</v>
      </c>
      <c r="AF23" s="556"/>
      <c r="AG23" s="562"/>
      <c r="AH23" s="490"/>
      <c r="AI23" s="501"/>
      <c r="AJ23" s="501"/>
      <c r="AK23" s="425"/>
      <c r="AL23" s="539"/>
      <c r="AM23" s="662"/>
      <c r="AN23" s="446"/>
      <c r="AO23" s="490"/>
      <c r="AP23" s="501"/>
      <c r="AQ23" s="501"/>
      <c r="AR23" s="425"/>
      <c r="AS23" s="479"/>
      <c r="AT23" s="529"/>
      <c r="AU23" s="517"/>
      <c r="AV23" s="490"/>
      <c r="AW23" s="527"/>
      <c r="AX23" s="527"/>
      <c r="AY23" s="425"/>
      <c r="AZ23" s="521"/>
      <c r="BA23" s="515"/>
      <c r="BB23" s="513"/>
      <c r="BC23" s="490"/>
      <c r="BD23" s="501"/>
      <c r="BE23" s="501"/>
      <c r="BF23" s="425"/>
      <c r="BG23" s="539"/>
      <c r="BH23" s="515"/>
      <c r="BI23" s="513"/>
      <c r="BJ23" s="625"/>
      <c r="BK23" s="501"/>
      <c r="BL23" s="501"/>
      <c r="BM23" s="513"/>
      <c r="BN23" s="640"/>
      <c r="BO23" s="641"/>
      <c r="BP23" s="425"/>
      <c r="BQ23" s="490"/>
      <c r="BR23" s="495"/>
      <c r="BS23" s="495"/>
      <c r="BT23" s="425"/>
      <c r="BU23" s="639"/>
      <c r="BV23" s="588"/>
      <c r="BW23" s="425"/>
      <c r="BX23" s="490"/>
      <c r="BY23" s="589"/>
      <c r="BZ23" s="496"/>
      <c r="CA23" s="426"/>
      <c r="CB23" s="481"/>
      <c r="CC23" s="591"/>
      <c r="CD23" s="446"/>
      <c r="CE23" s="447"/>
      <c r="CF23" s="434"/>
      <c r="CG23" s="711"/>
      <c r="CH23" s="712"/>
      <c r="CI23" s="430"/>
      <c r="CJ23" s="481"/>
      <c r="CK23" s="714"/>
      <c r="CL23" s="424"/>
      <c r="CM23" s="409"/>
      <c r="CN23" s="430"/>
    </row>
    <row r="24" spans="1:92" ht="121.5" customHeight="1" x14ac:dyDescent="0.25">
      <c r="A24" s="691"/>
      <c r="B24" s="425"/>
      <c r="C24" s="690"/>
      <c r="D24" s="626"/>
      <c r="E24" s="447"/>
      <c r="F24" s="447"/>
      <c r="G24" s="447"/>
      <c r="H24" s="453"/>
      <c r="I24" s="447"/>
      <c r="J24" s="424"/>
      <c r="K24" s="425"/>
      <c r="L24" s="425"/>
      <c r="M24" s="425"/>
      <c r="N24" s="425"/>
      <c r="O24" s="425"/>
      <c r="P24" s="425"/>
      <c r="Q24" s="667"/>
      <c r="R24" s="92" t="s">
        <v>41</v>
      </c>
      <c r="S24" s="612"/>
      <c r="T24" s="612"/>
      <c r="U24" s="612"/>
      <c r="V24" s="612"/>
      <c r="W24" s="425"/>
      <c r="X24" s="274"/>
      <c r="Y24" s="92" t="s">
        <v>41</v>
      </c>
      <c r="Z24" s="90" t="s">
        <v>661</v>
      </c>
      <c r="AA24" s="490"/>
      <c r="AB24" s="495"/>
      <c r="AC24" s="495"/>
      <c r="AD24" s="425"/>
      <c r="AE24" s="276" t="s">
        <v>676</v>
      </c>
      <c r="AF24" s="314">
        <v>0.15</v>
      </c>
      <c r="AG24" s="292">
        <v>0.15</v>
      </c>
      <c r="AH24" s="490"/>
      <c r="AI24" s="69">
        <v>2338933220</v>
      </c>
      <c r="AJ24" s="69">
        <v>2338933220</v>
      </c>
      <c r="AK24" s="425"/>
      <c r="AL24" s="323" t="s">
        <v>739</v>
      </c>
      <c r="AM24" s="164">
        <v>0.23</v>
      </c>
      <c r="AN24" s="118" t="s">
        <v>700</v>
      </c>
      <c r="AO24" s="490"/>
      <c r="AP24" s="182">
        <f>27500000+48300000</f>
        <v>75800000</v>
      </c>
      <c r="AQ24" s="182">
        <v>17340000</v>
      </c>
      <c r="AR24" s="425"/>
      <c r="AS24" s="172" t="s">
        <v>821</v>
      </c>
      <c r="AT24" s="315">
        <v>0.28000000000000003</v>
      </c>
      <c r="AU24" s="125">
        <v>0.25</v>
      </c>
      <c r="AV24" s="490"/>
      <c r="AW24" s="181" t="s">
        <v>856</v>
      </c>
      <c r="AX24" s="181" t="s">
        <v>856</v>
      </c>
      <c r="AY24" s="425"/>
      <c r="AZ24" s="324" t="s">
        <v>872</v>
      </c>
      <c r="BA24" s="515"/>
      <c r="BB24" s="513"/>
      <c r="BC24" s="490"/>
      <c r="BD24" s="501"/>
      <c r="BE24" s="501"/>
      <c r="BF24" s="425"/>
      <c r="BG24" s="539"/>
      <c r="BH24" s="515"/>
      <c r="BI24" s="513"/>
      <c r="BJ24" s="625"/>
      <c r="BK24" s="501"/>
      <c r="BL24" s="501"/>
      <c r="BM24" s="513"/>
      <c r="BN24" s="640"/>
      <c r="BO24" s="641"/>
      <c r="BP24" s="425"/>
      <c r="BQ24" s="490"/>
      <c r="BR24" s="495"/>
      <c r="BS24" s="495"/>
      <c r="BT24" s="425"/>
      <c r="BU24" s="639"/>
      <c r="BV24" s="588"/>
      <c r="BW24" s="425"/>
      <c r="BX24" s="490"/>
      <c r="BY24" s="589"/>
      <c r="BZ24" s="496"/>
      <c r="CA24" s="420"/>
      <c r="CB24" s="453"/>
      <c r="CC24" s="592"/>
      <c r="CD24" s="446"/>
      <c r="CE24" s="447"/>
      <c r="CF24" s="434"/>
      <c r="CG24" s="711"/>
      <c r="CH24" s="712"/>
      <c r="CI24" s="431"/>
      <c r="CJ24" s="453"/>
      <c r="CK24" s="715"/>
      <c r="CL24" s="424"/>
      <c r="CM24" s="411"/>
      <c r="CN24" s="431"/>
    </row>
    <row r="25" spans="1:92" ht="179.45" customHeight="1" x14ac:dyDescent="0.25">
      <c r="A25" s="691"/>
      <c r="B25" s="425"/>
      <c r="C25" s="690"/>
      <c r="D25" s="111" t="s">
        <v>61</v>
      </c>
      <c r="E25" s="57" t="s">
        <v>62</v>
      </c>
      <c r="F25" s="57" t="s">
        <v>63</v>
      </c>
      <c r="G25" s="57" t="s">
        <v>438</v>
      </c>
      <c r="H25" s="85" t="s">
        <v>1003</v>
      </c>
      <c r="I25" s="57" t="s">
        <v>37</v>
      </c>
      <c r="J25" s="61">
        <v>0.6</v>
      </c>
      <c r="K25" s="47" t="s">
        <v>295</v>
      </c>
      <c r="L25" s="47" t="s">
        <v>383</v>
      </c>
      <c r="M25" s="47" t="s">
        <v>373</v>
      </c>
      <c r="N25" s="47" t="s">
        <v>387</v>
      </c>
      <c r="O25" s="47" t="s">
        <v>374</v>
      </c>
      <c r="P25" s="47" t="s">
        <v>389</v>
      </c>
      <c r="Q25" s="110">
        <v>0.6</v>
      </c>
      <c r="R25" s="92" t="s">
        <v>41</v>
      </c>
      <c r="S25" s="612"/>
      <c r="T25" s="612"/>
      <c r="U25" s="612"/>
      <c r="V25" s="612"/>
      <c r="W25" s="47" t="s">
        <v>256</v>
      </c>
      <c r="X25" s="274"/>
      <c r="Y25" s="92" t="s">
        <v>41</v>
      </c>
      <c r="Z25" s="90" t="s">
        <v>661</v>
      </c>
      <c r="AA25" s="256">
        <v>0.5</v>
      </c>
      <c r="AB25" s="270"/>
      <c r="AC25" s="270"/>
      <c r="AD25" s="47" t="s">
        <v>256</v>
      </c>
      <c r="AE25" s="276" t="s">
        <v>677</v>
      </c>
      <c r="AF25" s="177">
        <v>1</v>
      </c>
      <c r="AG25" s="85">
        <v>1</v>
      </c>
      <c r="AH25" s="256">
        <v>0.5</v>
      </c>
      <c r="AI25" s="69">
        <v>54450000</v>
      </c>
      <c r="AJ25" s="69">
        <v>54450000</v>
      </c>
      <c r="AK25" s="47" t="s">
        <v>256</v>
      </c>
      <c r="AL25" s="192" t="s">
        <v>740</v>
      </c>
      <c r="AM25" s="147">
        <v>4</v>
      </c>
      <c r="AN25" s="68">
        <v>4</v>
      </c>
      <c r="AO25" s="256">
        <v>0.5</v>
      </c>
      <c r="AP25" s="182">
        <f>33000000+20140000</f>
        <v>53140000</v>
      </c>
      <c r="AQ25" s="182">
        <v>31540000</v>
      </c>
      <c r="AR25" s="47" t="s">
        <v>256</v>
      </c>
      <c r="AS25" s="163" t="s">
        <v>822</v>
      </c>
      <c r="AT25" s="171">
        <v>5</v>
      </c>
      <c r="AU25" s="125">
        <v>4.05</v>
      </c>
      <c r="AV25" s="256">
        <v>0.5</v>
      </c>
      <c r="AW25" s="181" t="s">
        <v>856</v>
      </c>
      <c r="AX25" s="181" t="s">
        <v>856</v>
      </c>
      <c r="AY25" s="47" t="s">
        <v>256</v>
      </c>
      <c r="AZ25" s="324" t="s">
        <v>873</v>
      </c>
      <c r="BA25" s="177">
        <v>3</v>
      </c>
      <c r="BB25" s="85" t="s">
        <v>164</v>
      </c>
      <c r="BC25" s="256">
        <v>0.5</v>
      </c>
      <c r="BD25" s="69">
        <v>28800000</v>
      </c>
      <c r="BE25" s="69">
        <v>25081000</v>
      </c>
      <c r="BF25" s="47" t="s">
        <v>256</v>
      </c>
      <c r="BG25" s="323" t="s">
        <v>940</v>
      </c>
      <c r="BH25" s="314">
        <v>0.1</v>
      </c>
      <c r="BI25" s="292">
        <v>0.05</v>
      </c>
      <c r="BJ25" s="14">
        <v>0.5</v>
      </c>
      <c r="BK25" s="69"/>
      <c r="BL25" s="69"/>
      <c r="BM25" s="85" t="s">
        <v>256</v>
      </c>
      <c r="BN25" s="287" t="s">
        <v>520</v>
      </c>
      <c r="BO25" s="325">
        <v>0.1</v>
      </c>
      <c r="BP25" s="61">
        <v>0.05</v>
      </c>
      <c r="BQ25" s="256">
        <v>0.5</v>
      </c>
      <c r="BR25" s="270" t="s">
        <v>600</v>
      </c>
      <c r="BS25" s="270" t="s">
        <v>601</v>
      </c>
      <c r="BT25" s="47" t="s">
        <v>256</v>
      </c>
      <c r="BU25" s="290" t="s">
        <v>602</v>
      </c>
      <c r="BV25" s="118">
        <v>0.5</v>
      </c>
      <c r="BW25" s="61">
        <v>0.58099999999999996</v>
      </c>
      <c r="BX25" s="256">
        <v>1</v>
      </c>
      <c r="BY25" s="272">
        <f>918000000+79914452</f>
        <v>997914452</v>
      </c>
      <c r="BZ25" s="272">
        <v>79914452</v>
      </c>
      <c r="CA25" s="256">
        <f>BZ25/BY25</f>
        <v>8.0081465740712607E-2</v>
      </c>
      <c r="CB25" s="85" t="s">
        <v>1003</v>
      </c>
      <c r="CC25" s="291" t="s">
        <v>1082</v>
      </c>
      <c r="CD25" s="118">
        <v>0.1</v>
      </c>
      <c r="CE25" s="59">
        <v>0.58099999999999996</v>
      </c>
      <c r="CF25" s="60">
        <v>1</v>
      </c>
      <c r="CG25" s="241">
        <f>918000000+79914452+5000000+60000000</f>
        <v>1062914452</v>
      </c>
      <c r="CH25" s="241">
        <f>79914452+60000000</f>
        <v>139914452</v>
      </c>
      <c r="CI25" s="60">
        <f>CH25/CG25</f>
        <v>0.1316328437690675</v>
      </c>
      <c r="CJ25" s="85" t="s">
        <v>1003</v>
      </c>
      <c r="CK25" s="388" t="s">
        <v>1111</v>
      </c>
      <c r="CL25" s="59">
        <v>0.6</v>
      </c>
      <c r="CM25" s="59">
        <v>0.58099999999999996</v>
      </c>
      <c r="CN25" s="60">
        <f>CM25/CL25</f>
        <v>0.96833333333333327</v>
      </c>
    </row>
    <row r="26" spans="1:92" ht="173.45" customHeight="1" x14ac:dyDescent="0.25">
      <c r="A26" s="691"/>
      <c r="B26" s="425"/>
      <c r="C26" s="690"/>
      <c r="D26" s="111" t="s">
        <v>64</v>
      </c>
      <c r="E26" s="47" t="s">
        <v>456</v>
      </c>
      <c r="F26" s="47" t="s">
        <v>65</v>
      </c>
      <c r="G26" s="47" t="s">
        <v>66</v>
      </c>
      <c r="H26" s="85" t="s">
        <v>1004</v>
      </c>
      <c r="I26" s="47">
        <v>1</v>
      </c>
      <c r="J26" s="47">
        <v>5</v>
      </c>
      <c r="K26" s="47" t="s">
        <v>295</v>
      </c>
      <c r="L26" s="47" t="s">
        <v>306</v>
      </c>
      <c r="M26" s="47">
        <v>3502017</v>
      </c>
      <c r="N26" s="47" t="s">
        <v>307</v>
      </c>
      <c r="O26" s="47">
        <v>350201701</v>
      </c>
      <c r="P26" s="47" t="s">
        <v>308</v>
      </c>
      <c r="Q26" s="109">
        <v>5</v>
      </c>
      <c r="R26" s="92" t="s">
        <v>41</v>
      </c>
      <c r="S26" s="612"/>
      <c r="T26" s="612"/>
      <c r="U26" s="612"/>
      <c r="V26" s="612"/>
      <c r="W26" s="47" t="s">
        <v>281</v>
      </c>
      <c r="X26" s="297"/>
      <c r="Y26" s="92" t="s">
        <v>41</v>
      </c>
      <c r="Z26" s="90" t="s">
        <v>661</v>
      </c>
      <c r="AA26" s="256" t="e">
        <f>(Z26/Y26)*1</f>
        <v>#VALUE!</v>
      </c>
      <c r="AB26" s="270"/>
      <c r="AC26" s="270"/>
      <c r="AD26" s="47" t="s">
        <v>281</v>
      </c>
      <c r="AE26" s="298" t="s">
        <v>670</v>
      </c>
      <c r="AF26" s="314">
        <v>0.85</v>
      </c>
      <c r="AG26" s="292">
        <v>0.63</v>
      </c>
      <c r="AH26" s="256">
        <f>(AG26/AF26)*1</f>
        <v>0.74117647058823533</v>
      </c>
      <c r="AI26" s="501">
        <v>7595374483</v>
      </c>
      <c r="AJ26" s="501">
        <v>4950478143</v>
      </c>
      <c r="AK26" s="47" t="s">
        <v>281</v>
      </c>
      <c r="AL26" s="192" t="s">
        <v>741</v>
      </c>
      <c r="AM26" s="177" t="s">
        <v>777</v>
      </c>
      <c r="AN26" s="292">
        <v>0.63</v>
      </c>
      <c r="AO26" s="256" t="e">
        <f>(AN26/AM26)*1</f>
        <v>#VALUE!</v>
      </c>
      <c r="AP26" s="501">
        <v>16187350279</v>
      </c>
      <c r="AQ26" s="501">
        <v>13135040761</v>
      </c>
      <c r="AR26" s="47" t="s">
        <v>281</v>
      </c>
      <c r="AS26" s="479" t="s">
        <v>823</v>
      </c>
      <c r="AT26" s="530">
        <v>0.85</v>
      </c>
      <c r="AU26" s="542">
        <v>0.69599999999999995</v>
      </c>
      <c r="AV26" s="256">
        <f>(AU26/AT26)*1</f>
        <v>0.81882352941176462</v>
      </c>
      <c r="AW26" s="527" t="s">
        <v>856</v>
      </c>
      <c r="AX26" s="527" t="s">
        <v>856</v>
      </c>
      <c r="AY26" s="47" t="s">
        <v>281</v>
      </c>
      <c r="AZ26" s="521" t="s">
        <v>874</v>
      </c>
      <c r="BA26" s="177">
        <v>1</v>
      </c>
      <c r="BB26" s="85" t="s">
        <v>918</v>
      </c>
      <c r="BC26" s="256" t="e">
        <f>(BB26/BA26)*1</f>
        <v>#VALUE!</v>
      </c>
      <c r="BD26" s="69">
        <v>70900000</v>
      </c>
      <c r="BE26" s="69">
        <v>27980000</v>
      </c>
      <c r="BF26" s="47" t="s">
        <v>281</v>
      </c>
      <c r="BG26" s="281" t="s">
        <v>941</v>
      </c>
      <c r="BH26" s="177">
        <v>1</v>
      </c>
      <c r="BI26" s="85">
        <v>0</v>
      </c>
      <c r="BJ26" s="14">
        <f>(BI26/BH26)*1</f>
        <v>0</v>
      </c>
      <c r="BK26" s="69"/>
      <c r="BL26" s="69"/>
      <c r="BM26" s="85" t="s">
        <v>281</v>
      </c>
      <c r="BN26" s="326" t="s">
        <v>521</v>
      </c>
      <c r="BO26" s="111">
        <v>1</v>
      </c>
      <c r="BP26" s="47">
        <v>0</v>
      </c>
      <c r="BQ26" s="256">
        <f>(BP26/BO26)*1</f>
        <v>0</v>
      </c>
      <c r="BR26" s="270">
        <v>0</v>
      </c>
      <c r="BS26" s="270">
        <v>0</v>
      </c>
      <c r="BT26" s="47" t="s">
        <v>281</v>
      </c>
      <c r="BU26" s="282" t="s">
        <v>603</v>
      </c>
      <c r="BV26" s="68">
        <v>1</v>
      </c>
      <c r="BW26" s="47">
        <v>1</v>
      </c>
      <c r="BX26" s="256">
        <f>(BW26/BV26)*1</f>
        <v>1</v>
      </c>
      <c r="BY26" s="272">
        <v>0</v>
      </c>
      <c r="BZ26" s="272">
        <v>0</v>
      </c>
      <c r="CA26" s="268">
        <v>0</v>
      </c>
      <c r="CB26" s="85" t="s">
        <v>1004</v>
      </c>
      <c r="CC26" s="327" t="s">
        <v>1091</v>
      </c>
      <c r="CD26" s="68">
        <v>1</v>
      </c>
      <c r="CE26" s="57">
        <v>1</v>
      </c>
      <c r="CF26" s="54">
        <f>(CE26/CD26)*1</f>
        <v>1</v>
      </c>
      <c r="CG26" s="241">
        <v>0</v>
      </c>
      <c r="CH26" s="241">
        <v>0</v>
      </c>
      <c r="CI26" s="209">
        <v>0</v>
      </c>
      <c r="CJ26" s="85" t="s">
        <v>1004</v>
      </c>
      <c r="CK26" s="384" t="s">
        <v>1144</v>
      </c>
      <c r="CL26" s="47">
        <v>5</v>
      </c>
      <c r="CM26" s="211">
        <v>1</v>
      </c>
      <c r="CN26" s="258">
        <f>CM26/CL26</f>
        <v>0.2</v>
      </c>
    </row>
    <row r="27" spans="1:92" ht="68.25" customHeight="1" x14ac:dyDescent="0.25">
      <c r="A27" s="691"/>
      <c r="B27" s="425" t="s">
        <v>67</v>
      </c>
      <c r="C27" s="690" t="s">
        <v>68</v>
      </c>
      <c r="D27" s="626" t="s">
        <v>69</v>
      </c>
      <c r="E27" s="425" t="s">
        <v>70</v>
      </c>
      <c r="F27" s="47" t="s">
        <v>71</v>
      </c>
      <c r="G27" s="47" t="s">
        <v>72</v>
      </c>
      <c r="H27" s="222" t="s">
        <v>1005</v>
      </c>
      <c r="I27" s="183" t="s">
        <v>73</v>
      </c>
      <c r="J27" s="47" t="s">
        <v>74</v>
      </c>
      <c r="K27" s="425" t="s">
        <v>291</v>
      </c>
      <c r="L27" s="425" t="s">
        <v>309</v>
      </c>
      <c r="M27" s="425" t="s">
        <v>376</v>
      </c>
      <c r="N27" s="425" t="s">
        <v>375</v>
      </c>
      <c r="O27" s="425" t="s">
        <v>377</v>
      </c>
      <c r="P27" s="425" t="s">
        <v>378</v>
      </c>
      <c r="Q27" s="109" t="s">
        <v>74</v>
      </c>
      <c r="R27" s="92" t="s">
        <v>41</v>
      </c>
      <c r="S27" s="553"/>
      <c r="T27" s="553"/>
      <c r="U27" s="553"/>
      <c r="V27" s="553"/>
      <c r="W27" s="425" t="s">
        <v>257</v>
      </c>
      <c r="X27" s="668"/>
      <c r="Y27" s="92" t="s">
        <v>41</v>
      </c>
      <c r="Z27" s="90" t="s">
        <v>661</v>
      </c>
      <c r="AA27" s="256" t="e">
        <f>Z27/Y27</f>
        <v>#VALUE!</v>
      </c>
      <c r="AB27" s="495"/>
      <c r="AC27" s="495"/>
      <c r="AD27" s="425" t="s">
        <v>257</v>
      </c>
      <c r="AE27" s="554" t="s">
        <v>678</v>
      </c>
      <c r="AF27" s="556">
        <v>0.5</v>
      </c>
      <c r="AG27" s="562">
        <v>0.41</v>
      </c>
      <c r="AH27" s="256">
        <f>AG27/AF27</f>
        <v>0.82</v>
      </c>
      <c r="AI27" s="501"/>
      <c r="AJ27" s="501"/>
      <c r="AK27" s="425" t="s">
        <v>257</v>
      </c>
      <c r="AL27" s="479" t="s">
        <v>742</v>
      </c>
      <c r="AM27" s="515" t="s">
        <v>83</v>
      </c>
      <c r="AN27" s="562">
        <v>0.41</v>
      </c>
      <c r="AO27" s="256" t="e">
        <f>AN27/AM27</f>
        <v>#VALUE!</v>
      </c>
      <c r="AP27" s="501"/>
      <c r="AQ27" s="501"/>
      <c r="AR27" s="425" t="s">
        <v>257</v>
      </c>
      <c r="AS27" s="479"/>
      <c r="AT27" s="530"/>
      <c r="AU27" s="542"/>
      <c r="AV27" s="256" t="e">
        <f>AU27/AT27</f>
        <v>#DIV/0!</v>
      </c>
      <c r="AW27" s="527"/>
      <c r="AX27" s="527"/>
      <c r="AY27" s="425" t="s">
        <v>257</v>
      </c>
      <c r="AZ27" s="521"/>
      <c r="BA27" s="314">
        <v>0.85</v>
      </c>
      <c r="BB27" s="292">
        <v>0.66</v>
      </c>
      <c r="BC27" s="256">
        <f>BB27/BA27</f>
        <v>0.77647058823529413</v>
      </c>
      <c r="BD27" s="501" t="s">
        <v>923</v>
      </c>
      <c r="BE27" s="501" t="s">
        <v>924</v>
      </c>
      <c r="BF27" s="425" t="s">
        <v>257</v>
      </c>
      <c r="BG27" s="479" t="s">
        <v>942</v>
      </c>
      <c r="BH27" s="299">
        <v>0.86699999999999999</v>
      </c>
      <c r="BI27" s="328">
        <v>0.85680000000000001</v>
      </c>
      <c r="BJ27" s="14">
        <f>BI27/BH27</f>
        <v>0.9882352941176471</v>
      </c>
      <c r="BK27" s="501"/>
      <c r="BL27" s="69"/>
      <c r="BM27" s="513" t="s">
        <v>257</v>
      </c>
      <c r="BN27" s="277" t="s">
        <v>522</v>
      </c>
      <c r="BO27" s="306">
        <v>0.878</v>
      </c>
      <c r="BP27" s="36">
        <v>0.76090000000000002</v>
      </c>
      <c r="BQ27" s="256">
        <f>BP27/BO27</f>
        <v>0.86662870159453309</v>
      </c>
      <c r="BR27" s="495">
        <v>0</v>
      </c>
      <c r="BS27" s="495">
        <v>0</v>
      </c>
      <c r="BT27" s="425" t="s">
        <v>257</v>
      </c>
      <c r="BU27" s="280" t="s">
        <v>604</v>
      </c>
      <c r="BV27" s="692">
        <v>0.89900000000000002</v>
      </c>
      <c r="BW27" s="421">
        <v>0.63339999999999996</v>
      </c>
      <c r="BX27" s="256">
        <v>0</v>
      </c>
      <c r="BY27" s="495">
        <f>918000000+359582746+698802400+12000000</f>
        <v>1988385146</v>
      </c>
      <c r="BZ27" s="483">
        <f>107874824+209640720+12000000</f>
        <v>329515544</v>
      </c>
      <c r="CA27" s="419">
        <f>BZ27/BY27</f>
        <v>0.16572017984688767</v>
      </c>
      <c r="CB27" s="222" t="s">
        <v>1005</v>
      </c>
      <c r="CC27" s="200" t="s">
        <v>1049</v>
      </c>
      <c r="CD27" s="492">
        <v>0.9</v>
      </c>
      <c r="CE27" s="412">
        <v>0.63339999999999996</v>
      </c>
      <c r="CF27" s="429">
        <v>0</v>
      </c>
      <c r="CG27" s="510">
        <f>918000000+359582746+698802400+12000000+714286</f>
        <v>1989099432</v>
      </c>
      <c r="CH27" s="456">
        <f>107874824+209640720+12000000+714286</f>
        <v>330229830</v>
      </c>
      <c r="CI27" s="435">
        <f>CH27/CG27</f>
        <v>0.16601976989554537</v>
      </c>
      <c r="CJ27" s="222" t="s">
        <v>1005</v>
      </c>
      <c r="CK27" s="383" t="s">
        <v>1158</v>
      </c>
      <c r="CL27" s="467">
        <v>0.9</v>
      </c>
      <c r="CM27" s="412">
        <v>0.63339999999999996</v>
      </c>
      <c r="CN27" s="429">
        <v>0</v>
      </c>
    </row>
    <row r="28" spans="1:92" ht="15" customHeight="1" x14ac:dyDescent="0.25">
      <c r="A28" s="691"/>
      <c r="B28" s="425"/>
      <c r="C28" s="690"/>
      <c r="D28" s="626"/>
      <c r="E28" s="425"/>
      <c r="F28" s="425" t="s">
        <v>75</v>
      </c>
      <c r="G28" s="425" t="s">
        <v>72</v>
      </c>
      <c r="H28" s="452" t="s">
        <v>1005</v>
      </c>
      <c r="I28" s="636" t="s">
        <v>76</v>
      </c>
      <c r="J28" s="425" t="s">
        <v>77</v>
      </c>
      <c r="K28" s="425"/>
      <c r="L28" s="425"/>
      <c r="M28" s="425"/>
      <c r="N28" s="425"/>
      <c r="O28" s="425"/>
      <c r="P28" s="425"/>
      <c r="Q28" s="581" t="s">
        <v>77</v>
      </c>
      <c r="R28" s="92" t="s">
        <v>41</v>
      </c>
      <c r="S28" s="612"/>
      <c r="T28" s="612"/>
      <c r="U28" s="612"/>
      <c r="V28" s="612"/>
      <c r="W28" s="425"/>
      <c r="X28" s="668"/>
      <c r="Y28" s="92" t="s">
        <v>41</v>
      </c>
      <c r="Z28" s="90" t="s">
        <v>661</v>
      </c>
      <c r="AA28" s="490" t="e">
        <f>Z28/Y28</f>
        <v>#VALUE!</v>
      </c>
      <c r="AB28" s="495"/>
      <c r="AC28" s="495"/>
      <c r="AD28" s="425"/>
      <c r="AE28" s="554"/>
      <c r="AF28" s="556"/>
      <c r="AG28" s="562"/>
      <c r="AH28" s="490" t="e">
        <f>AG28/AF28</f>
        <v>#DIV/0!</v>
      </c>
      <c r="AI28" s="501"/>
      <c r="AJ28" s="501"/>
      <c r="AK28" s="425"/>
      <c r="AL28" s="479"/>
      <c r="AM28" s="515"/>
      <c r="AN28" s="513"/>
      <c r="AO28" s="490" t="e">
        <f>AN28/AM28</f>
        <v>#DIV/0!</v>
      </c>
      <c r="AP28" s="501"/>
      <c r="AQ28" s="501"/>
      <c r="AR28" s="425"/>
      <c r="AS28" s="479"/>
      <c r="AT28" s="173">
        <v>0.5</v>
      </c>
      <c r="AU28" s="329">
        <v>0.61519999999999997</v>
      </c>
      <c r="AV28" s="490">
        <f>AU28/AT28</f>
        <v>1.2303999999999999</v>
      </c>
      <c r="AW28" s="181" t="s">
        <v>856</v>
      </c>
      <c r="AX28" s="181" t="s">
        <v>856</v>
      </c>
      <c r="AY28" s="425"/>
      <c r="AZ28" s="175" t="s">
        <v>875</v>
      </c>
      <c r="BA28" s="556">
        <v>0.55000000000000004</v>
      </c>
      <c r="BB28" s="562">
        <v>0.42</v>
      </c>
      <c r="BC28" s="490">
        <f>BB28/BA28</f>
        <v>0.76363636363636356</v>
      </c>
      <c r="BD28" s="501"/>
      <c r="BE28" s="501"/>
      <c r="BF28" s="425"/>
      <c r="BG28" s="479"/>
      <c r="BH28" s="556">
        <v>0.52</v>
      </c>
      <c r="BI28" s="562">
        <v>0.5091</v>
      </c>
      <c r="BJ28" s="625">
        <f>BI28/BH28*1</f>
        <v>0.97903846153846152</v>
      </c>
      <c r="BK28" s="501"/>
      <c r="BL28" s="69"/>
      <c r="BM28" s="513"/>
      <c r="BN28" s="615" t="s">
        <v>523</v>
      </c>
      <c r="BO28" s="616">
        <v>0.52</v>
      </c>
      <c r="BP28" s="489">
        <v>0.41539999999999999</v>
      </c>
      <c r="BQ28" s="490">
        <f>BP28/BO28</f>
        <v>0.79884615384615376</v>
      </c>
      <c r="BR28" s="495"/>
      <c r="BS28" s="495"/>
      <c r="BT28" s="425"/>
      <c r="BU28" s="617" t="s">
        <v>605</v>
      </c>
      <c r="BV28" s="693"/>
      <c r="BW28" s="422"/>
      <c r="BX28" s="490">
        <v>0</v>
      </c>
      <c r="BY28" s="495"/>
      <c r="BZ28" s="484"/>
      <c r="CA28" s="426"/>
      <c r="CB28" s="452" t="s">
        <v>1005</v>
      </c>
      <c r="CC28" s="486" t="s">
        <v>1050</v>
      </c>
      <c r="CD28" s="493"/>
      <c r="CE28" s="413"/>
      <c r="CF28" s="431"/>
      <c r="CG28" s="510"/>
      <c r="CH28" s="463"/>
      <c r="CI28" s="464"/>
      <c r="CJ28" s="452" t="s">
        <v>1005</v>
      </c>
      <c r="CK28" s="706" t="s">
        <v>1159</v>
      </c>
      <c r="CL28" s="468"/>
      <c r="CM28" s="413"/>
      <c r="CN28" s="430"/>
    </row>
    <row r="29" spans="1:92" ht="95.25" customHeight="1" x14ac:dyDescent="0.25">
      <c r="A29" s="691"/>
      <c r="B29" s="425"/>
      <c r="C29" s="690"/>
      <c r="D29" s="626"/>
      <c r="E29" s="425"/>
      <c r="F29" s="425"/>
      <c r="G29" s="425"/>
      <c r="H29" s="453"/>
      <c r="I29" s="636"/>
      <c r="J29" s="425"/>
      <c r="K29" s="425"/>
      <c r="L29" s="425"/>
      <c r="M29" s="425"/>
      <c r="N29" s="425"/>
      <c r="O29" s="425"/>
      <c r="P29" s="425"/>
      <c r="Q29" s="581"/>
      <c r="R29" s="92" t="s">
        <v>41</v>
      </c>
      <c r="S29" s="612"/>
      <c r="T29" s="612"/>
      <c r="U29" s="612"/>
      <c r="V29" s="612"/>
      <c r="W29" s="425"/>
      <c r="X29" s="668"/>
      <c r="Y29" s="92" t="s">
        <v>41</v>
      </c>
      <c r="Z29" s="90" t="s">
        <v>661</v>
      </c>
      <c r="AA29" s="490"/>
      <c r="AB29" s="495"/>
      <c r="AC29" s="495"/>
      <c r="AD29" s="425"/>
      <c r="AE29" s="554" t="s">
        <v>679</v>
      </c>
      <c r="AF29" s="177">
        <v>5</v>
      </c>
      <c r="AG29" s="85">
        <v>5</v>
      </c>
      <c r="AH29" s="490"/>
      <c r="AI29" s="69" t="s">
        <v>701</v>
      </c>
      <c r="AJ29" s="69" t="s">
        <v>702</v>
      </c>
      <c r="AK29" s="425"/>
      <c r="AL29" s="192" t="s">
        <v>743</v>
      </c>
      <c r="AM29" s="147">
        <v>6</v>
      </c>
      <c r="AN29" s="68">
        <v>3</v>
      </c>
      <c r="AO29" s="490"/>
      <c r="AP29" s="119">
        <v>1186000000</v>
      </c>
      <c r="AQ29" s="330">
        <v>976986480</v>
      </c>
      <c r="AR29" s="425"/>
      <c r="AS29" s="163" t="s">
        <v>824</v>
      </c>
      <c r="AT29" s="529">
        <v>7</v>
      </c>
      <c r="AU29" s="517">
        <v>9</v>
      </c>
      <c r="AV29" s="490"/>
      <c r="AW29" s="528" t="s">
        <v>856</v>
      </c>
      <c r="AX29" s="612" t="s">
        <v>856</v>
      </c>
      <c r="AY29" s="425"/>
      <c r="AZ29" s="524" t="s">
        <v>876</v>
      </c>
      <c r="BA29" s="515"/>
      <c r="BB29" s="513"/>
      <c r="BC29" s="490"/>
      <c r="BD29" s="501"/>
      <c r="BE29" s="501"/>
      <c r="BF29" s="425"/>
      <c r="BG29" s="479"/>
      <c r="BH29" s="556"/>
      <c r="BI29" s="562"/>
      <c r="BJ29" s="625"/>
      <c r="BK29" s="501"/>
      <c r="BL29" s="69"/>
      <c r="BM29" s="513"/>
      <c r="BN29" s="615"/>
      <c r="BO29" s="616"/>
      <c r="BP29" s="489"/>
      <c r="BQ29" s="490"/>
      <c r="BR29" s="495"/>
      <c r="BS29" s="495"/>
      <c r="BT29" s="425"/>
      <c r="BU29" s="617"/>
      <c r="BV29" s="71">
        <v>0.53400000000000003</v>
      </c>
      <c r="BW29" s="256">
        <v>0.36549999999999999</v>
      </c>
      <c r="BX29" s="490"/>
      <c r="BY29" s="495"/>
      <c r="BZ29" s="485"/>
      <c r="CA29" s="420"/>
      <c r="CB29" s="453"/>
      <c r="CC29" s="488"/>
      <c r="CD29" s="68" t="s">
        <v>1103</v>
      </c>
      <c r="CE29" s="56">
        <v>0.36549999999999999</v>
      </c>
      <c r="CF29" s="221">
        <v>0</v>
      </c>
      <c r="CG29" s="510"/>
      <c r="CH29" s="457"/>
      <c r="CI29" s="436"/>
      <c r="CJ29" s="453"/>
      <c r="CK29" s="716"/>
      <c r="CL29" s="245">
        <v>0.55000000000000004</v>
      </c>
      <c r="CM29" s="56">
        <v>0.36549999999999999</v>
      </c>
      <c r="CN29" s="227">
        <v>0</v>
      </c>
    </row>
    <row r="30" spans="1:92" ht="89.25" customHeight="1" x14ac:dyDescent="0.25">
      <c r="A30" s="691"/>
      <c r="B30" s="425"/>
      <c r="C30" s="690"/>
      <c r="D30" s="626" t="s">
        <v>78</v>
      </c>
      <c r="E30" s="47" t="s">
        <v>79</v>
      </c>
      <c r="F30" s="47" t="s">
        <v>439</v>
      </c>
      <c r="G30" s="47" t="s">
        <v>72</v>
      </c>
      <c r="H30" s="85" t="s">
        <v>1005</v>
      </c>
      <c r="I30" s="47">
        <v>4</v>
      </c>
      <c r="J30" s="47">
        <v>8</v>
      </c>
      <c r="K30" s="47" t="s">
        <v>291</v>
      </c>
      <c r="L30" s="47" t="s">
        <v>309</v>
      </c>
      <c r="M30" s="47">
        <v>2201030</v>
      </c>
      <c r="N30" s="47" t="s">
        <v>310</v>
      </c>
      <c r="O30" s="47">
        <v>220103000</v>
      </c>
      <c r="P30" s="47" t="s">
        <v>311</v>
      </c>
      <c r="Q30" s="109">
        <v>8</v>
      </c>
      <c r="R30" s="92" t="s">
        <v>41</v>
      </c>
      <c r="S30" s="612"/>
      <c r="T30" s="612"/>
      <c r="U30" s="612"/>
      <c r="V30" s="612"/>
      <c r="W30" s="47" t="s">
        <v>258</v>
      </c>
      <c r="X30" s="668"/>
      <c r="Y30" s="92" t="s">
        <v>41</v>
      </c>
      <c r="Z30" s="90" t="s">
        <v>661</v>
      </c>
      <c r="AA30" s="256" t="e">
        <f>(Z30/Y30)*1</f>
        <v>#VALUE!</v>
      </c>
      <c r="AB30" s="270"/>
      <c r="AC30" s="270"/>
      <c r="AD30" s="47" t="s">
        <v>258</v>
      </c>
      <c r="AE30" s="554"/>
      <c r="AF30" s="314">
        <v>0.4</v>
      </c>
      <c r="AG30" s="292">
        <v>0.19</v>
      </c>
      <c r="AH30" s="256">
        <f>(AG30/AF30)*1</f>
        <v>0.47499999999999998</v>
      </c>
      <c r="AI30" s="501">
        <v>130000000</v>
      </c>
      <c r="AJ30" s="501">
        <v>988000</v>
      </c>
      <c r="AK30" s="47" t="s">
        <v>258</v>
      </c>
      <c r="AL30" s="192" t="s">
        <v>744</v>
      </c>
      <c r="AM30" s="177" t="s">
        <v>778</v>
      </c>
      <c r="AN30" s="85" t="s">
        <v>41</v>
      </c>
      <c r="AO30" s="256" t="e">
        <f>(AN30/AM30)*1</f>
        <v>#VALUE!</v>
      </c>
      <c r="AP30" s="501" t="s">
        <v>793</v>
      </c>
      <c r="AQ30" s="501">
        <v>67600000</v>
      </c>
      <c r="AR30" s="47" t="s">
        <v>258</v>
      </c>
      <c r="AS30" s="479" t="s">
        <v>825</v>
      </c>
      <c r="AT30" s="529"/>
      <c r="AU30" s="517"/>
      <c r="AV30" s="256" t="e">
        <f>(AU30/AT30)*1</f>
        <v>#DIV/0!</v>
      </c>
      <c r="AW30" s="528"/>
      <c r="AX30" s="612"/>
      <c r="AY30" s="47" t="s">
        <v>258</v>
      </c>
      <c r="AZ30" s="523"/>
      <c r="BA30" s="177">
        <v>8</v>
      </c>
      <c r="BB30" s="85">
        <v>8</v>
      </c>
      <c r="BC30" s="256">
        <f>(BB30/BA30)*1</f>
        <v>1</v>
      </c>
      <c r="BD30" s="69" t="s">
        <v>925</v>
      </c>
      <c r="BE30" s="69" t="s">
        <v>926</v>
      </c>
      <c r="BF30" s="47" t="s">
        <v>258</v>
      </c>
      <c r="BG30" s="192" t="s">
        <v>943</v>
      </c>
      <c r="BH30" s="154">
        <v>8</v>
      </c>
      <c r="BI30" s="85">
        <v>8</v>
      </c>
      <c r="BJ30" s="14">
        <f>(BI30/BH30)*1</f>
        <v>1</v>
      </c>
      <c r="BK30" s="69"/>
      <c r="BL30" s="69"/>
      <c r="BM30" s="85" t="s">
        <v>258</v>
      </c>
      <c r="BN30" s="331" t="s">
        <v>524</v>
      </c>
      <c r="BO30" s="95">
        <v>8</v>
      </c>
      <c r="BP30" s="47">
        <v>8</v>
      </c>
      <c r="BQ30" s="256">
        <f>(BP30/BO30)*1</f>
        <v>1</v>
      </c>
      <c r="BR30" s="270"/>
      <c r="BS30" s="270"/>
      <c r="BT30" s="47" t="s">
        <v>258</v>
      </c>
      <c r="BU30" s="332" t="s">
        <v>606</v>
      </c>
      <c r="BV30" s="243">
        <v>8</v>
      </c>
      <c r="BW30" s="188">
        <v>4</v>
      </c>
      <c r="BX30" s="256">
        <f>(BW30/BV30)*1</f>
        <v>0.5</v>
      </c>
      <c r="BY30" s="270">
        <v>0</v>
      </c>
      <c r="BZ30" s="270">
        <v>0</v>
      </c>
      <c r="CA30" s="256">
        <v>0</v>
      </c>
      <c r="CB30" s="85" t="s">
        <v>1005</v>
      </c>
      <c r="CC30" s="116" t="s">
        <v>1092</v>
      </c>
      <c r="CD30" s="243">
        <v>8</v>
      </c>
      <c r="CE30" s="262">
        <v>4</v>
      </c>
      <c r="CF30" s="54">
        <f>(CE30/CD30)*1</f>
        <v>0.5</v>
      </c>
      <c r="CG30" s="55">
        <v>0</v>
      </c>
      <c r="CH30" s="55">
        <v>0</v>
      </c>
      <c r="CI30" s="54">
        <v>0</v>
      </c>
      <c r="CJ30" s="85" t="s">
        <v>1005</v>
      </c>
      <c r="CK30" s="383" t="s">
        <v>1112</v>
      </c>
      <c r="CL30" s="47">
        <v>8</v>
      </c>
      <c r="CM30" s="57">
        <v>4</v>
      </c>
      <c r="CN30" s="60">
        <f>CM30/CL30</f>
        <v>0.5</v>
      </c>
    </row>
    <row r="31" spans="1:92" ht="195.75" customHeight="1" x14ac:dyDescent="0.25">
      <c r="A31" s="691"/>
      <c r="B31" s="425"/>
      <c r="C31" s="690"/>
      <c r="D31" s="626"/>
      <c r="E31" s="47" t="s">
        <v>454</v>
      </c>
      <c r="F31" s="47" t="s">
        <v>80</v>
      </c>
      <c r="G31" s="47" t="s">
        <v>81</v>
      </c>
      <c r="H31" s="85" t="s">
        <v>1006</v>
      </c>
      <c r="I31" s="36" t="s">
        <v>82</v>
      </c>
      <c r="J31" s="47" t="s">
        <v>83</v>
      </c>
      <c r="K31" s="47" t="s">
        <v>291</v>
      </c>
      <c r="L31" s="47" t="s">
        <v>312</v>
      </c>
      <c r="M31" s="47" t="s">
        <v>293</v>
      </c>
      <c r="N31" s="47" t="s">
        <v>313</v>
      </c>
      <c r="O31" s="47" t="s">
        <v>293</v>
      </c>
      <c r="P31" s="47" t="s">
        <v>314</v>
      </c>
      <c r="Q31" s="109" t="s">
        <v>83</v>
      </c>
      <c r="R31" s="92" t="s">
        <v>41</v>
      </c>
      <c r="S31" s="612"/>
      <c r="T31" s="612"/>
      <c r="U31" s="612"/>
      <c r="V31" s="612"/>
      <c r="W31" s="425" t="s">
        <v>259</v>
      </c>
      <c r="X31" s="297"/>
      <c r="Y31" s="92" t="s">
        <v>41</v>
      </c>
      <c r="Z31" s="90" t="s">
        <v>661</v>
      </c>
      <c r="AA31" s="256">
        <v>1</v>
      </c>
      <c r="AB31" s="270"/>
      <c r="AC31" s="270"/>
      <c r="AD31" s="425" t="s">
        <v>259</v>
      </c>
      <c r="AE31" s="298" t="s">
        <v>680</v>
      </c>
      <c r="AF31" s="314">
        <v>0.5</v>
      </c>
      <c r="AG31" s="85" t="s">
        <v>41</v>
      </c>
      <c r="AH31" s="256">
        <v>1</v>
      </c>
      <c r="AI31" s="501"/>
      <c r="AJ31" s="501"/>
      <c r="AK31" s="425" t="s">
        <v>259</v>
      </c>
      <c r="AL31" s="479" t="s">
        <v>745</v>
      </c>
      <c r="AM31" s="314">
        <v>0.5</v>
      </c>
      <c r="AN31" s="292" t="s">
        <v>41</v>
      </c>
      <c r="AO31" s="256">
        <v>1</v>
      </c>
      <c r="AP31" s="501"/>
      <c r="AQ31" s="501"/>
      <c r="AR31" s="425" t="s">
        <v>259</v>
      </c>
      <c r="AS31" s="479"/>
      <c r="AT31" s="315">
        <v>0.24</v>
      </c>
      <c r="AU31" s="286">
        <v>0.44</v>
      </c>
      <c r="AV31" s="256">
        <v>1</v>
      </c>
      <c r="AW31" s="181" t="s">
        <v>856</v>
      </c>
      <c r="AX31" s="181" t="s">
        <v>856</v>
      </c>
      <c r="AY31" s="425" t="s">
        <v>259</v>
      </c>
      <c r="AZ31" s="174" t="s">
        <v>877</v>
      </c>
      <c r="BA31" s="177"/>
      <c r="BB31" s="85"/>
      <c r="BC31" s="256">
        <v>1</v>
      </c>
      <c r="BD31" s="501" t="s">
        <v>927</v>
      </c>
      <c r="BE31" s="501" t="s">
        <v>927</v>
      </c>
      <c r="BF31" s="425" t="s">
        <v>259</v>
      </c>
      <c r="BG31" s="192" t="s">
        <v>944</v>
      </c>
      <c r="BH31" s="333">
        <v>0.4415</v>
      </c>
      <c r="BI31" s="334">
        <v>0.47299999999999998</v>
      </c>
      <c r="BJ31" s="14">
        <v>1</v>
      </c>
      <c r="BK31" s="69" t="s">
        <v>525</v>
      </c>
      <c r="BL31" s="69" t="s">
        <v>526</v>
      </c>
      <c r="BM31" s="513" t="s">
        <v>259</v>
      </c>
      <c r="BN31" s="331" t="s">
        <v>527</v>
      </c>
      <c r="BO31" s="335">
        <v>0.46100000000000002</v>
      </c>
      <c r="BP31" s="266">
        <v>0.47299999999999998</v>
      </c>
      <c r="BQ31" s="256">
        <v>1</v>
      </c>
      <c r="BR31" s="270" t="s">
        <v>468</v>
      </c>
      <c r="BS31" s="270" t="s">
        <v>469</v>
      </c>
      <c r="BT31" s="425" t="s">
        <v>259</v>
      </c>
      <c r="BU31" s="332" t="s">
        <v>607</v>
      </c>
      <c r="BV31" s="118" t="s">
        <v>980</v>
      </c>
      <c r="BW31" s="266">
        <v>0.47299999999999998</v>
      </c>
      <c r="BX31" s="256">
        <v>0.93</v>
      </c>
      <c r="BY31" s="270">
        <f>918000000+
3690000</f>
        <v>921690000</v>
      </c>
      <c r="BZ31" s="271">
        <v>3960000</v>
      </c>
      <c r="CA31" s="256">
        <f>BZ31/BY31</f>
        <v>4.296455424274973E-3</v>
      </c>
      <c r="CB31" s="85" t="s">
        <v>1006</v>
      </c>
      <c r="CC31" s="486" t="s">
        <v>1095</v>
      </c>
      <c r="CD31" s="118">
        <v>0.5</v>
      </c>
      <c r="CE31" s="266">
        <v>0.47299999999999998</v>
      </c>
      <c r="CF31" s="259">
        <v>0.86</v>
      </c>
      <c r="CG31" s="55">
        <f>918000000+
3690000+1700000</f>
        <v>923390000</v>
      </c>
      <c r="CH31" s="240">
        <f>3960000+1700000</f>
        <v>5660000</v>
      </c>
      <c r="CI31" s="54">
        <f>CH31/CG31</f>
        <v>6.1295877148333858E-3</v>
      </c>
      <c r="CJ31" s="85" t="s">
        <v>1006</v>
      </c>
      <c r="CK31" s="706" t="s">
        <v>1160</v>
      </c>
      <c r="CL31" s="47" t="s">
        <v>83</v>
      </c>
      <c r="CM31" s="266">
        <v>0.47299999999999998</v>
      </c>
      <c r="CN31" s="259">
        <v>0.86</v>
      </c>
    </row>
    <row r="32" spans="1:92" ht="108" customHeight="1" x14ac:dyDescent="0.25">
      <c r="A32" s="691"/>
      <c r="B32" s="425"/>
      <c r="C32" s="690"/>
      <c r="D32" s="626" t="s">
        <v>84</v>
      </c>
      <c r="E32" s="47" t="s">
        <v>85</v>
      </c>
      <c r="F32" s="47" t="s">
        <v>86</v>
      </c>
      <c r="G32" s="47" t="s">
        <v>81</v>
      </c>
      <c r="H32" s="85" t="s">
        <v>1006</v>
      </c>
      <c r="I32" s="36" t="s">
        <v>87</v>
      </c>
      <c r="J32" s="47" t="s">
        <v>88</v>
      </c>
      <c r="K32" s="425" t="s">
        <v>291</v>
      </c>
      <c r="L32" s="425" t="s">
        <v>309</v>
      </c>
      <c r="M32" s="425">
        <v>2201033</v>
      </c>
      <c r="N32" s="425" t="s">
        <v>315</v>
      </c>
      <c r="O32" s="425">
        <v>220103300</v>
      </c>
      <c r="P32" s="425" t="s">
        <v>316</v>
      </c>
      <c r="Q32" s="109" t="s">
        <v>88</v>
      </c>
      <c r="R32" s="92" t="s">
        <v>41</v>
      </c>
      <c r="S32" s="612"/>
      <c r="T32" s="612"/>
      <c r="U32" s="612"/>
      <c r="V32" s="612"/>
      <c r="W32" s="425"/>
      <c r="X32" s="668"/>
      <c r="Y32" s="92" t="s">
        <v>41</v>
      </c>
      <c r="Z32" s="90" t="s">
        <v>661</v>
      </c>
      <c r="AA32" s="256">
        <v>0.86550000000000005</v>
      </c>
      <c r="AB32" s="270"/>
      <c r="AC32" s="270"/>
      <c r="AD32" s="425"/>
      <c r="AE32" s="554" t="s">
        <v>681</v>
      </c>
      <c r="AF32" s="314">
        <v>0.1</v>
      </c>
      <c r="AG32" s="1">
        <v>8.7999999999999995E-2</v>
      </c>
      <c r="AH32" s="256">
        <v>0.86550000000000005</v>
      </c>
      <c r="AI32" s="501"/>
      <c r="AJ32" s="501"/>
      <c r="AK32" s="425"/>
      <c r="AL32" s="479"/>
      <c r="AM32" s="164">
        <v>0.09</v>
      </c>
      <c r="AN32" s="118" t="s">
        <v>41</v>
      </c>
      <c r="AO32" s="256">
        <v>0.86550000000000005</v>
      </c>
      <c r="AP32" s="501"/>
      <c r="AQ32" s="501"/>
      <c r="AR32" s="425"/>
      <c r="AS32" s="479"/>
      <c r="AT32" s="315">
        <v>0.48</v>
      </c>
      <c r="AU32" s="286">
        <v>0.42</v>
      </c>
      <c r="AV32" s="256">
        <v>0.86550000000000005</v>
      </c>
      <c r="AW32" s="181" t="s">
        <v>856</v>
      </c>
      <c r="AX32" s="181" t="s">
        <v>856</v>
      </c>
      <c r="AY32" s="425"/>
      <c r="AZ32" s="336" t="s">
        <v>878</v>
      </c>
      <c r="BA32" s="314"/>
      <c r="BB32" s="85"/>
      <c r="BC32" s="256">
        <v>0.86550000000000005</v>
      </c>
      <c r="BD32" s="501"/>
      <c r="BE32" s="501"/>
      <c r="BF32" s="425"/>
      <c r="BG32" s="277" t="s">
        <v>945</v>
      </c>
      <c r="BH32" s="337">
        <v>0.47</v>
      </c>
      <c r="BI32" s="338">
        <v>0.54300000000000004</v>
      </c>
      <c r="BJ32" s="14">
        <v>0</v>
      </c>
      <c r="BK32" s="69">
        <v>71030094</v>
      </c>
      <c r="BL32" s="69">
        <v>56824075</v>
      </c>
      <c r="BM32" s="513"/>
      <c r="BN32" s="277" t="s">
        <v>528</v>
      </c>
      <c r="BO32" s="339">
        <v>0.46800000000000003</v>
      </c>
      <c r="BP32" s="183">
        <v>0.54300000000000004</v>
      </c>
      <c r="BQ32" s="256">
        <v>0.86550000000000005</v>
      </c>
      <c r="BR32" s="270">
        <v>0</v>
      </c>
      <c r="BS32" s="270">
        <v>0</v>
      </c>
      <c r="BT32" s="425"/>
      <c r="BU32" s="280" t="s">
        <v>608</v>
      </c>
      <c r="BV32" s="319" t="s">
        <v>981</v>
      </c>
      <c r="BW32" s="183">
        <v>0.54300000000000004</v>
      </c>
      <c r="BX32" s="256">
        <v>0</v>
      </c>
      <c r="BY32" s="270">
        <v>0</v>
      </c>
      <c r="BZ32" s="270">
        <v>0</v>
      </c>
      <c r="CA32" s="256">
        <v>0</v>
      </c>
      <c r="CB32" s="85" t="s">
        <v>1006</v>
      </c>
      <c r="CC32" s="488"/>
      <c r="CD32" s="292">
        <v>0.45</v>
      </c>
      <c r="CE32" s="58">
        <v>0.54300000000000004</v>
      </c>
      <c r="CF32" s="54">
        <v>0</v>
      </c>
      <c r="CG32" s="55">
        <v>0</v>
      </c>
      <c r="CH32" s="55">
        <v>0</v>
      </c>
      <c r="CI32" s="54">
        <v>0</v>
      </c>
      <c r="CJ32" s="85" t="s">
        <v>1006</v>
      </c>
      <c r="CK32" s="716"/>
      <c r="CL32" s="47" t="s">
        <v>88</v>
      </c>
      <c r="CM32" s="58">
        <v>0.54300000000000004</v>
      </c>
      <c r="CN32" s="60">
        <v>0</v>
      </c>
    </row>
    <row r="33" spans="1:92" ht="183" customHeight="1" x14ac:dyDescent="0.25">
      <c r="A33" s="691"/>
      <c r="B33" s="425"/>
      <c r="C33" s="690"/>
      <c r="D33" s="626"/>
      <c r="E33" s="47" t="s">
        <v>89</v>
      </c>
      <c r="F33" s="47" t="s">
        <v>90</v>
      </c>
      <c r="G33" s="47" t="s">
        <v>81</v>
      </c>
      <c r="H33" s="85" t="s">
        <v>1006</v>
      </c>
      <c r="I33" s="36" t="s">
        <v>91</v>
      </c>
      <c r="J33" s="47" t="s">
        <v>92</v>
      </c>
      <c r="K33" s="425"/>
      <c r="L33" s="425"/>
      <c r="M33" s="425"/>
      <c r="N33" s="425"/>
      <c r="O33" s="425"/>
      <c r="P33" s="425"/>
      <c r="Q33" s="109" t="s">
        <v>92</v>
      </c>
      <c r="R33" s="92" t="s">
        <v>41</v>
      </c>
      <c r="S33" s="612"/>
      <c r="T33" s="612"/>
      <c r="U33" s="612"/>
      <c r="V33" s="612"/>
      <c r="W33" s="425"/>
      <c r="X33" s="668"/>
      <c r="Y33" s="92" t="s">
        <v>41</v>
      </c>
      <c r="Z33" s="90" t="s">
        <v>661</v>
      </c>
      <c r="AA33" s="256">
        <v>1</v>
      </c>
      <c r="AB33" s="270"/>
      <c r="AC33" s="270"/>
      <c r="AD33" s="425"/>
      <c r="AE33" s="554"/>
      <c r="AF33" s="314">
        <v>0.55000000000000004</v>
      </c>
      <c r="AG33" s="292">
        <v>0.51</v>
      </c>
      <c r="AH33" s="256">
        <v>1</v>
      </c>
      <c r="AI33" s="501"/>
      <c r="AJ33" s="501"/>
      <c r="AK33" s="425"/>
      <c r="AL33" s="163" t="s">
        <v>746</v>
      </c>
      <c r="AM33" s="314">
        <v>0.57999999999999996</v>
      </c>
      <c r="AN33" s="292" t="s">
        <v>41</v>
      </c>
      <c r="AO33" s="256">
        <v>1</v>
      </c>
      <c r="AP33" s="501"/>
      <c r="AQ33" s="501"/>
      <c r="AR33" s="425"/>
      <c r="AS33" s="479"/>
      <c r="AT33" s="315">
        <v>0.08</v>
      </c>
      <c r="AU33" s="321">
        <v>8.5000000000000006E-2</v>
      </c>
      <c r="AV33" s="256">
        <v>1</v>
      </c>
      <c r="AW33" s="181" t="s">
        <v>856</v>
      </c>
      <c r="AX33" s="181" t="s">
        <v>856</v>
      </c>
      <c r="AY33" s="425"/>
      <c r="AZ33" s="174" t="s">
        <v>879</v>
      </c>
      <c r="BA33" s="314">
        <v>7.0000000000000007E-2</v>
      </c>
      <c r="BB33" s="1" t="s">
        <v>919</v>
      </c>
      <c r="BC33" s="256">
        <v>1</v>
      </c>
      <c r="BD33" s="501"/>
      <c r="BE33" s="501"/>
      <c r="BF33" s="425"/>
      <c r="BG33" s="277" t="s">
        <v>946</v>
      </c>
      <c r="BH33" s="337">
        <v>8.6800000000000002E-2</v>
      </c>
      <c r="BI33" s="338">
        <v>8.7900000000000006E-2</v>
      </c>
      <c r="BJ33" s="14">
        <v>1</v>
      </c>
      <c r="BK33" s="69" t="s">
        <v>529</v>
      </c>
      <c r="BL33" s="69" t="s">
        <v>529</v>
      </c>
      <c r="BM33" s="513"/>
      <c r="BN33" s="277" t="s">
        <v>530</v>
      </c>
      <c r="BO33" s="339">
        <v>8.1199999999999994E-2</v>
      </c>
      <c r="BP33" s="183">
        <v>8.7900000000000006E-2</v>
      </c>
      <c r="BQ33" s="256">
        <v>1</v>
      </c>
      <c r="BR33" s="270">
        <v>0</v>
      </c>
      <c r="BS33" s="270">
        <v>0</v>
      </c>
      <c r="BT33" s="425"/>
      <c r="BU33" s="280" t="s">
        <v>609</v>
      </c>
      <c r="BV33" s="319" t="s">
        <v>982</v>
      </c>
      <c r="BW33" s="183">
        <v>8.7900000000000006E-2</v>
      </c>
      <c r="BX33" s="256">
        <v>0.75</v>
      </c>
      <c r="BY33" s="270">
        <f>359582000+90000000</f>
        <v>449582000</v>
      </c>
      <c r="BZ33" s="270">
        <f>107874824+90000000</f>
        <v>197874824</v>
      </c>
      <c r="CA33" s="256">
        <f>BZ33/BY33</f>
        <v>0.44013066359418301</v>
      </c>
      <c r="CB33" s="85" t="s">
        <v>1006</v>
      </c>
      <c r="CC33" s="200" t="s">
        <v>1051</v>
      </c>
      <c r="CD33" s="118">
        <v>7.0000000000000007E-2</v>
      </c>
      <c r="CE33" s="183">
        <v>8.7900000000000006E-2</v>
      </c>
      <c r="CF33" s="54">
        <v>0.68</v>
      </c>
      <c r="CG33" s="55">
        <f>359582000+90000000+1700000</f>
        <v>451282000</v>
      </c>
      <c r="CH33" s="55">
        <f>107874824+90000000+1700000</f>
        <v>199574824</v>
      </c>
      <c r="CI33" s="54">
        <f>CH33/CG33</f>
        <v>0.4422397170726951</v>
      </c>
      <c r="CJ33" s="85" t="s">
        <v>1006</v>
      </c>
      <c r="CK33" s="383" t="s">
        <v>1161</v>
      </c>
      <c r="CL33" s="47" t="s">
        <v>92</v>
      </c>
      <c r="CM33" s="183">
        <v>8.7900000000000006E-2</v>
      </c>
      <c r="CN33" s="60">
        <v>0.68</v>
      </c>
    </row>
    <row r="34" spans="1:92" ht="116.25" customHeight="1" x14ac:dyDescent="0.25">
      <c r="A34" s="691"/>
      <c r="B34" s="425"/>
      <c r="C34" s="690"/>
      <c r="D34" s="111" t="s">
        <v>93</v>
      </c>
      <c r="E34" s="47" t="s">
        <v>94</v>
      </c>
      <c r="F34" s="47" t="s">
        <v>95</v>
      </c>
      <c r="G34" s="47" t="s">
        <v>81</v>
      </c>
      <c r="H34" s="85" t="s">
        <v>1006</v>
      </c>
      <c r="I34" s="36" t="s">
        <v>96</v>
      </c>
      <c r="J34" s="47" t="s">
        <v>97</v>
      </c>
      <c r="K34" s="47" t="s">
        <v>291</v>
      </c>
      <c r="L34" s="47" t="s">
        <v>312</v>
      </c>
      <c r="M34" s="47" t="s">
        <v>293</v>
      </c>
      <c r="N34" s="47" t="s">
        <v>313</v>
      </c>
      <c r="O34" s="47" t="s">
        <v>293</v>
      </c>
      <c r="P34" s="47" t="s">
        <v>314</v>
      </c>
      <c r="Q34" s="109" t="s">
        <v>97</v>
      </c>
      <c r="R34" s="92" t="s">
        <v>41</v>
      </c>
      <c r="S34" s="612"/>
      <c r="T34" s="612"/>
      <c r="U34" s="612"/>
      <c r="V34" s="612"/>
      <c r="W34" s="425"/>
      <c r="X34" s="668"/>
      <c r="Y34" s="92" t="s">
        <v>41</v>
      </c>
      <c r="Z34" s="90" t="s">
        <v>661</v>
      </c>
      <c r="AA34" s="256" t="e">
        <f>Z34/Y34</f>
        <v>#VALUE!</v>
      </c>
      <c r="AB34" s="270"/>
      <c r="AC34" s="270"/>
      <c r="AD34" s="425"/>
      <c r="AE34" s="554"/>
      <c r="AF34" s="314">
        <v>0.7</v>
      </c>
      <c r="AG34" s="292">
        <v>0.5</v>
      </c>
      <c r="AH34" s="256">
        <f>AG34/AF34</f>
        <v>0.7142857142857143</v>
      </c>
      <c r="AI34" s="69" t="s">
        <v>703</v>
      </c>
      <c r="AJ34" s="69" t="s">
        <v>704</v>
      </c>
      <c r="AK34" s="425"/>
      <c r="AL34" s="192" t="s">
        <v>747</v>
      </c>
      <c r="AM34" s="164">
        <v>0.7</v>
      </c>
      <c r="AN34" s="118">
        <v>0.5</v>
      </c>
      <c r="AO34" s="256">
        <f>AN34/AM34</f>
        <v>0.7142857142857143</v>
      </c>
      <c r="AP34" s="184">
        <v>25750000</v>
      </c>
      <c r="AQ34" s="340">
        <v>22400000</v>
      </c>
      <c r="AR34" s="425"/>
      <c r="AS34" s="172" t="s">
        <v>826</v>
      </c>
      <c r="AT34" s="315">
        <v>0.6</v>
      </c>
      <c r="AU34" s="286">
        <v>0.56899999999999995</v>
      </c>
      <c r="AV34" s="256">
        <f>AU34/AT34</f>
        <v>0.94833333333333325</v>
      </c>
      <c r="AW34" s="181" t="s">
        <v>856</v>
      </c>
      <c r="AX34" s="181" t="s">
        <v>856</v>
      </c>
      <c r="AY34" s="425"/>
      <c r="AZ34" s="174" t="s">
        <v>880</v>
      </c>
      <c r="BA34" s="314">
        <v>0.71</v>
      </c>
      <c r="BB34" s="292">
        <v>0.63</v>
      </c>
      <c r="BC34" s="256">
        <f>BB34/BA34</f>
        <v>0.88732394366197187</v>
      </c>
      <c r="BD34" s="501"/>
      <c r="BE34" s="501"/>
      <c r="BF34" s="425"/>
      <c r="BG34" s="163" t="s">
        <v>947</v>
      </c>
      <c r="BH34" s="341">
        <v>0.68600000000000005</v>
      </c>
      <c r="BI34" s="342">
        <v>0.623</v>
      </c>
      <c r="BJ34" s="14">
        <f>BI34/BH34</f>
        <v>0.90816326530612235</v>
      </c>
      <c r="BK34" s="69"/>
      <c r="BL34" s="69"/>
      <c r="BM34" s="513"/>
      <c r="BN34" s="281" t="s">
        <v>531</v>
      </c>
      <c r="BO34" s="343">
        <v>0.69020000000000004</v>
      </c>
      <c r="BP34" s="344">
        <v>0.623</v>
      </c>
      <c r="BQ34" s="256">
        <f>BP34/BO34</f>
        <v>0.9026369168356998</v>
      </c>
      <c r="BR34" s="270">
        <v>0</v>
      </c>
      <c r="BS34" s="270">
        <v>0</v>
      </c>
      <c r="BT34" s="425"/>
      <c r="BU34" s="308" t="s">
        <v>610</v>
      </c>
      <c r="BV34" s="118">
        <v>0.70199999999999996</v>
      </c>
      <c r="BW34" s="344">
        <v>0.623</v>
      </c>
      <c r="BX34" s="256">
        <v>0.122</v>
      </c>
      <c r="BY34" s="270">
        <v>0</v>
      </c>
      <c r="BZ34" s="272">
        <v>0</v>
      </c>
      <c r="CA34" s="256">
        <f>BY34/BX34</f>
        <v>0</v>
      </c>
      <c r="CB34" s="85" t="s">
        <v>1006</v>
      </c>
      <c r="CC34" s="345" t="s">
        <v>1052</v>
      </c>
      <c r="CD34" s="118">
        <v>0.71</v>
      </c>
      <c r="CE34" s="39">
        <v>0.623</v>
      </c>
      <c r="CF34" s="54">
        <v>0.122</v>
      </c>
      <c r="CG34" s="55">
        <v>0</v>
      </c>
      <c r="CH34" s="241">
        <v>0</v>
      </c>
      <c r="CI34" s="54">
        <f>CG34/CF34</f>
        <v>0</v>
      </c>
      <c r="CJ34" s="85" t="s">
        <v>1006</v>
      </c>
      <c r="CK34" s="383" t="s">
        <v>1162</v>
      </c>
      <c r="CL34" s="47" t="s">
        <v>97</v>
      </c>
      <c r="CM34" s="39">
        <v>0.623</v>
      </c>
      <c r="CN34" s="60">
        <v>0.122</v>
      </c>
    </row>
    <row r="35" spans="1:92" ht="165.75" customHeight="1" x14ac:dyDescent="0.25">
      <c r="A35" s="691"/>
      <c r="B35" s="425" t="s">
        <v>98</v>
      </c>
      <c r="C35" s="690" t="s">
        <v>99</v>
      </c>
      <c r="D35" s="111" t="s">
        <v>100</v>
      </c>
      <c r="E35" s="47" t="s">
        <v>101</v>
      </c>
      <c r="F35" s="47" t="s">
        <v>102</v>
      </c>
      <c r="G35" s="47" t="s">
        <v>103</v>
      </c>
      <c r="H35" s="1" t="s">
        <v>1007</v>
      </c>
      <c r="I35" s="36" t="s">
        <v>104</v>
      </c>
      <c r="J35" s="61">
        <v>0.8</v>
      </c>
      <c r="K35" s="47" t="s">
        <v>291</v>
      </c>
      <c r="L35" s="47" t="s">
        <v>317</v>
      </c>
      <c r="M35" s="47" t="s">
        <v>293</v>
      </c>
      <c r="N35" s="47" t="s">
        <v>318</v>
      </c>
      <c r="O35" s="47" t="s">
        <v>293</v>
      </c>
      <c r="P35" s="47" t="s">
        <v>319</v>
      </c>
      <c r="Q35" s="110">
        <v>0.8</v>
      </c>
      <c r="R35" s="92" t="s">
        <v>41</v>
      </c>
      <c r="S35" s="612"/>
      <c r="T35" s="612"/>
      <c r="U35" s="612"/>
      <c r="V35" s="612"/>
      <c r="W35" s="47" t="s">
        <v>260</v>
      </c>
      <c r="X35" s="274"/>
      <c r="Y35" s="92" t="s">
        <v>41</v>
      </c>
      <c r="Z35" s="90" t="s">
        <v>661</v>
      </c>
      <c r="AA35" s="256" t="e">
        <f>Z35/Y35</f>
        <v>#VALUE!</v>
      </c>
      <c r="AB35" s="270"/>
      <c r="AC35" s="346"/>
      <c r="AD35" s="47" t="s">
        <v>260</v>
      </c>
      <c r="AE35" s="276" t="s">
        <v>670</v>
      </c>
      <c r="AF35" s="314">
        <v>0.6</v>
      </c>
      <c r="AG35" s="292">
        <v>0.86</v>
      </c>
      <c r="AH35" s="256">
        <f>AG35/AF35</f>
        <v>1.4333333333333333</v>
      </c>
      <c r="AI35" s="69">
        <v>28200000</v>
      </c>
      <c r="AJ35" s="69">
        <v>8167000</v>
      </c>
      <c r="AK35" s="47" t="s">
        <v>260</v>
      </c>
      <c r="AL35" s="192" t="s">
        <v>748</v>
      </c>
      <c r="AM35" s="164">
        <v>0.65</v>
      </c>
      <c r="AN35" s="118">
        <v>0.86</v>
      </c>
      <c r="AO35" s="256">
        <f>AN35/AM35</f>
        <v>1.323076923076923</v>
      </c>
      <c r="AP35" s="185">
        <v>29046000</v>
      </c>
      <c r="AQ35" s="120" t="s">
        <v>700</v>
      </c>
      <c r="AR35" s="47" t="s">
        <v>260</v>
      </c>
      <c r="AS35" s="172" t="s">
        <v>827</v>
      </c>
      <c r="AT35" s="315">
        <v>0.72</v>
      </c>
      <c r="AU35" s="286">
        <v>0.5</v>
      </c>
      <c r="AV35" s="256">
        <f>AU35/AT35</f>
        <v>0.69444444444444442</v>
      </c>
      <c r="AW35" s="181" t="s">
        <v>856</v>
      </c>
      <c r="AX35" s="181" t="s">
        <v>856</v>
      </c>
      <c r="AY35" s="47" t="s">
        <v>260</v>
      </c>
      <c r="AZ35" s="324" t="s">
        <v>881</v>
      </c>
      <c r="BA35" s="177">
        <v>12</v>
      </c>
      <c r="BB35" s="85">
        <v>12</v>
      </c>
      <c r="BC35" s="256">
        <f>BB35/BA35</f>
        <v>1</v>
      </c>
      <c r="BD35" s="69"/>
      <c r="BE35" s="69"/>
      <c r="BF35" s="47" t="s">
        <v>260</v>
      </c>
      <c r="BG35" s="192" t="s">
        <v>948</v>
      </c>
      <c r="BH35" s="314">
        <v>0.56000000000000005</v>
      </c>
      <c r="BI35" s="14">
        <f>5/12</f>
        <v>0.41666666666666669</v>
      </c>
      <c r="BJ35" s="14">
        <f>BI35/BH35</f>
        <v>0.74404761904761896</v>
      </c>
      <c r="BK35" s="69" t="s">
        <v>532</v>
      </c>
      <c r="BL35" s="347">
        <v>900</v>
      </c>
      <c r="BM35" s="85" t="s">
        <v>260</v>
      </c>
      <c r="BN35" s="192" t="s">
        <v>533</v>
      </c>
      <c r="BO35" s="325">
        <v>0.74</v>
      </c>
      <c r="BP35" s="256">
        <f>5/12</f>
        <v>0.41666666666666669</v>
      </c>
      <c r="BQ35" s="256">
        <f>BP35/BO35</f>
        <v>0.56306306306306309</v>
      </c>
      <c r="BR35" s="270" t="s">
        <v>461</v>
      </c>
      <c r="BS35" s="346" t="s">
        <v>460</v>
      </c>
      <c r="BT35" s="47" t="s">
        <v>260</v>
      </c>
      <c r="BU35" s="332" t="s">
        <v>611</v>
      </c>
      <c r="BV35" s="118">
        <v>0.72</v>
      </c>
      <c r="BW35" s="256">
        <f>11/12</f>
        <v>0.91666666666666663</v>
      </c>
      <c r="BX35" s="256">
        <v>1</v>
      </c>
      <c r="BY35" s="348">
        <v>90000000</v>
      </c>
      <c r="BZ35" s="349">
        <v>28753833</v>
      </c>
      <c r="CA35" s="256">
        <f>BZ35/BY35</f>
        <v>0.31948703333333334</v>
      </c>
      <c r="CB35" s="1" t="s">
        <v>1007</v>
      </c>
      <c r="CC35" s="350" t="s">
        <v>1053</v>
      </c>
      <c r="CD35" s="118">
        <v>0.8</v>
      </c>
      <c r="CE35" s="56">
        <f>11/12</f>
        <v>0.91666666666666663</v>
      </c>
      <c r="CF35" s="54">
        <v>1</v>
      </c>
      <c r="CG35" s="246">
        <f>90000000+24000000</f>
        <v>114000000</v>
      </c>
      <c r="CH35" s="241">
        <f>28753833+24000000</f>
        <v>52753833</v>
      </c>
      <c r="CI35" s="54">
        <f>CH35/CG35</f>
        <v>0.46275292105263161</v>
      </c>
      <c r="CJ35" s="1" t="s">
        <v>1007</v>
      </c>
      <c r="CK35" s="386" t="s">
        <v>1113</v>
      </c>
      <c r="CL35" s="61">
        <v>0.8</v>
      </c>
      <c r="CM35" s="56">
        <f>11/12</f>
        <v>0.91666666666666663</v>
      </c>
      <c r="CN35" s="60">
        <v>1</v>
      </c>
    </row>
    <row r="36" spans="1:92" ht="123.75" customHeight="1" x14ac:dyDescent="0.25">
      <c r="A36" s="691"/>
      <c r="B36" s="425"/>
      <c r="C36" s="690"/>
      <c r="D36" s="111" t="s">
        <v>105</v>
      </c>
      <c r="E36" s="47" t="s">
        <v>106</v>
      </c>
      <c r="F36" s="47" t="s">
        <v>107</v>
      </c>
      <c r="G36" s="47" t="s">
        <v>108</v>
      </c>
      <c r="H36" s="85" t="s">
        <v>1008</v>
      </c>
      <c r="I36" s="47" t="s">
        <v>109</v>
      </c>
      <c r="J36" s="61">
        <v>1</v>
      </c>
      <c r="K36" s="47" t="s">
        <v>291</v>
      </c>
      <c r="L36" s="47" t="s">
        <v>320</v>
      </c>
      <c r="M36" s="47">
        <v>1903011</v>
      </c>
      <c r="N36" s="47" t="s">
        <v>321</v>
      </c>
      <c r="O36" s="47">
        <v>190301100</v>
      </c>
      <c r="P36" s="47" t="s">
        <v>322</v>
      </c>
      <c r="Q36" s="110">
        <v>1</v>
      </c>
      <c r="R36" s="92" t="s">
        <v>41</v>
      </c>
      <c r="S36" s="612"/>
      <c r="T36" s="612"/>
      <c r="U36" s="612"/>
      <c r="V36" s="612"/>
      <c r="W36" s="47" t="s">
        <v>261</v>
      </c>
      <c r="X36" s="274"/>
      <c r="Y36" s="92" t="s">
        <v>41</v>
      </c>
      <c r="Z36" s="90" t="s">
        <v>661</v>
      </c>
      <c r="AA36" s="256" t="e">
        <f>Z36/Y36</f>
        <v>#VALUE!</v>
      </c>
      <c r="AB36" s="270"/>
      <c r="AC36" s="270"/>
      <c r="AD36" s="47" t="s">
        <v>261</v>
      </c>
      <c r="AE36" s="276" t="s">
        <v>680</v>
      </c>
      <c r="AF36" s="515">
        <v>13</v>
      </c>
      <c r="AG36" s="513">
        <v>13</v>
      </c>
      <c r="AH36" s="256">
        <f>AG36/AF36</f>
        <v>1</v>
      </c>
      <c r="AI36" s="501" t="s">
        <v>705</v>
      </c>
      <c r="AJ36" s="501" t="s">
        <v>706</v>
      </c>
      <c r="AK36" s="47" t="s">
        <v>261</v>
      </c>
      <c r="AL36" s="479" t="s">
        <v>749</v>
      </c>
      <c r="AM36" s="663">
        <v>15</v>
      </c>
      <c r="AN36" s="664">
        <v>15</v>
      </c>
      <c r="AO36" s="256">
        <f>AN36/AM36</f>
        <v>1</v>
      </c>
      <c r="AP36" s="550">
        <v>405652392</v>
      </c>
      <c r="AQ36" s="550">
        <v>222770997</v>
      </c>
      <c r="AR36" s="47" t="s">
        <v>261</v>
      </c>
      <c r="AS36" s="548" t="s">
        <v>828</v>
      </c>
      <c r="AT36" s="315">
        <v>0.7</v>
      </c>
      <c r="AU36" s="286">
        <v>0.7</v>
      </c>
      <c r="AV36" s="256">
        <f>AU36/AT36</f>
        <v>1</v>
      </c>
      <c r="AW36" s="181" t="s">
        <v>856</v>
      </c>
      <c r="AX36" s="181" t="s">
        <v>856</v>
      </c>
      <c r="AY36" s="47" t="s">
        <v>261</v>
      </c>
      <c r="AZ36" s="324" t="s">
        <v>882</v>
      </c>
      <c r="BA36" s="177">
        <v>12</v>
      </c>
      <c r="BB36" s="85">
        <v>12</v>
      </c>
      <c r="BC36" s="256">
        <f>BB36/BA36</f>
        <v>1</v>
      </c>
      <c r="BD36" s="69"/>
      <c r="BE36" s="69"/>
      <c r="BF36" s="47" t="s">
        <v>261</v>
      </c>
      <c r="BG36" s="192" t="s">
        <v>948</v>
      </c>
      <c r="BH36" s="351">
        <v>0.94769999999999999</v>
      </c>
      <c r="BI36" s="14">
        <v>0.85</v>
      </c>
      <c r="BJ36" s="14">
        <f>BI36/BH36</f>
        <v>0.89690830431571167</v>
      </c>
      <c r="BK36" s="69"/>
      <c r="BL36" s="69"/>
      <c r="BM36" s="85" t="s">
        <v>261</v>
      </c>
      <c r="BN36" s="192" t="s">
        <v>534</v>
      </c>
      <c r="BO36" s="269">
        <v>0.96509999999999996</v>
      </c>
      <c r="BP36" s="256">
        <v>0.85</v>
      </c>
      <c r="BQ36" s="256">
        <f>BP36/BO36</f>
        <v>0.88073774738369082</v>
      </c>
      <c r="BR36" s="270">
        <v>0</v>
      </c>
      <c r="BS36" s="270">
        <v>0</v>
      </c>
      <c r="BT36" s="47" t="s">
        <v>261</v>
      </c>
      <c r="BU36" s="191" t="s">
        <v>612</v>
      </c>
      <c r="BV36" s="319">
        <v>0.98250000000000004</v>
      </c>
      <c r="BW36" s="256">
        <v>0.85</v>
      </c>
      <c r="BX36" s="256">
        <v>0.15379999999999999</v>
      </c>
      <c r="BY36" s="272">
        <v>0</v>
      </c>
      <c r="BZ36" s="272">
        <v>0</v>
      </c>
      <c r="CA36" s="256">
        <v>0</v>
      </c>
      <c r="CB36" s="85" t="s">
        <v>1008</v>
      </c>
      <c r="CC36" s="116" t="s">
        <v>1096</v>
      </c>
      <c r="CD36" s="292">
        <v>1</v>
      </c>
      <c r="CE36" s="56">
        <v>0.85</v>
      </c>
      <c r="CF36" s="54">
        <v>0.15379999999999999</v>
      </c>
      <c r="CG36" s="241">
        <v>19200000</v>
      </c>
      <c r="CH36" s="241">
        <v>19200000</v>
      </c>
      <c r="CI36" s="54">
        <f>CH36/CG36</f>
        <v>1</v>
      </c>
      <c r="CJ36" s="85" t="s">
        <v>1008</v>
      </c>
      <c r="CK36" s="383" t="s">
        <v>1114</v>
      </c>
      <c r="CL36" s="61">
        <v>1</v>
      </c>
      <c r="CM36" s="56">
        <v>0.85</v>
      </c>
      <c r="CN36" s="60">
        <v>0.13800000000000001</v>
      </c>
    </row>
    <row r="37" spans="1:92" ht="15" customHeight="1" x14ac:dyDescent="0.25">
      <c r="A37" s="691"/>
      <c r="B37" s="425"/>
      <c r="C37" s="690"/>
      <c r="D37" s="626" t="s">
        <v>110</v>
      </c>
      <c r="E37" s="425" t="s">
        <v>111</v>
      </c>
      <c r="F37" s="425" t="s">
        <v>440</v>
      </c>
      <c r="G37" s="425" t="s">
        <v>112</v>
      </c>
      <c r="H37" s="452" t="s">
        <v>1009</v>
      </c>
      <c r="I37" s="425" t="s">
        <v>37</v>
      </c>
      <c r="J37" s="425" t="s">
        <v>441</v>
      </c>
      <c r="K37" s="425" t="s">
        <v>291</v>
      </c>
      <c r="L37" s="425" t="s">
        <v>323</v>
      </c>
      <c r="M37" s="425">
        <v>4301037</v>
      </c>
      <c r="N37" s="425" t="s">
        <v>324</v>
      </c>
      <c r="O37" s="425">
        <v>430103704</v>
      </c>
      <c r="P37" s="425" t="s">
        <v>325</v>
      </c>
      <c r="Q37" s="581" t="s">
        <v>441</v>
      </c>
      <c r="R37" s="92" t="s">
        <v>41</v>
      </c>
      <c r="S37" s="612"/>
      <c r="T37" s="612"/>
      <c r="U37" s="612"/>
      <c r="V37" s="612"/>
      <c r="W37" s="425" t="s">
        <v>262</v>
      </c>
      <c r="X37" s="669"/>
      <c r="Y37" s="92" t="s">
        <v>41</v>
      </c>
      <c r="Z37" s="90" t="s">
        <v>661</v>
      </c>
      <c r="AA37" s="490">
        <v>1</v>
      </c>
      <c r="AB37" s="495"/>
      <c r="AC37" s="495"/>
      <c r="AD37" s="425" t="s">
        <v>262</v>
      </c>
      <c r="AE37" s="555" t="s">
        <v>670</v>
      </c>
      <c r="AF37" s="515"/>
      <c r="AG37" s="513"/>
      <c r="AH37" s="490">
        <v>1</v>
      </c>
      <c r="AI37" s="501"/>
      <c r="AJ37" s="501"/>
      <c r="AK37" s="425" t="s">
        <v>262</v>
      </c>
      <c r="AL37" s="479"/>
      <c r="AM37" s="663"/>
      <c r="AN37" s="664"/>
      <c r="AO37" s="490">
        <v>1</v>
      </c>
      <c r="AP37" s="550"/>
      <c r="AQ37" s="550"/>
      <c r="AR37" s="425" t="s">
        <v>262</v>
      </c>
      <c r="AS37" s="548"/>
      <c r="AT37" s="529">
        <v>18</v>
      </c>
      <c r="AU37" s="517">
        <v>18</v>
      </c>
      <c r="AV37" s="490">
        <v>1</v>
      </c>
      <c r="AW37" s="528" t="s">
        <v>856</v>
      </c>
      <c r="AX37" s="528" t="s">
        <v>856</v>
      </c>
      <c r="AY37" s="425" t="s">
        <v>262</v>
      </c>
      <c r="AZ37" s="525" t="s">
        <v>883</v>
      </c>
      <c r="BA37" s="515">
        <v>1</v>
      </c>
      <c r="BB37" s="513">
        <v>1</v>
      </c>
      <c r="BC37" s="490">
        <v>1</v>
      </c>
      <c r="BD37" s="501" t="s">
        <v>928</v>
      </c>
      <c r="BE37" s="501">
        <v>120300000</v>
      </c>
      <c r="BF37" s="425" t="s">
        <v>262</v>
      </c>
      <c r="BG37" s="615" t="s">
        <v>949</v>
      </c>
      <c r="BH37" s="637">
        <v>0.21</v>
      </c>
      <c r="BI37" s="625">
        <v>0.75</v>
      </c>
      <c r="BJ37" s="625">
        <v>1</v>
      </c>
      <c r="BK37" s="501" t="s">
        <v>535</v>
      </c>
      <c r="BL37" s="638" t="s">
        <v>536</v>
      </c>
      <c r="BM37" s="513" t="s">
        <v>262</v>
      </c>
      <c r="BN37" s="615" t="s">
        <v>537</v>
      </c>
      <c r="BO37" s="631">
        <v>0.24</v>
      </c>
      <c r="BP37" s="490">
        <v>0.75</v>
      </c>
      <c r="BQ37" s="490">
        <v>1</v>
      </c>
      <c r="BR37" s="495">
        <v>143411000</v>
      </c>
      <c r="BS37" s="495" t="s">
        <v>613</v>
      </c>
      <c r="BT37" s="425" t="s">
        <v>262</v>
      </c>
      <c r="BU37" s="614" t="s">
        <v>614</v>
      </c>
      <c r="BV37" s="445">
        <v>0.27</v>
      </c>
      <c r="BW37" s="490">
        <v>0.75</v>
      </c>
      <c r="BX37" s="490">
        <v>1</v>
      </c>
      <c r="BY37" s="495">
        <f>12894828+14057500+
1253376033+
1405500</f>
        <v>1281733861</v>
      </c>
      <c r="BZ37" s="495">
        <f>12894828+
592550000+
14057500+14057500</f>
        <v>633559828</v>
      </c>
      <c r="CA37" s="419">
        <f>BZ37/BY37</f>
        <v>0.4942990485604406</v>
      </c>
      <c r="CB37" s="452" t="s">
        <v>1009</v>
      </c>
      <c r="CC37" s="494" t="s">
        <v>1054</v>
      </c>
      <c r="CD37" s="445">
        <v>0.3</v>
      </c>
      <c r="CE37" s="578">
        <v>0.75</v>
      </c>
      <c r="CF37" s="434">
        <v>1</v>
      </c>
      <c r="CG37" s="510">
        <f>12894828+14057500+37200000+278428571+300000000+
1253376033+
1405500+830364707+350000000</f>
        <v>3077727139</v>
      </c>
      <c r="CH37" s="510">
        <f>12894828+37200000+278428571+300000000+
592550000+
14057500+14057500+130000000+350000000</f>
        <v>1729188399</v>
      </c>
      <c r="CI37" s="429">
        <f>CH37/CG37</f>
        <v>0.56183940970213475</v>
      </c>
      <c r="CJ37" s="452" t="s">
        <v>1009</v>
      </c>
      <c r="CK37" s="720" t="s">
        <v>1115</v>
      </c>
      <c r="CL37" s="425" t="s">
        <v>441</v>
      </c>
      <c r="CM37" s="414">
        <v>0.75</v>
      </c>
      <c r="CN37" s="429">
        <v>1</v>
      </c>
    </row>
    <row r="38" spans="1:92" ht="83.25" customHeight="1" x14ac:dyDescent="0.25">
      <c r="A38" s="691"/>
      <c r="B38" s="425"/>
      <c r="C38" s="690"/>
      <c r="D38" s="626"/>
      <c r="E38" s="425"/>
      <c r="F38" s="425"/>
      <c r="G38" s="425"/>
      <c r="H38" s="481"/>
      <c r="I38" s="425"/>
      <c r="J38" s="425"/>
      <c r="K38" s="425"/>
      <c r="L38" s="425"/>
      <c r="M38" s="425"/>
      <c r="N38" s="425"/>
      <c r="O38" s="425"/>
      <c r="P38" s="425"/>
      <c r="Q38" s="581"/>
      <c r="R38" s="92" t="s">
        <v>41</v>
      </c>
      <c r="S38" s="612"/>
      <c r="T38" s="612"/>
      <c r="U38" s="612"/>
      <c r="V38" s="612"/>
      <c r="W38" s="425"/>
      <c r="X38" s="669"/>
      <c r="Y38" s="92" t="s">
        <v>41</v>
      </c>
      <c r="Z38" s="90" t="s">
        <v>661</v>
      </c>
      <c r="AA38" s="490"/>
      <c r="AB38" s="495"/>
      <c r="AC38" s="502"/>
      <c r="AD38" s="425"/>
      <c r="AE38" s="555"/>
      <c r="AF38" s="515"/>
      <c r="AG38" s="513"/>
      <c r="AH38" s="490"/>
      <c r="AI38" s="501"/>
      <c r="AJ38" s="501"/>
      <c r="AK38" s="425"/>
      <c r="AL38" s="479"/>
      <c r="AM38" s="663"/>
      <c r="AN38" s="664"/>
      <c r="AO38" s="490"/>
      <c r="AP38" s="550"/>
      <c r="AQ38" s="550"/>
      <c r="AR38" s="425"/>
      <c r="AS38" s="548"/>
      <c r="AT38" s="529"/>
      <c r="AU38" s="517"/>
      <c r="AV38" s="490"/>
      <c r="AW38" s="528"/>
      <c r="AX38" s="528"/>
      <c r="AY38" s="425"/>
      <c r="AZ38" s="525"/>
      <c r="BA38" s="515"/>
      <c r="BB38" s="513"/>
      <c r="BC38" s="490"/>
      <c r="BD38" s="501"/>
      <c r="BE38" s="501"/>
      <c r="BF38" s="425"/>
      <c r="BG38" s="615"/>
      <c r="BH38" s="637"/>
      <c r="BI38" s="625"/>
      <c r="BJ38" s="625"/>
      <c r="BK38" s="501"/>
      <c r="BL38" s="638"/>
      <c r="BM38" s="513"/>
      <c r="BN38" s="615"/>
      <c r="BO38" s="631"/>
      <c r="BP38" s="490"/>
      <c r="BQ38" s="490"/>
      <c r="BR38" s="495"/>
      <c r="BS38" s="502"/>
      <c r="BT38" s="425"/>
      <c r="BU38" s="617"/>
      <c r="BV38" s="446"/>
      <c r="BW38" s="490"/>
      <c r="BX38" s="490"/>
      <c r="BY38" s="495"/>
      <c r="BZ38" s="502"/>
      <c r="CA38" s="426"/>
      <c r="CB38" s="481"/>
      <c r="CC38" s="487"/>
      <c r="CD38" s="446"/>
      <c r="CE38" s="578"/>
      <c r="CF38" s="434"/>
      <c r="CG38" s="510"/>
      <c r="CH38" s="624"/>
      <c r="CI38" s="430"/>
      <c r="CJ38" s="481"/>
      <c r="CK38" s="721"/>
      <c r="CL38" s="425"/>
      <c r="CM38" s="415"/>
      <c r="CN38" s="430"/>
    </row>
    <row r="39" spans="1:92" ht="84.75" customHeight="1" x14ac:dyDescent="0.25">
      <c r="A39" s="691"/>
      <c r="B39" s="425"/>
      <c r="C39" s="690"/>
      <c r="D39" s="626"/>
      <c r="E39" s="425"/>
      <c r="F39" s="425"/>
      <c r="G39" s="425"/>
      <c r="H39" s="453"/>
      <c r="I39" s="425"/>
      <c r="J39" s="425"/>
      <c r="K39" s="425"/>
      <c r="L39" s="425"/>
      <c r="M39" s="425"/>
      <c r="N39" s="425"/>
      <c r="O39" s="425"/>
      <c r="P39" s="425"/>
      <c r="Q39" s="581"/>
      <c r="R39" s="92" t="s">
        <v>41</v>
      </c>
      <c r="S39" s="612"/>
      <c r="T39" s="612"/>
      <c r="U39" s="612"/>
      <c r="V39" s="612"/>
      <c r="W39" s="425"/>
      <c r="X39" s="274"/>
      <c r="Y39" s="92" t="s">
        <v>41</v>
      </c>
      <c r="Z39" s="90" t="s">
        <v>661</v>
      </c>
      <c r="AA39" s="490"/>
      <c r="AB39" s="495"/>
      <c r="AC39" s="502"/>
      <c r="AD39" s="425"/>
      <c r="AE39" s="276" t="s">
        <v>670</v>
      </c>
      <c r="AF39" s="177">
        <v>12</v>
      </c>
      <c r="AG39" s="85">
        <v>12</v>
      </c>
      <c r="AH39" s="490"/>
      <c r="AI39" s="69" t="s">
        <v>707</v>
      </c>
      <c r="AJ39" s="69" t="s">
        <v>708</v>
      </c>
      <c r="AK39" s="425"/>
      <c r="AL39" s="192" t="s">
        <v>750</v>
      </c>
      <c r="AM39" s="147">
        <v>12</v>
      </c>
      <c r="AN39" s="68">
        <v>6</v>
      </c>
      <c r="AO39" s="490"/>
      <c r="AP39" s="120" t="s">
        <v>794</v>
      </c>
      <c r="AQ39" s="121">
        <v>31680000</v>
      </c>
      <c r="AR39" s="425"/>
      <c r="AS39" s="163" t="s">
        <v>829</v>
      </c>
      <c r="AT39" s="171">
        <v>12</v>
      </c>
      <c r="AU39" s="125">
        <v>12</v>
      </c>
      <c r="AV39" s="490"/>
      <c r="AW39" s="181" t="s">
        <v>856</v>
      </c>
      <c r="AX39" s="181" t="s">
        <v>856</v>
      </c>
      <c r="AY39" s="425"/>
      <c r="AZ39" s="174" t="s">
        <v>884</v>
      </c>
      <c r="BA39" s="515"/>
      <c r="BB39" s="513"/>
      <c r="BC39" s="490"/>
      <c r="BD39" s="501"/>
      <c r="BE39" s="501"/>
      <c r="BF39" s="425"/>
      <c r="BG39" s="615"/>
      <c r="BH39" s="637"/>
      <c r="BI39" s="625"/>
      <c r="BJ39" s="625"/>
      <c r="BK39" s="501"/>
      <c r="BL39" s="638"/>
      <c r="BM39" s="513"/>
      <c r="BN39" s="615"/>
      <c r="BO39" s="631"/>
      <c r="BP39" s="490"/>
      <c r="BQ39" s="490"/>
      <c r="BR39" s="495"/>
      <c r="BS39" s="502"/>
      <c r="BT39" s="425"/>
      <c r="BU39" s="617"/>
      <c r="BV39" s="446"/>
      <c r="BW39" s="490"/>
      <c r="BX39" s="490"/>
      <c r="BY39" s="495"/>
      <c r="BZ39" s="502"/>
      <c r="CA39" s="420"/>
      <c r="CB39" s="453"/>
      <c r="CC39" s="488"/>
      <c r="CD39" s="446"/>
      <c r="CE39" s="578"/>
      <c r="CF39" s="434"/>
      <c r="CG39" s="510"/>
      <c r="CH39" s="624"/>
      <c r="CI39" s="431"/>
      <c r="CJ39" s="453"/>
      <c r="CK39" s="455"/>
      <c r="CL39" s="425"/>
      <c r="CM39" s="416"/>
      <c r="CN39" s="431"/>
    </row>
    <row r="40" spans="1:92" s="2" customFormat="1" ht="104.25" customHeight="1" x14ac:dyDescent="0.25">
      <c r="A40" s="691"/>
      <c r="B40" s="425"/>
      <c r="C40" s="690"/>
      <c r="D40" s="112" t="s">
        <v>113</v>
      </c>
      <c r="E40" s="57" t="s">
        <v>114</v>
      </c>
      <c r="F40" s="57" t="s">
        <v>115</v>
      </c>
      <c r="G40" s="57" t="s">
        <v>108</v>
      </c>
      <c r="H40" s="85" t="s">
        <v>1010</v>
      </c>
      <c r="I40" s="57" t="s">
        <v>37</v>
      </c>
      <c r="J40" s="47">
        <v>12</v>
      </c>
      <c r="K40" s="47" t="s">
        <v>291</v>
      </c>
      <c r="L40" s="47" t="s">
        <v>384</v>
      </c>
      <c r="M40" s="47" t="s">
        <v>326</v>
      </c>
      <c r="N40" s="47" t="s">
        <v>442</v>
      </c>
      <c r="O40" s="47" t="s">
        <v>327</v>
      </c>
      <c r="P40" s="47" t="s">
        <v>397</v>
      </c>
      <c r="Q40" s="109">
        <v>12</v>
      </c>
      <c r="R40" s="92" t="s">
        <v>41</v>
      </c>
      <c r="S40" s="612"/>
      <c r="T40" s="612"/>
      <c r="U40" s="612"/>
      <c r="V40" s="612"/>
      <c r="W40" s="47" t="s">
        <v>263</v>
      </c>
      <c r="X40" s="297"/>
      <c r="Y40" s="92" t="s">
        <v>41</v>
      </c>
      <c r="Z40" s="90" t="s">
        <v>661</v>
      </c>
      <c r="AA40" s="256">
        <v>1</v>
      </c>
      <c r="AB40" s="270"/>
      <c r="AC40" s="270"/>
      <c r="AD40" s="47" t="s">
        <v>263</v>
      </c>
      <c r="AE40" s="298" t="s">
        <v>678</v>
      </c>
      <c r="AF40" s="314">
        <v>1</v>
      </c>
      <c r="AG40" s="292">
        <v>1</v>
      </c>
      <c r="AH40" s="256">
        <v>1</v>
      </c>
      <c r="AI40" s="69" t="s">
        <v>709</v>
      </c>
      <c r="AJ40" s="69" t="s">
        <v>710</v>
      </c>
      <c r="AK40" s="47" t="s">
        <v>263</v>
      </c>
      <c r="AL40" s="323" t="s">
        <v>751</v>
      </c>
      <c r="AM40" s="179">
        <v>0.6</v>
      </c>
      <c r="AN40" s="71">
        <v>0.7</v>
      </c>
      <c r="AO40" s="256">
        <v>1</v>
      </c>
      <c r="AP40" s="122" t="s">
        <v>795</v>
      </c>
      <c r="AQ40" s="123">
        <v>43190000</v>
      </c>
      <c r="AR40" s="47" t="s">
        <v>263</v>
      </c>
      <c r="AS40" s="180" t="s">
        <v>830</v>
      </c>
      <c r="AT40" s="315">
        <v>0.65</v>
      </c>
      <c r="AU40" s="286">
        <v>0</v>
      </c>
      <c r="AV40" s="256">
        <v>1</v>
      </c>
      <c r="AW40" s="181" t="s">
        <v>856</v>
      </c>
      <c r="AX40" s="181" t="s">
        <v>856</v>
      </c>
      <c r="AY40" s="47" t="s">
        <v>263</v>
      </c>
      <c r="AZ40" s="197" t="s">
        <v>885</v>
      </c>
      <c r="BA40" s="177">
        <v>12</v>
      </c>
      <c r="BB40" s="85">
        <v>12</v>
      </c>
      <c r="BC40" s="256">
        <v>1</v>
      </c>
      <c r="BD40" s="69" t="s">
        <v>929</v>
      </c>
      <c r="BE40" s="69" t="s">
        <v>930</v>
      </c>
      <c r="BF40" s="47" t="s">
        <v>263</v>
      </c>
      <c r="BG40" s="192" t="s">
        <v>950</v>
      </c>
      <c r="BH40" s="154">
        <v>7</v>
      </c>
      <c r="BI40" s="85">
        <v>0</v>
      </c>
      <c r="BJ40" s="14">
        <f>(BI40/BH40)*1</f>
        <v>0</v>
      </c>
      <c r="BK40" s="69"/>
      <c r="BL40" s="69"/>
      <c r="BM40" s="85" t="s">
        <v>263</v>
      </c>
      <c r="BN40" s="192" t="s">
        <v>538</v>
      </c>
      <c r="BO40" s="95">
        <v>8</v>
      </c>
      <c r="BP40" s="47">
        <v>12</v>
      </c>
      <c r="BQ40" s="256">
        <v>1</v>
      </c>
      <c r="BR40" s="270">
        <v>0</v>
      </c>
      <c r="BS40" s="270">
        <v>5770000</v>
      </c>
      <c r="BT40" s="47" t="s">
        <v>263</v>
      </c>
      <c r="BU40" s="352" t="s">
        <v>615</v>
      </c>
      <c r="BV40" s="353">
        <v>9</v>
      </c>
      <c r="BW40" s="47">
        <v>11</v>
      </c>
      <c r="BX40" s="256">
        <v>1</v>
      </c>
      <c r="BY40" s="348">
        <v>90000000</v>
      </c>
      <c r="BZ40" s="349">
        <v>28753833</v>
      </c>
      <c r="CA40" s="268">
        <v>0</v>
      </c>
      <c r="CB40" s="85" t="s">
        <v>1010</v>
      </c>
      <c r="CC40" s="354" t="s">
        <v>1055</v>
      </c>
      <c r="CD40" s="47">
        <v>12</v>
      </c>
      <c r="CE40" s="47">
        <v>11</v>
      </c>
      <c r="CF40" s="56">
        <f>CE40/CD40</f>
        <v>0.91666666666666663</v>
      </c>
      <c r="CG40" s="246">
        <f>28800000+90000000+48000000</f>
        <v>166800000</v>
      </c>
      <c r="CH40" s="241">
        <f>28753833+28800000+48000000</f>
        <v>105553833</v>
      </c>
      <c r="CI40" s="210">
        <f>CH40/CG40</f>
        <v>0.63281674460431658</v>
      </c>
      <c r="CJ40" s="85" t="s">
        <v>1010</v>
      </c>
      <c r="CK40" s="386" t="s">
        <v>1116</v>
      </c>
      <c r="CL40" s="57">
        <v>12</v>
      </c>
      <c r="CM40" s="211">
        <v>11</v>
      </c>
      <c r="CN40" s="227">
        <f>CM40/CL40</f>
        <v>0.91666666666666663</v>
      </c>
    </row>
    <row r="41" spans="1:92" s="2" customFormat="1" ht="147.75" customHeight="1" x14ac:dyDescent="0.25">
      <c r="A41" s="691"/>
      <c r="B41" s="425"/>
      <c r="C41" s="690"/>
      <c r="D41" s="112" t="s">
        <v>116</v>
      </c>
      <c r="E41" s="57" t="s">
        <v>117</v>
      </c>
      <c r="F41" s="57" t="s">
        <v>118</v>
      </c>
      <c r="G41" s="57" t="s">
        <v>108</v>
      </c>
      <c r="H41" s="85" t="s">
        <v>1010</v>
      </c>
      <c r="I41" s="57" t="s">
        <v>37</v>
      </c>
      <c r="J41" s="61">
        <v>1</v>
      </c>
      <c r="K41" s="47" t="s">
        <v>291</v>
      </c>
      <c r="L41" s="47" t="s">
        <v>328</v>
      </c>
      <c r="M41" s="47" t="s">
        <v>37</v>
      </c>
      <c r="N41" s="47" t="s">
        <v>329</v>
      </c>
      <c r="O41" s="47" t="s">
        <v>37</v>
      </c>
      <c r="P41" s="47" t="s">
        <v>330</v>
      </c>
      <c r="Q41" s="110">
        <v>1</v>
      </c>
      <c r="R41" s="92" t="s">
        <v>41</v>
      </c>
      <c r="S41" s="612"/>
      <c r="T41" s="612"/>
      <c r="U41" s="612"/>
      <c r="V41" s="612"/>
      <c r="W41" s="47" t="s">
        <v>264</v>
      </c>
      <c r="X41" s="668"/>
      <c r="Y41" s="92" t="s">
        <v>41</v>
      </c>
      <c r="Z41" s="90" t="s">
        <v>661</v>
      </c>
      <c r="AA41" s="256">
        <v>1</v>
      </c>
      <c r="AB41" s="270"/>
      <c r="AC41" s="270"/>
      <c r="AD41" s="47" t="s">
        <v>264</v>
      </c>
      <c r="AE41" s="554" t="s">
        <v>682</v>
      </c>
      <c r="AF41" s="177">
        <v>12</v>
      </c>
      <c r="AG41" s="85">
        <v>12</v>
      </c>
      <c r="AH41" s="256">
        <v>1</v>
      </c>
      <c r="AI41" s="501" t="s">
        <v>711</v>
      </c>
      <c r="AJ41" s="501" t="s">
        <v>711</v>
      </c>
      <c r="AK41" s="47" t="s">
        <v>264</v>
      </c>
      <c r="AL41" s="479" t="s">
        <v>752</v>
      </c>
      <c r="AM41" s="147">
        <v>12</v>
      </c>
      <c r="AN41" s="68">
        <v>12</v>
      </c>
      <c r="AO41" s="256">
        <v>1</v>
      </c>
      <c r="AP41" s="551">
        <v>106571580996</v>
      </c>
      <c r="AQ41" s="551">
        <v>47709283071</v>
      </c>
      <c r="AR41" s="47" t="s">
        <v>264</v>
      </c>
      <c r="AS41" s="479" t="s">
        <v>831</v>
      </c>
      <c r="AT41" s="171">
        <v>12</v>
      </c>
      <c r="AU41" s="125">
        <v>12</v>
      </c>
      <c r="AV41" s="256">
        <v>1</v>
      </c>
      <c r="AW41" s="181" t="s">
        <v>856</v>
      </c>
      <c r="AX41" s="181" t="s">
        <v>856</v>
      </c>
      <c r="AY41" s="47" t="s">
        <v>264</v>
      </c>
      <c r="AZ41" s="175" t="s">
        <v>886</v>
      </c>
      <c r="BA41" s="177">
        <v>12</v>
      </c>
      <c r="BB41" s="85">
        <v>10</v>
      </c>
      <c r="BC41" s="256">
        <v>1</v>
      </c>
      <c r="BD41" s="69"/>
      <c r="BE41" s="69"/>
      <c r="BF41" s="47" t="s">
        <v>264</v>
      </c>
      <c r="BG41" s="323" t="s">
        <v>951</v>
      </c>
      <c r="BH41" s="355">
        <v>1</v>
      </c>
      <c r="BI41" s="85">
        <v>0</v>
      </c>
      <c r="BJ41" s="14">
        <v>0</v>
      </c>
      <c r="BK41" s="69"/>
      <c r="BL41" s="69"/>
      <c r="BM41" s="85" t="s">
        <v>264</v>
      </c>
      <c r="BN41" s="323" t="s">
        <v>539</v>
      </c>
      <c r="BO41" s="95">
        <v>100</v>
      </c>
      <c r="BP41" s="47">
        <v>1</v>
      </c>
      <c r="BQ41" s="256">
        <v>1</v>
      </c>
      <c r="BR41" s="270">
        <v>13200000</v>
      </c>
      <c r="BS41" s="270" t="s">
        <v>616</v>
      </c>
      <c r="BT41" s="47" t="s">
        <v>264</v>
      </c>
      <c r="BU41" s="323" t="s">
        <v>617</v>
      </c>
      <c r="BV41" s="61">
        <v>1</v>
      </c>
      <c r="BW41" s="61">
        <v>1</v>
      </c>
      <c r="BX41" s="256">
        <v>1</v>
      </c>
      <c r="BY41" s="272">
        <v>8655000</v>
      </c>
      <c r="BZ41" s="272">
        <v>8655000</v>
      </c>
      <c r="CA41" s="256">
        <f>BZ41/BY41</f>
        <v>1</v>
      </c>
      <c r="CB41" s="85" t="s">
        <v>1010</v>
      </c>
      <c r="CC41" s="117" t="s">
        <v>1056</v>
      </c>
      <c r="CD41" s="118">
        <v>1</v>
      </c>
      <c r="CE41" s="61">
        <v>1</v>
      </c>
      <c r="CF41" s="56">
        <v>1</v>
      </c>
      <c r="CG41" s="241">
        <f>9600000+8655000</f>
        <v>18255000</v>
      </c>
      <c r="CH41" s="241">
        <f>9600000+8655000</f>
        <v>18255000</v>
      </c>
      <c r="CI41" s="56">
        <f>CH41/CG41</f>
        <v>1</v>
      </c>
      <c r="CJ41" s="85" t="s">
        <v>1010</v>
      </c>
      <c r="CK41" s="382" t="s">
        <v>1117</v>
      </c>
      <c r="CL41" s="61">
        <v>1</v>
      </c>
      <c r="CM41" s="61">
        <v>1</v>
      </c>
      <c r="CN41" s="56">
        <f>CM41/CL41</f>
        <v>1</v>
      </c>
    </row>
    <row r="42" spans="1:92" ht="123" customHeight="1" x14ac:dyDescent="0.25">
      <c r="A42" s="691"/>
      <c r="B42" s="425"/>
      <c r="C42" s="690"/>
      <c r="D42" s="626" t="s">
        <v>119</v>
      </c>
      <c r="E42" s="425" t="s">
        <v>120</v>
      </c>
      <c r="F42" s="47" t="s">
        <v>121</v>
      </c>
      <c r="G42" s="47" t="s">
        <v>122</v>
      </c>
      <c r="H42" s="85" t="s">
        <v>1011</v>
      </c>
      <c r="I42" s="47">
        <v>1</v>
      </c>
      <c r="J42" s="47">
        <v>12</v>
      </c>
      <c r="K42" s="425" t="s">
        <v>291</v>
      </c>
      <c r="L42" s="672" t="s">
        <v>331</v>
      </c>
      <c r="M42" s="425">
        <v>1203002</v>
      </c>
      <c r="N42" s="425" t="s">
        <v>332</v>
      </c>
      <c r="O42" s="425">
        <v>120300200</v>
      </c>
      <c r="P42" s="425" t="s">
        <v>333</v>
      </c>
      <c r="Q42" s="109">
        <v>12</v>
      </c>
      <c r="R42" s="92" t="s">
        <v>41</v>
      </c>
      <c r="S42" s="612"/>
      <c r="T42" s="612"/>
      <c r="U42" s="612"/>
      <c r="V42" s="612"/>
      <c r="W42" s="425" t="s">
        <v>265</v>
      </c>
      <c r="X42" s="668"/>
      <c r="Y42" s="92" t="s">
        <v>41</v>
      </c>
      <c r="Z42" s="90" t="s">
        <v>662</v>
      </c>
      <c r="AA42" s="256" t="e">
        <f>Z42/Y42</f>
        <v>#VALUE!</v>
      </c>
      <c r="AB42" s="270"/>
      <c r="AC42" s="270"/>
      <c r="AD42" s="425" t="s">
        <v>265</v>
      </c>
      <c r="AE42" s="554"/>
      <c r="AF42" s="177">
        <v>1</v>
      </c>
      <c r="AG42" s="85">
        <v>1</v>
      </c>
      <c r="AH42" s="256">
        <f>AG42/AF42</f>
        <v>1</v>
      </c>
      <c r="AI42" s="501"/>
      <c r="AJ42" s="501"/>
      <c r="AK42" s="425" t="s">
        <v>265</v>
      </c>
      <c r="AL42" s="479"/>
      <c r="AM42" s="147">
        <v>1</v>
      </c>
      <c r="AN42" s="68">
        <v>1</v>
      </c>
      <c r="AO42" s="256">
        <f>AN42/AM42</f>
        <v>1</v>
      </c>
      <c r="AP42" s="446"/>
      <c r="AQ42" s="446"/>
      <c r="AR42" s="425" t="s">
        <v>265</v>
      </c>
      <c r="AS42" s="479"/>
      <c r="AT42" s="171">
        <v>1</v>
      </c>
      <c r="AU42" s="125">
        <v>1</v>
      </c>
      <c r="AV42" s="256">
        <f>AU42/AT42</f>
        <v>1</v>
      </c>
      <c r="AW42" s="181" t="s">
        <v>856</v>
      </c>
      <c r="AX42" s="181" t="s">
        <v>856</v>
      </c>
      <c r="AY42" s="425" t="s">
        <v>265</v>
      </c>
      <c r="AZ42" s="356" t="s">
        <v>887</v>
      </c>
      <c r="BA42" s="177">
        <v>1</v>
      </c>
      <c r="BB42" s="85">
        <v>1</v>
      </c>
      <c r="BC42" s="256">
        <f>BB42/BA42</f>
        <v>1</v>
      </c>
      <c r="BD42" s="501"/>
      <c r="BE42" s="501"/>
      <c r="BF42" s="425" t="s">
        <v>265</v>
      </c>
      <c r="BG42" s="479" t="s">
        <v>1033</v>
      </c>
      <c r="BH42" s="154">
        <v>12</v>
      </c>
      <c r="BI42" s="85">
        <v>10</v>
      </c>
      <c r="BJ42" s="14">
        <f>BI42/BH42</f>
        <v>0.83333333333333337</v>
      </c>
      <c r="BK42" s="69">
        <v>14200000</v>
      </c>
      <c r="BL42" s="69">
        <v>14200000</v>
      </c>
      <c r="BM42" s="513" t="s">
        <v>265</v>
      </c>
      <c r="BN42" s="277" t="s">
        <v>540</v>
      </c>
      <c r="BO42" s="95">
        <v>12</v>
      </c>
      <c r="BP42" s="47">
        <v>12</v>
      </c>
      <c r="BQ42" s="256">
        <f>BP42/BO42</f>
        <v>1</v>
      </c>
      <c r="BR42" s="270">
        <v>14200000</v>
      </c>
      <c r="BS42" s="270" t="s">
        <v>987</v>
      </c>
      <c r="BT42" s="425" t="s">
        <v>265</v>
      </c>
      <c r="BU42" s="280" t="s">
        <v>988</v>
      </c>
      <c r="BV42" s="234">
        <v>12</v>
      </c>
      <c r="BW42" s="265">
        <v>12</v>
      </c>
      <c r="BX42" s="256">
        <f>BW42/BV42</f>
        <v>1</v>
      </c>
      <c r="BY42" s="272">
        <v>0</v>
      </c>
      <c r="BZ42" s="272">
        <v>0</v>
      </c>
      <c r="CA42" s="256">
        <f>BY42/BX42</f>
        <v>0</v>
      </c>
      <c r="CB42" s="85" t="s">
        <v>1011</v>
      </c>
      <c r="CC42" s="200" t="s">
        <v>1057</v>
      </c>
      <c r="CD42" s="234">
        <v>12</v>
      </c>
      <c r="CE42" s="235">
        <v>12</v>
      </c>
      <c r="CF42" s="259">
        <f>CE42/CD42</f>
        <v>1</v>
      </c>
      <c r="CG42" s="241">
        <f>6000000+9000000+9000000</f>
        <v>24000000</v>
      </c>
      <c r="CH42" s="241">
        <f>9000000+9000000+7500000</f>
        <v>25500000</v>
      </c>
      <c r="CI42" s="54">
        <f>CG42/CH42</f>
        <v>0.94117647058823528</v>
      </c>
      <c r="CJ42" s="85" t="s">
        <v>1011</v>
      </c>
      <c r="CK42" s="380" t="s">
        <v>1118</v>
      </c>
      <c r="CL42" s="47">
        <v>12</v>
      </c>
      <c r="CM42" s="57">
        <v>12</v>
      </c>
      <c r="CN42" s="60">
        <f>CM42/CL42</f>
        <v>1</v>
      </c>
    </row>
    <row r="43" spans="1:92" ht="131.25" customHeight="1" x14ac:dyDescent="0.25">
      <c r="A43" s="691"/>
      <c r="B43" s="425"/>
      <c r="C43" s="690"/>
      <c r="D43" s="626"/>
      <c r="E43" s="425"/>
      <c r="F43" s="57" t="s">
        <v>123</v>
      </c>
      <c r="G43" s="57" t="s">
        <v>124</v>
      </c>
      <c r="H43" s="85" t="s">
        <v>1012</v>
      </c>
      <c r="I43" s="47" t="s">
        <v>125</v>
      </c>
      <c r="J43" s="47" t="s">
        <v>126</v>
      </c>
      <c r="K43" s="425"/>
      <c r="L43" s="672"/>
      <c r="M43" s="425"/>
      <c r="N43" s="425"/>
      <c r="O43" s="425"/>
      <c r="P43" s="425"/>
      <c r="Q43" s="109" t="s">
        <v>126</v>
      </c>
      <c r="R43" s="92" t="s">
        <v>41</v>
      </c>
      <c r="S43" s="612"/>
      <c r="T43" s="612"/>
      <c r="U43" s="612"/>
      <c r="V43" s="612"/>
      <c r="W43" s="425"/>
      <c r="X43" s="274"/>
      <c r="Y43" s="92" t="s">
        <v>41</v>
      </c>
      <c r="Z43" s="90" t="s">
        <v>37</v>
      </c>
      <c r="AA43" s="256">
        <v>1</v>
      </c>
      <c r="AB43" s="270"/>
      <c r="AC43" s="270"/>
      <c r="AD43" s="425"/>
      <c r="AE43" s="276" t="s">
        <v>683</v>
      </c>
      <c r="AF43" s="515">
        <v>1</v>
      </c>
      <c r="AG43" s="513">
        <v>1</v>
      </c>
      <c r="AH43" s="256">
        <v>1</v>
      </c>
      <c r="AI43" s="501"/>
      <c r="AJ43" s="501"/>
      <c r="AK43" s="425"/>
      <c r="AL43" s="479"/>
      <c r="AM43" s="515" t="s">
        <v>693</v>
      </c>
      <c r="AN43" s="513" t="s">
        <v>693</v>
      </c>
      <c r="AO43" s="256">
        <v>1</v>
      </c>
      <c r="AP43" s="501" t="s">
        <v>796</v>
      </c>
      <c r="AQ43" s="501" t="s">
        <v>700</v>
      </c>
      <c r="AR43" s="425"/>
      <c r="AS43" s="479" t="s">
        <v>832</v>
      </c>
      <c r="AT43" s="543">
        <v>1</v>
      </c>
      <c r="AU43" s="517">
        <v>1</v>
      </c>
      <c r="AV43" s="256">
        <v>1</v>
      </c>
      <c r="AW43" s="528" t="s">
        <v>857</v>
      </c>
      <c r="AX43" s="528" t="s">
        <v>858</v>
      </c>
      <c r="AY43" s="425"/>
      <c r="AZ43" s="521" t="s">
        <v>888</v>
      </c>
      <c r="BA43" s="177">
        <v>332</v>
      </c>
      <c r="BB43" s="85">
        <v>200</v>
      </c>
      <c r="BC43" s="256">
        <v>1</v>
      </c>
      <c r="BD43" s="501"/>
      <c r="BE43" s="501"/>
      <c r="BF43" s="425"/>
      <c r="BG43" s="479"/>
      <c r="BH43" s="177">
        <v>234.42</v>
      </c>
      <c r="BI43" s="85">
        <v>306.45999999999998</v>
      </c>
      <c r="BJ43" s="14">
        <v>1</v>
      </c>
      <c r="BK43" s="69">
        <v>97928400</v>
      </c>
      <c r="BL43" s="69">
        <v>27393333</v>
      </c>
      <c r="BM43" s="513"/>
      <c r="BN43" s="277" t="s">
        <v>541</v>
      </c>
      <c r="BO43" s="111">
        <v>234.42</v>
      </c>
      <c r="BP43" s="47">
        <v>306.45999999999998</v>
      </c>
      <c r="BQ43" s="256">
        <v>1</v>
      </c>
      <c r="BR43" s="270">
        <v>97928400</v>
      </c>
      <c r="BS43" s="270" t="s">
        <v>990</v>
      </c>
      <c r="BT43" s="425"/>
      <c r="BU43" s="280" t="s">
        <v>989</v>
      </c>
      <c r="BV43" s="85">
        <v>234.42</v>
      </c>
      <c r="BW43" s="47">
        <v>682</v>
      </c>
      <c r="BX43" s="256">
        <v>0</v>
      </c>
      <c r="BY43" s="270">
        <f>17310000+11170350+
768000+7770000</f>
        <v>37018350</v>
      </c>
      <c r="BZ43" s="270">
        <f>17310000+22340700+384000+7770000</f>
        <v>47804700</v>
      </c>
      <c r="CA43" s="268">
        <v>1</v>
      </c>
      <c r="CB43" s="85" t="s">
        <v>1012</v>
      </c>
      <c r="CC43" s="200" t="s">
        <v>1058</v>
      </c>
      <c r="CD43" s="85" t="s">
        <v>983</v>
      </c>
      <c r="CE43" s="57">
        <v>682</v>
      </c>
      <c r="CF43" s="186">
        <v>0</v>
      </c>
      <c r="CG43" s="55">
        <f>23454000+4000000+17310000+22340700+384000+7770000+9775000+41044500</f>
        <v>126078200</v>
      </c>
      <c r="CH43" s="55">
        <f>23454000+4000000+17310000+22340700+384000+7770000+9775000+41044500</f>
        <v>126078200</v>
      </c>
      <c r="CI43" s="230">
        <f>CH43/CG43</f>
        <v>1</v>
      </c>
      <c r="CJ43" s="85" t="s">
        <v>1012</v>
      </c>
      <c r="CK43" s="380" t="s">
        <v>1147</v>
      </c>
      <c r="CL43" s="85" t="s">
        <v>126</v>
      </c>
      <c r="CM43" s="260">
        <v>682</v>
      </c>
      <c r="CN43" s="258">
        <v>1</v>
      </c>
    </row>
    <row r="44" spans="1:92" ht="45" customHeight="1" x14ac:dyDescent="0.25">
      <c r="A44" s="691"/>
      <c r="B44" s="425"/>
      <c r="C44" s="690"/>
      <c r="D44" s="626" t="s">
        <v>127</v>
      </c>
      <c r="E44" s="425" t="s">
        <v>128</v>
      </c>
      <c r="F44" s="425" t="s">
        <v>129</v>
      </c>
      <c r="G44" s="425" t="s">
        <v>124</v>
      </c>
      <c r="H44" s="452" t="s">
        <v>1012</v>
      </c>
      <c r="I44" s="425" t="s">
        <v>130</v>
      </c>
      <c r="J44" s="425" t="s">
        <v>126</v>
      </c>
      <c r="K44" s="425" t="s">
        <v>291</v>
      </c>
      <c r="L44" s="672" t="s">
        <v>331</v>
      </c>
      <c r="M44" s="425">
        <v>1203002</v>
      </c>
      <c r="N44" s="425" t="s">
        <v>332</v>
      </c>
      <c r="O44" s="425">
        <v>120300200</v>
      </c>
      <c r="P44" s="425" t="s">
        <v>333</v>
      </c>
      <c r="Q44" s="581" t="s">
        <v>126</v>
      </c>
      <c r="R44" s="92" t="s">
        <v>41</v>
      </c>
      <c r="S44" s="612"/>
      <c r="T44" s="612"/>
      <c r="U44" s="612"/>
      <c r="V44" s="612"/>
      <c r="W44" s="425"/>
      <c r="X44" s="668"/>
      <c r="Y44" s="92" t="s">
        <v>41</v>
      </c>
      <c r="Z44" s="90" t="s">
        <v>37</v>
      </c>
      <c r="AA44" s="490">
        <v>0.76700000000000002</v>
      </c>
      <c r="AB44" s="495"/>
      <c r="AC44" s="495"/>
      <c r="AD44" s="425"/>
      <c r="AE44" s="554" t="s">
        <v>679</v>
      </c>
      <c r="AF44" s="515"/>
      <c r="AG44" s="513"/>
      <c r="AH44" s="490">
        <v>0.76700000000000002</v>
      </c>
      <c r="AI44" s="501"/>
      <c r="AJ44" s="501"/>
      <c r="AK44" s="425"/>
      <c r="AL44" s="479"/>
      <c r="AM44" s="515"/>
      <c r="AN44" s="513"/>
      <c r="AO44" s="490">
        <v>0.76700000000000002</v>
      </c>
      <c r="AP44" s="501"/>
      <c r="AQ44" s="501"/>
      <c r="AR44" s="425"/>
      <c r="AS44" s="479"/>
      <c r="AT44" s="543"/>
      <c r="AU44" s="517"/>
      <c r="AV44" s="490">
        <v>0.76700000000000002</v>
      </c>
      <c r="AW44" s="528"/>
      <c r="AX44" s="528"/>
      <c r="AY44" s="425"/>
      <c r="AZ44" s="521"/>
      <c r="BA44" s="515">
        <v>1</v>
      </c>
      <c r="BB44" s="513">
        <v>1</v>
      </c>
      <c r="BC44" s="490">
        <v>0.76700000000000002</v>
      </c>
      <c r="BD44" s="501"/>
      <c r="BE44" s="501"/>
      <c r="BF44" s="425"/>
      <c r="BG44" s="479"/>
      <c r="BH44" s="500" t="s">
        <v>418</v>
      </c>
      <c r="BI44" s="634">
        <v>0.31940000000000002</v>
      </c>
      <c r="BJ44" s="625">
        <v>0</v>
      </c>
      <c r="BK44" s="501">
        <v>15000000</v>
      </c>
      <c r="BL44" s="501">
        <v>3620000</v>
      </c>
      <c r="BM44" s="513"/>
      <c r="BN44" s="615" t="s">
        <v>542</v>
      </c>
      <c r="BO44" s="635" t="s">
        <v>418</v>
      </c>
      <c r="BP44" s="636">
        <v>0.31940000000000002</v>
      </c>
      <c r="BQ44" s="490">
        <v>0.76700000000000002</v>
      </c>
      <c r="BR44" s="495">
        <v>15000000</v>
      </c>
      <c r="BS44" s="495" t="s">
        <v>618</v>
      </c>
      <c r="BT44" s="425"/>
      <c r="BU44" s="617" t="s">
        <v>619</v>
      </c>
      <c r="BV44" s="581" t="s">
        <v>126</v>
      </c>
      <c r="BW44" s="582">
        <v>56.78</v>
      </c>
      <c r="BX44" s="490">
        <v>0.76700000000000002</v>
      </c>
      <c r="BY44" s="583">
        <v>157000000</v>
      </c>
      <c r="BZ44" s="483">
        <v>0</v>
      </c>
      <c r="CA44" s="419">
        <f>BZ44/BY44</f>
        <v>0</v>
      </c>
      <c r="CB44" s="452" t="s">
        <v>1012</v>
      </c>
      <c r="CC44" s="486" t="s">
        <v>1083</v>
      </c>
      <c r="CD44" s="452" t="s">
        <v>983</v>
      </c>
      <c r="CE44" s="636">
        <v>0.56779999999999997</v>
      </c>
      <c r="CF44" s="722">
        <v>0.76700000000000002</v>
      </c>
      <c r="CG44" s="723">
        <f>157000000+1020000</f>
        <v>158020000</v>
      </c>
      <c r="CH44" s="456">
        <v>10200000</v>
      </c>
      <c r="CI44" s="432">
        <f>CH44/CG44</f>
        <v>6.4548791292241489E-2</v>
      </c>
      <c r="CJ44" s="452" t="s">
        <v>1012</v>
      </c>
      <c r="CK44" s="454" t="s">
        <v>1119</v>
      </c>
      <c r="CL44" s="425" t="s">
        <v>126</v>
      </c>
      <c r="CM44" s="417">
        <v>0.31940000000000002</v>
      </c>
      <c r="CN44" s="432">
        <v>0</v>
      </c>
    </row>
    <row r="45" spans="1:92" ht="97.5" customHeight="1" x14ac:dyDescent="0.25">
      <c r="A45" s="691"/>
      <c r="B45" s="425"/>
      <c r="C45" s="690"/>
      <c r="D45" s="626"/>
      <c r="E45" s="425"/>
      <c r="F45" s="425"/>
      <c r="G45" s="425"/>
      <c r="H45" s="453"/>
      <c r="I45" s="425"/>
      <c r="J45" s="425"/>
      <c r="K45" s="425"/>
      <c r="L45" s="672"/>
      <c r="M45" s="425"/>
      <c r="N45" s="425"/>
      <c r="O45" s="425"/>
      <c r="P45" s="425"/>
      <c r="Q45" s="581"/>
      <c r="R45" s="92" t="s">
        <v>41</v>
      </c>
      <c r="S45" s="612"/>
      <c r="T45" s="612"/>
      <c r="U45" s="612"/>
      <c r="V45" s="612"/>
      <c r="W45" s="425"/>
      <c r="X45" s="668"/>
      <c r="Y45" s="92" t="s">
        <v>41</v>
      </c>
      <c r="Z45" s="90" t="s">
        <v>37</v>
      </c>
      <c r="AA45" s="490"/>
      <c r="AB45" s="495"/>
      <c r="AC45" s="495"/>
      <c r="AD45" s="425"/>
      <c r="AE45" s="554"/>
      <c r="AF45" s="515">
        <v>1</v>
      </c>
      <c r="AG45" s="513">
        <v>1</v>
      </c>
      <c r="AH45" s="490"/>
      <c r="AI45" s="501" t="s">
        <v>712</v>
      </c>
      <c r="AJ45" s="501" t="s">
        <v>713</v>
      </c>
      <c r="AK45" s="425"/>
      <c r="AL45" s="479" t="s">
        <v>753</v>
      </c>
      <c r="AM45" s="613">
        <v>1</v>
      </c>
      <c r="AN45" s="446">
        <v>1</v>
      </c>
      <c r="AO45" s="490"/>
      <c r="AP45" s="550">
        <v>20600000</v>
      </c>
      <c r="AQ45" s="550" t="s">
        <v>700</v>
      </c>
      <c r="AR45" s="425"/>
      <c r="AS45" s="479" t="s">
        <v>833</v>
      </c>
      <c r="AT45" s="543">
        <v>1</v>
      </c>
      <c r="AU45" s="517">
        <v>1</v>
      </c>
      <c r="AV45" s="490"/>
      <c r="AW45" s="527" t="s">
        <v>856</v>
      </c>
      <c r="AX45" s="527" t="s">
        <v>856</v>
      </c>
      <c r="AY45" s="425"/>
      <c r="AZ45" s="521" t="s">
        <v>889</v>
      </c>
      <c r="BA45" s="515"/>
      <c r="BB45" s="513"/>
      <c r="BC45" s="490"/>
      <c r="BD45" s="501"/>
      <c r="BE45" s="501"/>
      <c r="BF45" s="425"/>
      <c r="BG45" s="479"/>
      <c r="BH45" s="500"/>
      <c r="BI45" s="634"/>
      <c r="BJ45" s="625"/>
      <c r="BK45" s="501"/>
      <c r="BL45" s="501"/>
      <c r="BM45" s="513"/>
      <c r="BN45" s="615"/>
      <c r="BO45" s="635"/>
      <c r="BP45" s="636"/>
      <c r="BQ45" s="490"/>
      <c r="BR45" s="495"/>
      <c r="BS45" s="495"/>
      <c r="BT45" s="425"/>
      <c r="BU45" s="617"/>
      <c r="BV45" s="581"/>
      <c r="BW45" s="582"/>
      <c r="BX45" s="490"/>
      <c r="BY45" s="584"/>
      <c r="BZ45" s="485"/>
      <c r="CA45" s="420"/>
      <c r="CB45" s="453"/>
      <c r="CC45" s="488"/>
      <c r="CD45" s="453"/>
      <c r="CE45" s="636"/>
      <c r="CF45" s="722"/>
      <c r="CG45" s="724"/>
      <c r="CH45" s="457"/>
      <c r="CI45" s="433"/>
      <c r="CJ45" s="453"/>
      <c r="CK45" s="455"/>
      <c r="CL45" s="425"/>
      <c r="CM45" s="418"/>
      <c r="CN45" s="433"/>
    </row>
    <row r="46" spans="1:92" ht="51" customHeight="1" x14ac:dyDescent="0.25">
      <c r="A46" s="691"/>
      <c r="B46" s="425"/>
      <c r="C46" s="690"/>
      <c r="D46" s="626" t="s">
        <v>131</v>
      </c>
      <c r="E46" s="425" t="s">
        <v>132</v>
      </c>
      <c r="F46" s="425" t="s">
        <v>133</v>
      </c>
      <c r="G46" s="425" t="s">
        <v>124</v>
      </c>
      <c r="H46" s="452" t="s">
        <v>1013</v>
      </c>
      <c r="I46" s="425" t="s">
        <v>134</v>
      </c>
      <c r="J46" s="425" t="s">
        <v>126</v>
      </c>
      <c r="K46" s="425" t="s">
        <v>334</v>
      </c>
      <c r="L46" s="425" t="s">
        <v>335</v>
      </c>
      <c r="M46" s="425" t="s">
        <v>37</v>
      </c>
      <c r="N46" s="425" t="s">
        <v>336</v>
      </c>
      <c r="O46" s="425" t="s">
        <v>37</v>
      </c>
      <c r="P46" s="425" t="s">
        <v>337</v>
      </c>
      <c r="Q46" s="581" t="s">
        <v>126</v>
      </c>
      <c r="R46" s="92" t="s">
        <v>41</v>
      </c>
      <c r="S46" s="612"/>
      <c r="T46" s="612"/>
      <c r="U46" s="612"/>
      <c r="V46" s="612"/>
      <c r="W46" s="425" t="s">
        <v>266</v>
      </c>
      <c r="X46" s="668"/>
      <c r="Y46" s="92" t="s">
        <v>41</v>
      </c>
      <c r="Z46" s="90" t="s">
        <v>37</v>
      </c>
      <c r="AA46" s="490">
        <v>0.74860000000000004</v>
      </c>
      <c r="AB46" s="495"/>
      <c r="AC46" s="495"/>
      <c r="AD46" s="425" t="s">
        <v>266</v>
      </c>
      <c r="AE46" s="554"/>
      <c r="AF46" s="515"/>
      <c r="AG46" s="513"/>
      <c r="AH46" s="490">
        <v>0.74860000000000004</v>
      </c>
      <c r="AI46" s="501"/>
      <c r="AJ46" s="501"/>
      <c r="AK46" s="425" t="s">
        <v>266</v>
      </c>
      <c r="AL46" s="479"/>
      <c r="AM46" s="613"/>
      <c r="AN46" s="446"/>
      <c r="AO46" s="490">
        <v>0.74860000000000004</v>
      </c>
      <c r="AP46" s="550"/>
      <c r="AQ46" s="550"/>
      <c r="AR46" s="425" t="s">
        <v>266</v>
      </c>
      <c r="AS46" s="479"/>
      <c r="AT46" s="543"/>
      <c r="AU46" s="517"/>
      <c r="AV46" s="490">
        <v>0.74860000000000004</v>
      </c>
      <c r="AW46" s="527"/>
      <c r="AX46" s="527"/>
      <c r="AY46" s="425" t="s">
        <v>266</v>
      </c>
      <c r="AZ46" s="521"/>
      <c r="BA46" s="515">
        <v>933</v>
      </c>
      <c r="BB46" s="513">
        <v>558</v>
      </c>
      <c r="BC46" s="490">
        <v>0.74860000000000004</v>
      </c>
      <c r="BD46" s="501">
        <v>430000000</v>
      </c>
      <c r="BE46" s="501">
        <v>260170284</v>
      </c>
      <c r="BF46" s="425" t="s">
        <v>266</v>
      </c>
      <c r="BG46" s="479" t="s">
        <v>952</v>
      </c>
      <c r="BH46" s="556" t="s">
        <v>417</v>
      </c>
      <c r="BI46" s="544">
        <v>0.1862</v>
      </c>
      <c r="BJ46" s="625">
        <v>0</v>
      </c>
      <c r="BK46" s="501"/>
      <c r="BL46" s="501"/>
      <c r="BM46" s="513" t="s">
        <v>266</v>
      </c>
      <c r="BN46" s="633" t="s">
        <v>543</v>
      </c>
      <c r="BO46" s="616" t="s">
        <v>417</v>
      </c>
      <c r="BP46" s="489">
        <v>0.1862</v>
      </c>
      <c r="BQ46" s="490">
        <v>0.74860000000000004</v>
      </c>
      <c r="BR46" s="495"/>
      <c r="BS46" s="495">
        <v>21000000</v>
      </c>
      <c r="BT46" s="425" t="s">
        <v>266</v>
      </c>
      <c r="BU46" s="632" t="s">
        <v>620</v>
      </c>
      <c r="BV46" s="452" t="s">
        <v>983</v>
      </c>
      <c r="BW46" s="566">
        <v>131</v>
      </c>
      <c r="BX46" s="490">
        <v>0.74860000000000004</v>
      </c>
      <c r="BY46" s="495">
        <f>49862300+85288200+85288200+10000000</f>
        <v>230438700</v>
      </c>
      <c r="BZ46" s="496">
        <f>85288200+85288200+10000000</f>
        <v>180576400</v>
      </c>
      <c r="CA46" s="419">
        <f>BZ46/BY46</f>
        <v>0.78362011242035301</v>
      </c>
      <c r="CB46" s="452" t="s">
        <v>1013</v>
      </c>
      <c r="CC46" s="439" t="s">
        <v>1059</v>
      </c>
      <c r="CD46" s="452" t="s">
        <v>983</v>
      </c>
      <c r="CE46" s="566">
        <v>131</v>
      </c>
      <c r="CF46" s="722">
        <v>0.74860000000000004</v>
      </c>
      <c r="CG46" s="510">
        <f>49862300+85288200+85288200+10000000+26250000+3000000</f>
        <v>259688700</v>
      </c>
      <c r="CH46" s="712">
        <f>85288200+85288200+10000000+12250000+3000000</f>
        <v>195826400</v>
      </c>
      <c r="CI46" s="432">
        <f>CH46/CG46</f>
        <v>0.7540813289141961</v>
      </c>
      <c r="CJ46" s="452" t="s">
        <v>1013</v>
      </c>
      <c r="CK46" s="454" t="s">
        <v>1120</v>
      </c>
      <c r="CL46" s="425" t="s">
        <v>126</v>
      </c>
      <c r="CM46" s="421">
        <v>0.1862</v>
      </c>
      <c r="CN46" s="432">
        <v>0</v>
      </c>
    </row>
    <row r="47" spans="1:92" ht="92.25" customHeight="1" x14ac:dyDescent="0.25">
      <c r="A47" s="691"/>
      <c r="B47" s="425"/>
      <c r="C47" s="690"/>
      <c r="D47" s="626"/>
      <c r="E47" s="425"/>
      <c r="F47" s="425"/>
      <c r="G47" s="425"/>
      <c r="H47" s="453"/>
      <c r="I47" s="425"/>
      <c r="J47" s="425"/>
      <c r="K47" s="425"/>
      <c r="L47" s="425"/>
      <c r="M47" s="425"/>
      <c r="N47" s="425"/>
      <c r="O47" s="425"/>
      <c r="P47" s="425"/>
      <c r="Q47" s="581"/>
      <c r="R47" s="92" t="s">
        <v>41</v>
      </c>
      <c r="S47" s="612"/>
      <c r="T47" s="612"/>
      <c r="U47" s="612"/>
      <c r="V47" s="612"/>
      <c r="W47" s="425"/>
      <c r="X47" s="668"/>
      <c r="Y47" s="92" t="s">
        <v>41</v>
      </c>
      <c r="Z47" s="90" t="s">
        <v>37</v>
      </c>
      <c r="AA47" s="490"/>
      <c r="AB47" s="495"/>
      <c r="AC47" s="495"/>
      <c r="AD47" s="425"/>
      <c r="AE47" s="554"/>
      <c r="AF47" s="177">
        <v>1</v>
      </c>
      <c r="AG47" s="85">
        <v>1</v>
      </c>
      <c r="AH47" s="490"/>
      <c r="AI47" s="69" t="s">
        <v>709</v>
      </c>
      <c r="AJ47" s="69" t="s">
        <v>710</v>
      </c>
      <c r="AK47" s="425"/>
      <c r="AL47" s="163" t="s">
        <v>754</v>
      </c>
      <c r="AM47" s="147">
        <v>1</v>
      </c>
      <c r="AN47" s="68">
        <v>1</v>
      </c>
      <c r="AO47" s="490"/>
      <c r="AP47" s="122" t="s">
        <v>795</v>
      </c>
      <c r="AQ47" s="123">
        <v>43190000</v>
      </c>
      <c r="AR47" s="425"/>
      <c r="AS47" s="180" t="s">
        <v>830</v>
      </c>
      <c r="AT47" s="171">
        <v>1</v>
      </c>
      <c r="AU47" s="125">
        <v>1</v>
      </c>
      <c r="AV47" s="490"/>
      <c r="AW47" s="181" t="s">
        <v>856</v>
      </c>
      <c r="AX47" s="181" t="s">
        <v>856</v>
      </c>
      <c r="AY47" s="425"/>
      <c r="AZ47" s="197" t="s">
        <v>890</v>
      </c>
      <c r="BA47" s="515"/>
      <c r="BB47" s="513"/>
      <c r="BC47" s="490"/>
      <c r="BD47" s="501"/>
      <c r="BE47" s="501"/>
      <c r="BF47" s="425"/>
      <c r="BG47" s="479"/>
      <c r="BH47" s="515"/>
      <c r="BI47" s="544"/>
      <c r="BJ47" s="625"/>
      <c r="BK47" s="501"/>
      <c r="BL47" s="501"/>
      <c r="BM47" s="513"/>
      <c r="BN47" s="633"/>
      <c r="BO47" s="626"/>
      <c r="BP47" s="489"/>
      <c r="BQ47" s="490"/>
      <c r="BR47" s="495"/>
      <c r="BS47" s="495"/>
      <c r="BT47" s="425"/>
      <c r="BU47" s="632"/>
      <c r="BV47" s="453"/>
      <c r="BW47" s="566"/>
      <c r="BX47" s="490"/>
      <c r="BY47" s="495"/>
      <c r="BZ47" s="496"/>
      <c r="CA47" s="420"/>
      <c r="CB47" s="453"/>
      <c r="CC47" s="440"/>
      <c r="CD47" s="453"/>
      <c r="CE47" s="566"/>
      <c r="CF47" s="722"/>
      <c r="CG47" s="510"/>
      <c r="CH47" s="712"/>
      <c r="CI47" s="433"/>
      <c r="CJ47" s="453"/>
      <c r="CK47" s="455"/>
      <c r="CL47" s="425"/>
      <c r="CM47" s="422"/>
      <c r="CN47" s="433"/>
    </row>
    <row r="48" spans="1:92" ht="348.75" customHeight="1" x14ac:dyDescent="0.25">
      <c r="A48" s="691"/>
      <c r="B48" s="425"/>
      <c r="C48" s="690"/>
      <c r="D48" s="111" t="s">
        <v>135</v>
      </c>
      <c r="E48" s="47" t="s">
        <v>136</v>
      </c>
      <c r="F48" s="47" t="s">
        <v>137</v>
      </c>
      <c r="G48" s="47" t="s">
        <v>124</v>
      </c>
      <c r="H48" s="85" t="s">
        <v>1014</v>
      </c>
      <c r="I48" s="47" t="s">
        <v>138</v>
      </c>
      <c r="J48" s="47" t="s">
        <v>126</v>
      </c>
      <c r="K48" s="47" t="s">
        <v>291</v>
      </c>
      <c r="L48" s="47" t="s">
        <v>328</v>
      </c>
      <c r="M48" s="47" t="s">
        <v>37</v>
      </c>
      <c r="N48" s="47" t="s">
        <v>329</v>
      </c>
      <c r="O48" s="47" t="s">
        <v>37</v>
      </c>
      <c r="P48" s="47" t="s">
        <v>330</v>
      </c>
      <c r="Q48" s="109" t="s">
        <v>126</v>
      </c>
      <c r="R48" s="92" t="s">
        <v>41</v>
      </c>
      <c r="S48" s="612"/>
      <c r="T48" s="612"/>
      <c r="U48" s="612"/>
      <c r="V48" s="612"/>
      <c r="W48" s="47" t="s">
        <v>264</v>
      </c>
      <c r="X48" s="668"/>
      <c r="Y48" s="92" t="s">
        <v>41</v>
      </c>
      <c r="Z48" s="90" t="s">
        <v>37</v>
      </c>
      <c r="AA48" s="256">
        <v>0.71279999999999999</v>
      </c>
      <c r="AB48" s="270"/>
      <c r="AC48" s="270"/>
      <c r="AD48" s="47" t="s">
        <v>264</v>
      </c>
      <c r="AE48" s="554"/>
      <c r="AF48" s="177">
        <v>1</v>
      </c>
      <c r="AG48" s="292" t="s">
        <v>37</v>
      </c>
      <c r="AH48" s="256">
        <v>0.71279999999999999</v>
      </c>
      <c r="AI48" s="501" t="s">
        <v>714</v>
      </c>
      <c r="AJ48" s="501" t="s">
        <v>715</v>
      </c>
      <c r="AK48" s="47" t="s">
        <v>264</v>
      </c>
      <c r="AL48" s="539" t="s">
        <v>755</v>
      </c>
      <c r="AM48" s="147">
        <v>1</v>
      </c>
      <c r="AN48" s="68">
        <v>1</v>
      </c>
      <c r="AO48" s="256">
        <v>0.71279999999999999</v>
      </c>
      <c r="AP48" s="550" t="s">
        <v>797</v>
      </c>
      <c r="AQ48" s="550" t="s">
        <v>798</v>
      </c>
      <c r="AR48" s="47" t="s">
        <v>264</v>
      </c>
      <c r="AS48" s="479" t="s">
        <v>834</v>
      </c>
      <c r="AT48" s="171">
        <v>1</v>
      </c>
      <c r="AU48" s="125">
        <v>3</v>
      </c>
      <c r="AV48" s="256">
        <v>0.71279999999999999</v>
      </c>
      <c r="AW48" s="181" t="s">
        <v>856</v>
      </c>
      <c r="AX48" s="181" t="s">
        <v>856</v>
      </c>
      <c r="AY48" s="47" t="s">
        <v>264</v>
      </c>
      <c r="AZ48" s="175" t="s">
        <v>891</v>
      </c>
      <c r="BA48" s="177">
        <v>12</v>
      </c>
      <c r="BB48" s="85">
        <v>10</v>
      </c>
      <c r="BC48" s="256">
        <v>0.71279999999999999</v>
      </c>
      <c r="BD48" s="69"/>
      <c r="BE48" s="69"/>
      <c r="BF48" s="47" t="s">
        <v>264</v>
      </c>
      <c r="BG48" s="323" t="s">
        <v>951</v>
      </c>
      <c r="BH48" s="357" t="s">
        <v>416</v>
      </c>
      <c r="BI48" s="338">
        <v>8.1500000000000003E-2</v>
      </c>
      <c r="BJ48" s="14">
        <v>0</v>
      </c>
      <c r="BK48" s="69"/>
      <c r="BL48" s="69"/>
      <c r="BM48" s="85" t="s">
        <v>264</v>
      </c>
      <c r="BN48" s="287" t="s">
        <v>544</v>
      </c>
      <c r="BO48" s="138" t="s">
        <v>416</v>
      </c>
      <c r="BP48" s="183">
        <v>8.1500000000000003E-2</v>
      </c>
      <c r="BQ48" s="256">
        <v>0.71279999999999999</v>
      </c>
      <c r="BR48" s="270">
        <v>23080000</v>
      </c>
      <c r="BS48" s="270"/>
      <c r="BT48" s="47" t="s">
        <v>264</v>
      </c>
      <c r="BU48" s="290" t="s">
        <v>621</v>
      </c>
      <c r="BV48" s="85" t="s">
        <v>983</v>
      </c>
      <c r="BW48" s="244">
        <v>7.2</v>
      </c>
      <c r="BX48" s="256">
        <v>0.71279999999999999</v>
      </c>
      <c r="BY48" s="272">
        <v>8655000</v>
      </c>
      <c r="BZ48" s="272">
        <v>8655000</v>
      </c>
      <c r="CA48" s="267">
        <f>BZ48/BY48</f>
        <v>1</v>
      </c>
      <c r="CB48" s="85" t="s">
        <v>1014</v>
      </c>
      <c r="CC48" s="291" t="s">
        <v>1060</v>
      </c>
      <c r="CD48" s="85">
        <v>7.2</v>
      </c>
      <c r="CE48" s="244">
        <v>7.2</v>
      </c>
      <c r="CF48" s="186">
        <f>CE48/CD48</f>
        <v>1</v>
      </c>
      <c r="CG48" s="241">
        <f>8655000+10200000+13571428+9600000+47250000+19200000</f>
        <v>108476428</v>
      </c>
      <c r="CH48" s="241">
        <f>8655000+10200000+13571428+9600000+21000000+19200000</f>
        <v>82226428</v>
      </c>
      <c r="CI48" s="213">
        <f>CH48/CG48</f>
        <v>0.75801194338736888</v>
      </c>
      <c r="CJ48" s="85" t="s">
        <v>1014</v>
      </c>
      <c r="CK48" s="388" t="s">
        <v>1121</v>
      </c>
      <c r="CL48" s="47" t="s">
        <v>126</v>
      </c>
      <c r="CM48" s="212">
        <v>7.1999999999999995E-2</v>
      </c>
      <c r="CN48" s="213">
        <v>0</v>
      </c>
    </row>
    <row r="49" spans="1:92" ht="41.25" customHeight="1" x14ac:dyDescent="0.25">
      <c r="A49" s="691"/>
      <c r="B49" s="425"/>
      <c r="C49" s="690"/>
      <c r="D49" s="626" t="s">
        <v>139</v>
      </c>
      <c r="E49" s="425" t="s">
        <v>140</v>
      </c>
      <c r="F49" s="47" t="s">
        <v>443</v>
      </c>
      <c r="G49" s="47" t="s">
        <v>141</v>
      </c>
      <c r="H49" s="85" t="s">
        <v>1015</v>
      </c>
      <c r="I49" s="47" t="s">
        <v>37</v>
      </c>
      <c r="J49" s="61">
        <v>1</v>
      </c>
      <c r="K49" s="425" t="s">
        <v>291</v>
      </c>
      <c r="L49" s="425" t="s">
        <v>338</v>
      </c>
      <c r="M49" s="425" t="s">
        <v>37</v>
      </c>
      <c r="N49" s="425" t="s">
        <v>339</v>
      </c>
      <c r="O49" s="425" t="s">
        <v>37</v>
      </c>
      <c r="P49" s="425" t="s">
        <v>390</v>
      </c>
      <c r="Q49" s="110">
        <v>1</v>
      </c>
      <c r="R49" s="92" t="s">
        <v>41</v>
      </c>
      <c r="S49" s="612"/>
      <c r="T49" s="612"/>
      <c r="U49" s="612"/>
      <c r="V49" s="612"/>
      <c r="W49" s="425" t="s">
        <v>267</v>
      </c>
      <c r="X49" s="668"/>
      <c r="Y49" s="92" t="s">
        <v>41</v>
      </c>
      <c r="Z49" s="90">
        <v>2</v>
      </c>
      <c r="AA49" s="256" t="e">
        <f>Z49/Y49</f>
        <v>#VALUE!</v>
      </c>
      <c r="AB49" s="495"/>
      <c r="AC49" s="495"/>
      <c r="AD49" s="425" t="s">
        <v>267</v>
      </c>
      <c r="AE49" s="554"/>
      <c r="AF49" s="314" t="s">
        <v>692</v>
      </c>
      <c r="AG49" s="85">
        <v>441</v>
      </c>
      <c r="AH49" s="256" t="e">
        <f>AG49/AF49</f>
        <v>#VALUE!</v>
      </c>
      <c r="AI49" s="501"/>
      <c r="AJ49" s="501"/>
      <c r="AK49" s="425" t="s">
        <v>267</v>
      </c>
      <c r="AL49" s="539"/>
      <c r="AM49" s="147" t="s">
        <v>692</v>
      </c>
      <c r="AN49" s="68" t="s">
        <v>41</v>
      </c>
      <c r="AO49" s="256" t="e">
        <f>AN49/AM49</f>
        <v>#VALUE!</v>
      </c>
      <c r="AP49" s="550"/>
      <c r="AQ49" s="550"/>
      <c r="AR49" s="425" t="s">
        <v>267</v>
      </c>
      <c r="AS49" s="479"/>
      <c r="AT49" s="171">
        <v>12</v>
      </c>
      <c r="AU49" s="125">
        <v>3</v>
      </c>
      <c r="AV49" s="256">
        <f>AU49/AT49</f>
        <v>0.25</v>
      </c>
      <c r="AW49" s="181" t="s">
        <v>856</v>
      </c>
      <c r="AX49" s="181" t="s">
        <v>856</v>
      </c>
      <c r="AY49" s="425" t="s">
        <v>267</v>
      </c>
      <c r="AZ49" s="175" t="s">
        <v>892</v>
      </c>
      <c r="BA49" s="177">
        <v>1</v>
      </c>
      <c r="BB49" s="358">
        <v>4</v>
      </c>
      <c r="BC49" s="256">
        <f>BB49/BA49</f>
        <v>4</v>
      </c>
      <c r="BD49" s="501"/>
      <c r="BE49" s="501"/>
      <c r="BF49" s="425" t="s">
        <v>267</v>
      </c>
      <c r="BG49" s="359" t="s">
        <v>953</v>
      </c>
      <c r="BH49" s="314">
        <v>0.7</v>
      </c>
      <c r="BI49" s="85">
        <v>0</v>
      </c>
      <c r="BJ49" s="14" t="s">
        <v>545</v>
      </c>
      <c r="BK49" s="501"/>
      <c r="BL49" s="501"/>
      <c r="BM49" s="513" t="s">
        <v>267</v>
      </c>
      <c r="BN49" s="281" t="s">
        <v>546</v>
      </c>
      <c r="BO49" s="360">
        <v>1800</v>
      </c>
      <c r="BP49" s="47">
        <v>1361</v>
      </c>
      <c r="BQ49" s="256">
        <f>BP49/BO49</f>
        <v>0.75611111111111107</v>
      </c>
      <c r="BR49" s="495">
        <v>1000000000</v>
      </c>
      <c r="BS49" s="495" t="s">
        <v>470</v>
      </c>
      <c r="BT49" s="425" t="s">
        <v>267</v>
      </c>
      <c r="BU49" s="308" t="s">
        <v>622</v>
      </c>
      <c r="BV49" s="118">
        <v>1</v>
      </c>
      <c r="BW49" s="61">
        <v>1</v>
      </c>
      <c r="BX49" s="256">
        <f>BW49/BV49</f>
        <v>1</v>
      </c>
      <c r="BY49" s="483">
        <f>6000000+10000000</f>
        <v>16000000</v>
      </c>
      <c r="BZ49" s="483">
        <f>6000000+10000000</f>
        <v>16000000</v>
      </c>
      <c r="CA49" s="419">
        <f>BZ49/BY49</f>
        <v>1</v>
      </c>
      <c r="CB49" s="85" t="s">
        <v>1015</v>
      </c>
      <c r="CC49" s="361" t="s">
        <v>1090</v>
      </c>
      <c r="CD49" s="118">
        <v>1</v>
      </c>
      <c r="CE49" s="61">
        <v>1</v>
      </c>
      <c r="CF49" s="259">
        <f>CE49/CD49</f>
        <v>1</v>
      </c>
      <c r="CG49" s="456">
        <f>6000000+10000000</f>
        <v>16000000</v>
      </c>
      <c r="CH49" s="456">
        <f>6000000+10000000</f>
        <v>16000000</v>
      </c>
      <c r="CI49" s="442">
        <f>CH49/CG49</f>
        <v>1</v>
      </c>
      <c r="CJ49" s="85" t="s">
        <v>1015</v>
      </c>
      <c r="CK49" s="380" t="s">
        <v>1122</v>
      </c>
      <c r="CL49" s="61">
        <v>1</v>
      </c>
      <c r="CM49" s="59">
        <v>1</v>
      </c>
      <c r="CN49" s="221">
        <v>1</v>
      </c>
    </row>
    <row r="50" spans="1:92" ht="104.25" customHeight="1" x14ac:dyDescent="0.25">
      <c r="A50" s="691"/>
      <c r="B50" s="425"/>
      <c r="C50" s="690"/>
      <c r="D50" s="626"/>
      <c r="E50" s="425"/>
      <c r="F50" s="47" t="s">
        <v>142</v>
      </c>
      <c r="G50" s="47" t="s">
        <v>124</v>
      </c>
      <c r="H50" s="85" t="s">
        <v>1012</v>
      </c>
      <c r="I50" s="47" t="s">
        <v>143</v>
      </c>
      <c r="J50" s="47" t="s">
        <v>126</v>
      </c>
      <c r="K50" s="425"/>
      <c r="L50" s="425"/>
      <c r="M50" s="425"/>
      <c r="N50" s="425"/>
      <c r="O50" s="425"/>
      <c r="P50" s="425"/>
      <c r="Q50" s="109" t="s">
        <v>126</v>
      </c>
      <c r="R50" s="92" t="s">
        <v>41</v>
      </c>
      <c r="S50" s="612"/>
      <c r="T50" s="612"/>
      <c r="U50" s="612"/>
      <c r="V50" s="612"/>
      <c r="W50" s="425"/>
      <c r="X50" s="274"/>
      <c r="Y50" s="92" t="s">
        <v>41</v>
      </c>
      <c r="Z50" s="90">
        <v>1</v>
      </c>
      <c r="AA50" s="256">
        <v>1</v>
      </c>
      <c r="AB50" s="495"/>
      <c r="AC50" s="495"/>
      <c r="AD50" s="425"/>
      <c r="AE50" s="362" t="s">
        <v>684</v>
      </c>
      <c r="AF50" s="515">
        <v>4</v>
      </c>
      <c r="AG50" s="544">
        <v>0.04</v>
      </c>
      <c r="AH50" s="256">
        <v>1</v>
      </c>
      <c r="AI50" s="501" t="s">
        <v>716</v>
      </c>
      <c r="AJ50" s="501" t="s">
        <v>717</v>
      </c>
      <c r="AK50" s="425"/>
      <c r="AL50" s="479" t="s">
        <v>756</v>
      </c>
      <c r="AM50" s="613">
        <v>5</v>
      </c>
      <c r="AN50" s="446">
        <v>5</v>
      </c>
      <c r="AO50" s="256">
        <v>1</v>
      </c>
      <c r="AP50" s="550" t="s">
        <v>799</v>
      </c>
      <c r="AQ50" s="550" t="s">
        <v>800</v>
      </c>
      <c r="AR50" s="425"/>
      <c r="AS50" s="479" t="s">
        <v>835</v>
      </c>
      <c r="AT50" s="529">
        <v>6</v>
      </c>
      <c r="AU50" s="517">
        <v>3</v>
      </c>
      <c r="AV50" s="256">
        <v>1</v>
      </c>
      <c r="AW50" s="527" t="s">
        <v>856</v>
      </c>
      <c r="AX50" s="527" t="s">
        <v>856</v>
      </c>
      <c r="AY50" s="425"/>
      <c r="AZ50" s="499" t="s">
        <v>893</v>
      </c>
      <c r="BA50" s="147" t="s">
        <v>692</v>
      </c>
      <c r="BB50" s="85">
        <v>200</v>
      </c>
      <c r="BC50" s="256">
        <v>1</v>
      </c>
      <c r="BD50" s="501"/>
      <c r="BE50" s="501"/>
      <c r="BF50" s="425"/>
      <c r="BG50" s="363" t="s">
        <v>954</v>
      </c>
      <c r="BH50" s="351">
        <v>0.15</v>
      </c>
      <c r="BI50" s="338">
        <v>0.1227</v>
      </c>
      <c r="BJ50" s="14">
        <v>1</v>
      </c>
      <c r="BK50" s="501"/>
      <c r="BL50" s="501"/>
      <c r="BM50" s="513"/>
      <c r="BN50" s="363" t="s">
        <v>547</v>
      </c>
      <c r="BO50" s="269">
        <v>0.15</v>
      </c>
      <c r="BP50" s="183">
        <v>0.1227</v>
      </c>
      <c r="BQ50" s="256">
        <v>1</v>
      </c>
      <c r="BR50" s="495"/>
      <c r="BS50" s="495"/>
      <c r="BT50" s="425"/>
      <c r="BU50" s="364" t="s">
        <v>623</v>
      </c>
      <c r="BV50" s="292">
        <v>0.15</v>
      </c>
      <c r="BW50" s="183">
        <v>0.1227</v>
      </c>
      <c r="BX50" s="256">
        <v>1</v>
      </c>
      <c r="BY50" s="485"/>
      <c r="BZ50" s="485"/>
      <c r="CA50" s="420"/>
      <c r="CB50" s="85" t="s">
        <v>1012</v>
      </c>
      <c r="CC50" s="365" t="s">
        <v>1061</v>
      </c>
      <c r="CD50" s="85" t="s">
        <v>983</v>
      </c>
      <c r="CE50" s="58">
        <v>0.1227</v>
      </c>
      <c r="CF50" s="54">
        <v>1</v>
      </c>
      <c r="CG50" s="457"/>
      <c r="CH50" s="457"/>
      <c r="CI50" s="438"/>
      <c r="CJ50" s="85" t="s">
        <v>1012</v>
      </c>
      <c r="CK50" s="387" t="s">
        <v>1123</v>
      </c>
      <c r="CL50" s="47" t="s">
        <v>1039</v>
      </c>
      <c r="CM50" s="214">
        <v>0.1227</v>
      </c>
      <c r="CN50" s="221">
        <v>1</v>
      </c>
    </row>
    <row r="51" spans="1:92" ht="41.25" customHeight="1" x14ac:dyDescent="0.25">
      <c r="A51" s="691"/>
      <c r="B51" s="425"/>
      <c r="C51" s="690"/>
      <c r="D51" s="626" t="s">
        <v>144</v>
      </c>
      <c r="E51" s="447" t="s">
        <v>145</v>
      </c>
      <c r="F51" s="447" t="s">
        <v>444</v>
      </c>
      <c r="G51" s="447" t="s">
        <v>445</v>
      </c>
      <c r="H51" s="452" t="s">
        <v>1016</v>
      </c>
      <c r="I51" s="447">
        <v>1</v>
      </c>
      <c r="J51" s="425" t="s">
        <v>446</v>
      </c>
      <c r="K51" s="425" t="s">
        <v>291</v>
      </c>
      <c r="L51" s="425" t="s">
        <v>385</v>
      </c>
      <c r="M51" s="425" t="s">
        <v>340</v>
      </c>
      <c r="N51" s="425" t="s">
        <v>447</v>
      </c>
      <c r="O51" s="425" t="s">
        <v>341</v>
      </c>
      <c r="P51" s="425" t="s">
        <v>342</v>
      </c>
      <c r="Q51" s="581" t="s">
        <v>446</v>
      </c>
      <c r="R51" s="92" t="s">
        <v>41</v>
      </c>
      <c r="S51" s="553"/>
      <c r="T51" s="553"/>
      <c r="U51" s="553"/>
      <c r="V51" s="553"/>
      <c r="W51" s="425" t="s">
        <v>268</v>
      </c>
      <c r="X51" s="274"/>
      <c r="Y51" s="92" t="s">
        <v>41</v>
      </c>
      <c r="Z51" s="90" t="s">
        <v>37</v>
      </c>
      <c r="AA51" s="490" t="e">
        <f>Z51/Y51</f>
        <v>#VALUE!</v>
      </c>
      <c r="AB51" s="495"/>
      <c r="AC51" s="495"/>
      <c r="AD51" s="425" t="s">
        <v>268</v>
      </c>
      <c r="AE51" s="276" t="s">
        <v>685</v>
      </c>
      <c r="AF51" s="515"/>
      <c r="AG51" s="544"/>
      <c r="AH51" s="490" t="e">
        <f>AG51/AF51</f>
        <v>#DIV/0!</v>
      </c>
      <c r="AI51" s="501"/>
      <c r="AJ51" s="501"/>
      <c r="AK51" s="425" t="s">
        <v>268</v>
      </c>
      <c r="AL51" s="479"/>
      <c r="AM51" s="613"/>
      <c r="AN51" s="446"/>
      <c r="AO51" s="490" t="e">
        <f>AN51/AM51</f>
        <v>#DIV/0!</v>
      </c>
      <c r="AP51" s="550"/>
      <c r="AQ51" s="550"/>
      <c r="AR51" s="425" t="s">
        <v>268</v>
      </c>
      <c r="AS51" s="479"/>
      <c r="AT51" s="529"/>
      <c r="AU51" s="517"/>
      <c r="AV51" s="490" t="e">
        <f>AU51/AT51</f>
        <v>#DIV/0!</v>
      </c>
      <c r="AW51" s="527"/>
      <c r="AX51" s="527"/>
      <c r="AY51" s="425" t="s">
        <v>268</v>
      </c>
      <c r="AZ51" s="499"/>
      <c r="BA51" s="515">
        <v>1</v>
      </c>
      <c r="BB51" s="513" t="s">
        <v>915</v>
      </c>
      <c r="BC51" s="490" t="e">
        <f>BB51/BA51</f>
        <v>#VALUE!</v>
      </c>
      <c r="BD51" s="501">
        <v>562895700</v>
      </c>
      <c r="BE51" s="501">
        <v>256575255</v>
      </c>
      <c r="BF51" s="425" t="s">
        <v>268</v>
      </c>
      <c r="BG51" s="479" t="s">
        <v>955</v>
      </c>
      <c r="BH51" s="556">
        <v>0.01</v>
      </c>
      <c r="BI51" s="625">
        <v>0</v>
      </c>
      <c r="BJ51" s="625">
        <f>BI51/BH51</f>
        <v>0</v>
      </c>
      <c r="BK51" s="501">
        <v>3000000</v>
      </c>
      <c r="BL51" s="501">
        <v>3000000</v>
      </c>
      <c r="BM51" s="513" t="s">
        <v>268</v>
      </c>
      <c r="BN51" s="614" t="s">
        <v>1041</v>
      </c>
      <c r="BO51" s="631">
        <v>0.01</v>
      </c>
      <c r="BP51" s="490">
        <v>0.01</v>
      </c>
      <c r="BQ51" s="490">
        <f>BP51/BO51</f>
        <v>1</v>
      </c>
      <c r="BR51" s="495">
        <v>3000000</v>
      </c>
      <c r="BS51" s="495">
        <v>3000000</v>
      </c>
      <c r="BT51" s="425" t="s">
        <v>268</v>
      </c>
      <c r="BU51" s="622" t="s">
        <v>624</v>
      </c>
      <c r="BV51" s="492">
        <v>0.01</v>
      </c>
      <c r="BW51" s="490">
        <v>0.01</v>
      </c>
      <c r="BX51" s="490">
        <f>BW51/BV51</f>
        <v>1</v>
      </c>
      <c r="BY51" s="483">
        <f>3800000+5600000</f>
        <v>9400000</v>
      </c>
      <c r="BZ51" s="483">
        <f>3800000+3000000+5600000</f>
        <v>12400000</v>
      </c>
      <c r="CA51" s="419">
        <v>1</v>
      </c>
      <c r="CB51" s="452" t="s">
        <v>1016</v>
      </c>
      <c r="CC51" s="494" t="s">
        <v>1062</v>
      </c>
      <c r="CD51" s="492">
        <v>0.01</v>
      </c>
      <c r="CE51" s="490">
        <v>0.01</v>
      </c>
      <c r="CF51" s="434">
        <f>CE51/CD51</f>
        <v>1</v>
      </c>
      <c r="CG51" s="456">
        <f>3800000+5600000</f>
        <v>9400000</v>
      </c>
      <c r="CH51" s="456">
        <f>3800000+3000000+5600000</f>
        <v>12400000</v>
      </c>
      <c r="CI51" s="429">
        <v>1</v>
      </c>
      <c r="CJ51" s="452" t="s">
        <v>1016</v>
      </c>
      <c r="CK51" s="720" t="s">
        <v>1124</v>
      </c>
      <c r="CL51" s="425" t="s">
        <v>446</v>
      </c>
      <c r="CM51" s="419">
        <v>0.01</v>
      </c>
      <c r="CN51" s="429">
        <v>1</v>
      </c>
    </row>
    <row r="52" spans="1:92" ht="76.5" customHeight="1" x14ac:dyDescent="0.25">
      <c r="A52" s="691"/>
      <c r="B52" s="425"/>
      <c r="C52" s="690"/>
      <c r="D52" s="626"/>
      <c r="E52" s="447"/>
      <c r="F52" s="447"/>
      <c r="G52" s="447"/>
      <c r="H52" s="453"/>
      <c r="I52" s="447"/>
      <c r="J52" s="425"/>
      <c r="K52" s="425"/>
      <c r="L52" s="425"/>
      <c r="M52" s="425"/>
      <c r="N52" s="425"/>
      <c r="O52" s="425"/>
      <c r="P52" s="425"/>
      <c r="Q52" s="581"/>
      <c r="R52" s="92" t="s">
        <v>41</v>
      </c>
      <c r="S52" s="612"/>
      <c r="T52" s="612"/>
      <c r="U52" s="612"/>
      <c r="V52" s="612"/>
      <c r="W52" s="425"/>
      <c r="X52" s="668"/>
      <c r="Y52" s="92" t="s">
        <v>41</v>
      </c>
      <c r="Z52" s="90" t="s">
        <v>37</v>
      </c>
      <c r="AA52" s="490"/>
      <c r="AB52" s="495"/>
      <c r="AC52" s="495"/>
      <c r="AD52" s="425"/>
      <c r="AE52" s="554" t="s">
        <v>686</v>
      </c>
      <c r="AF52" s="556" t="s">
        <v>693</v>
      </c>
      <c r="AG52" s="562" t="s">
        <v>693</v>
      </c>
      <c r="AH52" s="490"/>
      <c r="AI52" s="501" t="s">
        <v>703</v>
      </c>
      <c r="AJ52" s="501" t="s">
        <v>704</v>
      </c>
      <c r="AK52" s="425"/>
      <c r="AL52" s="539" t="s">
        <v>757</v>
      </c>
      <c r="AM52" s="515" t="s">
        <v>693</v>
      </c>
      <c r="AN52" s="513" t="s">
        <v>693</v>
      </c>
      <c r="AO52" s="490"/>
      <c r="AP52" s="501" t="s">
        <v>801</v>
      </c>
      <c r="AQ52" s="549">
        <v>23220000</v>
      </c>
      <c r="AR52" s="425"/>
      <c r="AS52" s="539" t="s">
        <v>836</v>
      </c>
      <c r="AT52" s="529">
        <v>1</v>
      </c>
      <c r="AU52" s="517">
        <v>1</v>
      </c>
      <c r="AV52" s="490"/>
      <c r="AW52" s="527" t="s">
        <v>856</v>
      </c>
      <c r="AX52" s="527" t="s">
        <v>856</v>
      </c>
      <c r="AY52" s="425"/>
      <c r="AZ52" s="526" t="s">
        <v>894</v>
      </c>
      <c r="BA52" s="515"/>
      <c r="BB52" s="513"/>
      <c r="BC52" s="490"/>
      <c r="BD52" s="501"/>
      <c r="BE52" s="501"/>
      <c r="BF52" s="425"/>
      <c r="BG52" s="479"/>
      <c r="BH52" s="515"/>
      <c r="BI52" s="625"/>
      <c r="BJ52" s="625"/>
      <c r="BK52" s="501"/>
      <c r="BL52" s="501"/>
      <c r="BM52" s="513"/>
      <c r="BN52" s="615"/>
      <c r="BO52" s="631"/>
      <c r="BP52" s="490"/>
      <c r="BQ52" s="490"/>
      <c r="BR52" s="495"/>
      <c r="BS52" s="495"/>
      <c r="BT52" s="425"/>
      <c r="BU52" s="617"/>
      <c r="BV52" s="493"/>
      <c r="BW52" s="490"/>
      <c r="BX52" s="490"/>
      <c r="BY52" s="485"/>
      <c r="BZ52" s="485"/>
      <c r="CA52" s="420"/>
      <c r="CB52" s="453"/>
      <c r="CC52" s="488"/>
      <c r="CD52" s="493"/>
      <c r="CE52" s="490"/>
      <c r="CF52" s="434"/>
      <c r="CG52" s="457"/>
      <c r="CH52" s="457"/>
      <c r="CI52" s="431"/>
      <c r="CJ52" s="453"/>
      <c r="CK52" s="455"/>
      <c r="CL52" s="425"/>
      <c r="CM52" s="420"/>
      <c r="CN52" s="431"/>
    </row>
    <row r="53" spans="1:92" ht="60" customHeight="1" x14ac:dyDescent="0.25">
      <c r="A53" s="691"/>
      <c r="B53" s="425"/>
      <c r="C53" s="690"/>
      <c r="D53" s="626" t="s">
        <v>146</v>
      </c>
      <c r="E53" s="425" t="s">
        <v>147</v>
      </c>
      <c r="F53" s="425" t="s">
        <v>148</v>
      </c>
      <c r="G53" s="425" t="s">
        <v>149</v>
      </c>
      <c r="H53" s="452" t="s">
        <v>1017</v>
      </c>
      <c r="I53" s="425" t="s">
        <v>37</v>
      </c>
      <c r="J53" s="424">
        <v>1</v>
      </c>
      <c r="K53" s="425" t="s">
        <v>291</v>
      </c>
      <c r="L53" s="425" t="s">
        <v>328</v>
      </c>
      <c r="M53" s="425">
        <v>1905021</v>
      </c>
      <c r="N53" s="425" t="s">
        <v>343</v>
      </c>
      <c r="O53" s="425">
        <v>190502100</v>
      </c>
      <c r="P53" s="425" t="s">
        <v>344</v>
      </c>
      <c r="Q53" s="667">
        <v>1</v>
      </c>
      <c r="R53" s="92" t="s">
        <v>41</v>
      </c>
      <c r="S53" s="612"/>
      <c r="T53" s="612"/>
      <c r="U53" s="612"/>
      <c r="V53" s="612"/>
      <c r="W53" s="425" t="s">
        <v>260</v>
      </c>
      <c r="X53" s="668"/>
      <c r="Y53" s="92" t="s">
        <v>41</v>
      </c>
      <c r="Z53" s="90" t="s">
        <v>37</v>
      </c>
      <c r="AA53" s="490">
        <v>1</v>
      </c>
      <c r="AB53" s="495"/>
      <c r="AC53" s="495"/>
      <c r="AD53" s="425" t="s">
        <v>260</v>
      </c>
      <c r="AE53" s="554"/>
      <c r="AF53" s="556"/>
      <c r="AG53" s="562"/>
      <c r="AH53" s="490">
        <v>1</v>
      </c>
      <c r="AI53" s="501"/>
      <c r="AJ53" s="501"/>
      <c r="AK53" s="425" t="s">
        <v>260</v>
      </c>
      <c r="AL53" s="539"/>
      <c r="AM53" s="515"/>
      <c r="AN53" s="513"/>
      <c r="AO53" s="490">
        <v>1</v>
      </c>
      <c r="AP53" s="501"/>
      <c r="AQ53" s="513"/>
      <c r="AR53" s="425" t="s">
        <v>260</v>
      </c>
      <c r="AS53" s="539"/>
      <c r="AT53" s="529"/>
      <c r="AU53" s="517"/>
      <c r="AV53" s="490">
        <v>1</v>
      </c>
      <c r="AW53" s="527"/>
      <c r="AX53" s="527"/>
      <c r="AY53" s="425" t="s">
        <v>260</v>
      </c>
      <c r="AZ53" s="526"/>
      <c r="BA53" s="628">
        <v>1</v>
      </c>
      <c r="BB53" s="513">
        <v>1</v>
      </c>
      <c r="BC53" s="490">
        <v>1</v>
      </c>
      <c r="BD53" s="501"/>
      <c r="BE53" s="501"/>
      <c r="BF53" s="425" t="s">
        <v>260</v>
      </c>
      <c r="BG53" s="479" t="s">
        <v>948</v>
      </c>
      <c r="BH53" s="627">
        <v>0.7</v>
      </c>
      <c r="BI53" s="625">
        <v>0</v>
      </c>
      <c r="BJ53" s="625">
        <f>BI53/BH53*1</f>
        <v>0</v>
      </c>
      <c r="BK53" s="501"/>
      <c r="BL53" s="501"/>
      <c r="BM53" s="513" t="s">
        <v>260</v>
      </c>
      <c r="BN53" s="615" t="s">
        <v>548</v>
      </c>
      <c r="BO53" s="629">
        <v>0.8</v>
      </c>
      <c r="BP53" s="490">
        <v>1</v>
      </c>
      <c r="BQ53" s="490">
        <v>1</v>
      </c>
      <c r="BR53" s="495">
        <v>0</v>
      </c>
      <c r="BS53" s="495">
        <v>2285000</v>
      </c>
      <c r="BT53" s="425" t="s">
        <v>260</v>
      </c>
      <c r="BU53" s="617" t="s">
        <v>625</v>
      </c>
      <c r="BV53" s="492">
        <v>0.9</v>
      </c>
      <c r="BW53" s="490">
        <v>1</v>
      </c>
      <c r="BX53" s="490">
        <v>1</v>
      </c>
      <c r="BY53" s="495">
        <v>135994000</v>
      </c>
      <c r="BZ53" s="495">
        <v>117200000</v>
      </c>
      <c r="CA53" s="419">
        <f>BZ53/BY53</f>
        <v>0.86180272659087898</v>
      </c>
      <c r="CB53" s="452" t="s">
        <v>1017</v>
      </c>
      <c r="CC53" s="486" t="s">
        <v>1063</v>
      </c>
      <c r="CD53" s="492">
        <v>1</v>
      </c>
      <c r="CE53" s="490">
        <v>1</v>
      </c>
      <c r="CF53" s="725">
        <v>1</v>
      </c>
      <c r="CG53" s="510">
        <f>135994000+10200000+1500000</f>
        <v>147694000</v>
      </c>
      <c r="CH53" s="510">
        <f>117200000+10200000+1500000</f>
        <v>128900000</v>
      </c>
      <c r="CI53" s="475">
        <f>CH53/CG53</f>
        <v>0.87275041640147877</v>
      </c>
      <c r="CJ53" s="452" t="s">
        <v>1017</v>
      </c>
      <c r="CK53" s="454" t="s">
        <v>1125</v>
      </c>
      <c r="CL53" s="424">
        <v>1</v>
      </c>
      <c r="CM53" s="419">
        <v>1</v>
      </c>
      <c r="CN53" s="434">
        <v>1</v>
      </c>
    </row>
    <row r="54" spans="1:92" ht="144.75" customHeight="1" x14ac:dyDescent="0.25">
      <c r="A54" s="691"/>
      <c r="B54" s="47" t="s">
        <v>98</v>
      </c>
      <c r="C54" s="107" t="s">
        <v>99</v>
      </c>
      <c r="D54" s="626"/>
      <c r="E54" s="425"/>
      <c r="F54" s="425"/>
      <c r="G54" s="425"/>
      <c r="H54" s="453"/>
      <c r="I54" s="425"/>
      <c r="J54" s="424"/>
      <c r="K54" s="425"/>
      <c r="L54" s="425"/>
      <c r="M54" s="425"/>
      <c r="N54" s="425"/>
      <c r="O54" s="425"/>
      <c r="P54" s="425"/>
      <c r="Q54" s="667"/>
      <c r="R54" s="92" t="s">
        <v>41</v>
      </c>
      <c r="S54" s="612"/>
      <c r="T54" s="612"/>
      <c r="U54" s="612"/>
      <c r="V54" s="612"/>
      <c r="W54" s="425"/>
      <c r="X54" s="668"/>
      <c r="Y54" s="92" t="s">
        <v>41</v>
      </c>
      <c r="Z54" s="90" t="s">
        <v>37</v>
      </c>
      <c r="AA54" s="490"/>
      <c r="AB54" s="495"/>
      <c r="AC54" s="495"/>
      <c r="AD54" s="425"/>
      <c r="AE54" s="554"/>
      <c r="AF54" s="177">
        <v>0.2</v>
      </c>
      <c r="AG54" s="85">
        <v>0</v>
      </c>
      <c r="AH54" s="490"/>
      <c r="AI54" s="501" t="s">
        <v>718</v>
      </c>
      <c r="AJ54" s="501" t="s">
        <v>719</v>
      </c>
      <c r="AK54" s="425"/>
      <c r="AL54" s="479" t="s">
        <v>758</v>
      </c>
      <c r="AM54" s="147">
        <v>0.4</v>
      </c>
      <c r="AN54" s="68" t="s">
        <v>41</v>
      </c>
      <c r="AO54" s="490"/>
      <c r="AP54" s="501" t="s">
        <v>802</v>
      </c>
      <c r="AQ54" s="501" t="s">
        <v>803</v>
      </c>
      <c r="AR54" s="425"/>
      <c r="AS54" s="479" t="s">
        <v>837</v>
      </c>
      <c r="AT54" s="171">
        <v>0.6</v>
      </c>
      <c r="AU54" s="125">
        <v>0.15</v>
      </c>
      <c r="AV54" s="490"/>
      <c r="AW54" s="181" t="s">
        <v>856</v>
      </c>
      <c r="AX54" s="181" t="s">
        <v>856</v>
      </c>
      <c r="AY54" s="425"/>
      <c r="AZ54" s="175" t="s">
        <v>895</v>
      </c>
      <c r="BA54" s="628"/>
      <c r="BB54" s="513"/>
      <c r="BC54" s="490"/>
      <c r="BD54" s="501"/>
      <c r="BE54" s="501"/>
      <c r="BF54" s="425"/>
      <c r="BG54" s="479"/>
      <c r="BH54" s="628"/>
      <c r="BI54" s="625"/>
      <c r="BJ54" s="625"/>
      <c r="BK54" s="501"/>
      <c r="BL54" s="501"/>
      <c r="BM54" s="513"/>
      <c r="BN54" s="615"/>
      <c r="BO54" s="630"/>
      <c r="BP54" s="490"/>
      <c r="BQ54" s="490"/>
      <c r="BR54" s="495"/>
      <c r="BS54" s="495"/>
      <c r="BT54" s="425"/>
      <c r="BU54" s="617"/>
      <c r="BV54" s="493"/>
      <c r="BW54" s="490"/>
      <c r="BX54" s="490"/>
      <c r="BY54" s="495"/>
      <c r="BZ54" s="483"/>
      <c r="CA54" s="420"/>
      <c r="CB54" s="453"/>
      <c r="CC54" s="487"/>
      <c r="CD54" s="493"/>
      <c r="CE54" s="490"/>
      <c r="CF54" s="725"/>
      <c r="CG54" s="510"/>
      <c r="CH54" s="456"/>
      <c r="CI54" s="476"/>
      <c r="CJ54" s="453"/>
      <c r="CK54" s="721"/>
      <c r="CL54" s="424"/>
      <c r="CM54" s="420"/>
      <c r="CN54" s="434"/>
    </row>
    <row r="55" spans="1:92" ht="44.25" customHeight="1" x14ac:dyDescent="0.25">
      <c r="A55" s="691"/>
      <c r="B55" s="425" t="s">
        <v>150</v>
      </c>
      <c r="C55" s="690" t="s">
        <v>99</v>
      </c>
      <c r="D55" s="626" t="s">
        <v>151</v>
      </c>
      <c r="E55" s="425" t="s">
        <v>455</v>
      </c>
      <c r="F55" s="47" t="s">
        <v>152</v>
      </c>
      <c r="G55" s="47" t="s">
        <v>153</v>
      </c>
      <c r="H55" s="85" t="s">
        <v>1018</v>
      </c>
      <c r="I55" s="47" t="s">
        <v>154</v>
      </c>
      <c r="J55" s="47" t="s">
        <v>155</v>
      </c>
      <c r="K55" s="425" t="s">
        <v>291</v>
      </c>
      <c r="L55" s="425" t="s">
        <v>328</v>
      </c>
      <c r="M55" s="425">
        <v>1905020</v>
      </c>
      <c r="N55" s="425" t="s">
        <v>345</v>
      </c>
      <c r="O55" s="425">
        <v>190502000</v>
      </c>
      <c r="P55" s="425" t="s">
        <v>346</v>
      </c>
      <c r="Q55" s="109" t="s">
        <v>155</v>
      </c>
      <c r="R55" s="92">
        <v>100</v>
      </c>
      <c r="S55" s="553"/>
      <c r="T55" s="553"/>
      <c r="U55" s="553"/>
      <c r="V55" s="553"/>
      <c r="W55" s="273" t="s">
        <v>282</v>
      </c>
      <c r="X55" s="274" t="s">
        <v>499</v>
      </c>
      <c r="Y55" s="92">
        <v>100</v>
      </c>
      <c r="Z55" s="91">
        <v>0.1</v>
      </c>
      <c r="AA55" s="256">
        <v>0.52939999999999998</v>
      </c>
      <c r="AB55" s="495"/>
      <c r="AC55" s="495"/>
      <c r="AD55" s="273" t="s">
        <v>282</v>
      </c>
      <c r="AE55" s="276" t="s">
        <v>687</v>
      </c>
      <c r="AF55" s="556">
        <v>0.16</v>
      </c>
      <c r="AG55" s="513">
        <v>0</v>
      </c>
      <c r="AH55" s="256">
        <v>0.52939999999999998</v>
      </c>
      <c r="AI55" s="501"/>
      <c r="AJ55" s="501"/>
      <c r="AK55" s="273" t="s">
        <v>282</v>
      </c>
      <c r="AL55" s="479"/>
      <c r="AM55" s="557">
        <v>0.15</v>
      </c>
      <c r="AN55" s="558" t="s">
        <v>41</v>
      </c>
      <c r="AO55" s="256">
        <v>0.52939999999999998</v>
      </c>
      <c r="AP55" s="550"/>
      <c r="AQ55" s="550"/>
      <c r="AR55" s="273" t="s">
        <v>282</v>
      </c>
      <c r="AS55" s="479"/>
      <c r="AT55" s="530">
        <v>0.15</v>
      </c>
      <c r="AU55" s="531">
        <v>0.15</v>
      </c>
      <c r="AV55" s="256">
        <v>0.52939999999999998</v>
      </c>
      <c r="AW55" s="527">
        <v>38000000</v>
      </c>
      <c r="AX55" s="527">
        <v>35720000</v>
      </c>
      <c r="AY55" s="273" t="s">
        <v>282</v>
      </c>
      <c r="AZ55" s="521" t="s">
        <v>896</v>
      </c>
      <c r="BA55" s="199">
        <v>12</v>
      </c>
      <c r="BB55" s="200">
        <v>7</v>
      </c>
      <c r="BC55" s="256">
        <v>0.52939999999999998</v>
      </c>
      <c r="BD55" s="366"/>
      <c r="BE55" s="366"/>
      <c r="BF55" s="273" t="s">
        <v>282</v>
      </c>
      <c r="BG55" s="277" t="s">
        <v>956</v>
      </c>
      <c r="BH55" s="177" t="s">
        <v>419</v>
      </c>
      <c r="BI55" s="1">
        <v>6.8000000000000005E-2</v>
      </c>
      <c r="BJ55" s="14">
        <v>0</v>
      </c>
      <c r="BK55" s="501"/>
      <c r="BL55" s="501"/>
      <c r="BM55" s="200" t="s">
        <v>282</v>
      </c>
      <c r="BN55" s="615" t="s">
        <v>549</v>
      </c>
      <c r="BO55" s="111" t="s">
        <v>419</v>
      </c>
      <c r="BP55" s="36">
        <v>6.8000000000000005E-2</v>
      </c>
      <c r="BQ55" s="256">
        <v>0.52939999999999998</v>
      </c>
      <c r="BR55" s="495">
        <v>13200000</v>
      </c>
      <c r="BS55" s="495">
        <v>3300000</v>
      </c>
      <c r="BT55" s="273" t="s">
        <v>282</v>
      </c>
      <c r="BU55" s="617" t="s">
        <v>626</v>
      </c>
      <c r="BV55" s="85" t="s">
        <v>984</v>
      </c>
      <c r="BW55" s="36">
        <v>6.8000000000000005E-2</v>
      </c>
      <c r="BX55" s="256">
        <v>0.52939999999999998</v>
      </c>
      <c r="BY55" s="483">
        <v>2885000</v>
      </c>
      <c r="BZ55" s="483">
        <v>2885000</v>
      </c>
      <c r="CA55" s="472">
        <f>BZ55/BY55</f>
        <v>1</v>
      </c>
      <c r="CB55" s="85" t="s">
        <v>1018</v>
      </c>
      <c r="CC55" s="486" t="s">
        <v>1064</v>
      </c>
      <c r="CD55" s="85" t="s">
        <v>984</v>
      </c>
      <c r="CE55" s="36">
        <v>6.8000000000000005E-2</v>
      </c>
      <c r="CF55" s="40">
        <v>0.52939999999999998</v>
      </c>
      <c r="CG55" s="456">
        <f>2885000+1500000</f>
        <v>4385000</v>
      </c>
      <c r="CH55" s="456">
        <f>2885000+1500000</f>
        <v>4385000</v>
      </c>
      <c r="CI55" s="469">
        <f>CH55/CG55</f>
        <v>1</v>
      </c>
      <c r="CJ55" s="85" t="s">
        <v>1018</v>
      </c>
      <c r="CK55" s="454" t="s">
        <v>1126</v>
      </c>
      <c r="CL55" s="47" t="s">
        <v>155</v>
      </c>
      <c r="CM55" s="36">
        <v>6.8000000000000005E-2</v>
      </c>
      <c r="CN55" s="60">
        <v>0</v>
      </c>
    </row>
    <row r="56" spans="1:92" ht="47.25" customHeight="1" x14ac:dyDescent="0.25">
      <c r="A56" s="691"/>
      <c r="B56" s="425"/>
      <c r="C56" s="690"/>
      <c r="D56" s="626"/>
      <c r="E56" s="425"/>
      <c r="F56" s="425" t="s">
        <v>156</v>
      </c>
      <c r="G56" s="425" t="s">
        <v>153</v>
      </c>
      <c r="H56" s="452" t="s">
        <v>1012</v>
      </c>
      <c r="I56" s="425" t="s">
        <v>157</v>
      </c>
      <c r="J56" s="425" t="s">
        <v>155</v>
      </c>
      <c r="K56" s="425"/>
      <c r="L56" s="425"/>
      <c r="M56" s="425"/>
      <c r="N56" s="425"/>
      <c r="O56" s="425"/>
      <c r="P56" s="425"/>
      <c r="Q56" s="581" t="s">
        <v>155</v>
      </c>
      <c r="R56" s="92" t="s">
        <v>41</v>
      </c>
      <c r="S56" s="612"/>
      <c r="T56" s="612"/>
      <c r="U56" s="612"/>
      <c r="V56" s="612"/>
      <c r="W56" s="425"/>
      <c r="X56" s="668"/>
      <c r="Y56" s="92" t="s">
        <v>41</v>
      </c>
      <c r="Z56" s="90">
        <v>1</v>
      </c>
      <c r="AA56" s="490">
        <v>0.52939999999999998</v>
      </c>
      <c r="AB56" s="495"/>
      <c r="AC56" s="495"/>
      <c r="AD56" s="425"/>
      <c r="AE56" s="554" t="s">
        <v>688</v>
      </c>
      <c r="AF56" s="556"/>
      <c r="AG56" s="513"/>
      <c r="AH56" s="490">
        <v>0.52939999999999998</v>
      </c>
      <c r="AI56" s="501"/>
      <c r="AJ56" s="501"/>
      <c r="AK56" s="425"/>
      <c r="AL56" s="479"/>
      <c r="AM56" s="557"/>
      <c r="AN56" s="558"/>
      <c r="AO56" s="490">
        <v>0.52939999999999998</v>
      </c>
      <c r="AP56" s="550"/>
      <c r="AQ56" s="550"/>
      <c r="AR56" s="425"/>
      <c r="AS56" s="479"/>
      <c r="AT56" s="530"/>
      <c r="AU56" s="531"/>
      <c r="AV56" s="490">
        <v>0.52939999999999998</v>
      </c>
      <c r="AW56" s="527"/>
      <c r="AX56" s="527"/>
      <c r="AY56" s="425"/>
      <c r="AZ56" s="521"/>
      <c r="BA56" s="515"/>
      <c r="BB56" s="513"/>
      <c r="BC56" s="490">
        <v>0.52939999999999998</v>
      </c>
      <c r="BD56" s="501"/>
      <c r="BE56" s="501"/>
      <c r="BF56" s="425"/>
      <c r="BG56" s="479" t="s">
        <v>957</v>
      </c>
      <c r="BH56" s="515" t="s">
        <v>419</v>
      </c>
      <c r="BI56" s="544">
        <v>6.8000000000000005E-2</v>
      </c>
      <c r="BJ56" s="625">
        <v>0</v>
      </c>
      <c r="BK56" s="501"/>
      <c r="BL56" s="501"/>
      <c r="BM56" s="513"/>
      <c r="BN56" s="615"/>
      <c r="BO56" s="626" t="s">
        <v>419</v>
      </c>
      <c r="BP56" s="489">
        <v>6.8000000000000005E-2</v>
      </c>
      <c r="BQ56" s="490">
        <v>0.52939999999999998</v>
      </c>
      <c r="BR56" s="495"/>
      <c r="BS56" s="495"/>
      <c r="BT56" s="425"/>
      <c r="BU56" s="617"/>
      <c r="BV56" s="452" t="s">
        <v>984</v>
      </c>
      <c r="BW56" s="489">
        <v>6.8000000000000005E-2</v>
      </c>
      <c r="BX56" s="490">
        <v>0.52939999999999998</v>
      </c>
      <c r="BY56" s="484"/>
      <c r="BZ56" s="484"/>
      <c r="CA56" s="473"/>
      <c r="CB56" s="452" t="s">
        <v>1012</v>
      </c>
      <c r="CC56" s="487"/>
      <c r="CD56" s="452" t="s">
        <v>984</v>
      </c>
      <c r="CE56" s="489">
        <v>6.8000000000000005E-2</v>
      </c>
      <c r="CF56" s="534">
        <v>0.52939999999999998</v>
      </c>
      <c r="CG56" s="463"/>
      <c r="CH56" s="463"/>
      <c r="CI56" s="471"/>
      <c r="CJ56" s="452" t="s">
        <v>1012</v>
      </c>
      <c r="CK56" s="721"/>
      <c r="CL56" s="425" t="s">
        <v>155</v>
      </c>
      <c r="CM56" s="421">
        <v>6.8000000000000005E-2</v>
      </c>
      <c r="CN56" s="442">
        <v>0</v>
      </c>
    </row>
    <row r="57" spans="1:92" ht="35.25" customHeight="1" x14ac:dyDescent="0.25">
      <c r="A57" s="691"/>
      <c r="B57" s="425"/>
      <c r="C57" s="690"/>
      <c r="D57" s="626"/>
      <c r="E57" s="425"/>
      <c r="F57" s="425"/>
      <c r="G57" s="425"/>
      <c r="H57" s="453"/>
      <c r="I57" s="425"/>
      <c r="J57" s="425"/>
      <c r="K57" s="425"/>
      <c r="L57" s="425"/>
      <c r="M57" s="425"/>
      <c r="N57" s="425"/>
      <c r="O57" s="425"/>
      <c r="P57" s="425"/>
      <c r="Q57" s="581"/>
      <c r="R57" s="92" t="s">
        <v>41</v>
      </c>
      <c r="S57" s="612"/>
      <c r="T57" s="612"/>
      <c r="U57" s="612"/>
      <c r="V57" s="612"/>
      <c r="W57" s="425"/>
      <c r="X57" s="668"/>
      <c r="Y57" s="92" t="s">
        <v>41</v>
      </c>
      <c r="Z57" s="553">
        <v>1</v>
      </c>
      <c r="AA57" s="490"/>
      <c r="AB57" s="495"/>
      <c r="AC57" s="495"/>
      <c r="AD57" s="425"/>
      <c r="AE57" s="554"/>
      <c r="AF57" s="177" t="s">
        <v>693</v>
      </c>
      <c r="AG57" s="85" t="s">
        <v>693</v>
      </c>
      <c r="AH57" s="490"/>
      <c r="AI57" s="69" t="s">
        <v>703</v>
      </c>
      <c r="AJ57" s="69" t="s">
        <v>704</v>
      </c>
      <c r="AK57" s="425"/>
      <c r="AL57" s="163" t="s">
        <v>759</v>
      </c>
      <c r="AM57" s="154" t="s">
        <v>693</v>
      </c>
      <c r="AN57" s="353" t="s">
        <v>693</v>
      </c>
      <c r="AO57" s="490"/>
      <c r="AP57" s="69" t="s">
        <v>801</v>
      </c>
      <c r="AQ57" s="69">
        <v>22400000</v>
      </c>
      <c r="AR57" s="425"/>
      <c r="AS57" s="367" t="s">
        <v>838</v>
      </c>
      <c r="AT57" s="171">
        <v>1</v>
      </c>
      <c r="AU57" s="125">
        <v>1</v>
      </c>
      <c r="AV57" s="490"/>
      <c r="AW57" s="181" t="s">
        <v>856</v>
      </c>
      <c r="AX57" s="181" t="s">
        <v>856</v>
      </c>
      <c r="AY57" s="425"/>
      <c r="AZ57" s="368" t="s">
        <v>897</v>
      </c>
      <c r="BA57" s="515"/>
      <c r="BB57" s="513"/>
      <c r="BC57" s="490"/>
      <c r="BD57" s="501"/>
      <c r="BE57" s="501"/>
      <c r="BF57" s="425"/>
      <c r="BG57" s="479"/>
      <c r="BH57" s="515"/>
      <c r="BI57" s="513"/>
      <c r="BJ57" s="625"/>
      <c r="BK57" s="501"/>
      <c r="BL57" s="501"/>
      <c r="BM57" s="513"/>
      <c r="BN57" s="615"/>
      <c r="BO57" s="626"/>
      <c r="BP57" s="425"/>
      <c r="BQ57" s="490"/>
      <c r="BR57" s="495"/>
      <c r="BS57" s="495"/>
      <c r="BT57" s="425"/>
      <c r="BU57" s="617"/>
      <c r="BV57" s="453"/>
      <c r="BW57" s="425"/>
      <c r="BX57" s="490"/>
      <c r="BY57" s="485"/>
      <c r="BZ57" s="485"/>
      <c r="CA57" s="474"/>
      <c r="CB57" s="453"/>
      <c r="CC57" s="488"/>
      <c r="CD57" s="453"/>
      <c r="CE57" s="425"/>
      <c r="CF57" s="534"/>
      <c r="CG57" s="457"/>
      <c r="CH57" s="457"/>
      <c r="CI57" s="470"/>
      <c r="CJ57" s="453"/>
      <c r="CK57" s="455"/>
      <c r="CL57" s="425"/>
      <c r="CM57" s="396"/>
      <c r="CN57" s="438"/>
    </row>
    <row r="58" spans="1:92" ht="198.75" customHeight="1" x14ac:dyDescent="0.25">
      <c r="A58" s="691"/>
      <c r="B58" s="425"/>
      <c r="C58" s="690"/>
      <c r="D58" s="111" t="s">
        <v>158</v>
      </c>
      <c r="E58" s="47" t="s">
        <v>159</v>
      </c>
      <c r="F58" s="47" t="s">
        <v>160</v>
      </c>
      <c r="G58" s="47" t="s">
        <v>161</v>
      </c>
      <c r="H58" s="85" t="s">
        <v>1019</v>
      </c>
      <c r="I58" s="47" t="s">
        <v>162</v>
      </c>
      <c r="J58" s="47" t="s">
        <v>163</v>
      </c>
      <c r="K58" s="47" t="s">
        <v>291</v>
      </c>
      <c r="L58" s="47" t="s">
        <v>347</v>
      </c>
      <c r="M58" s="47" t="s">
        <v>326</v>
      </c>
      <c r="N58" s="47" t="s">
        <v>388</v>
      </c>
      <c r="O58" s="47" t="s">
        <v>327</v>
      </c>
      <c r="P58" s="47" t="s">
        <v>391</v>
      </c>
      <c r="Q58" s="109" t="s">
        <v>163</v>
      </c>
      <c r="R58" s="92" t="s">
        <v>41</v>
      </c>
      <c r="S58" s="612"/>
      <c r="T58" s="612"/>
      <c r="U58" s="612"/>
      <c r="V58" s="612"/>
      <c r="W58" s="47" t="s">
        <v>275</v>
      </c>
      <c r="X58" s="668"/>
      <c r="Y58" s="92" t="s">
        <v>41</v>
      </c>
      <c r="Z58" s="553"/>
      <c r="AA58" s="256">
        <v>1</v>
      </c>
      <c r="AB58" s="270"/>
      <c r="AC58" s="270"/>
      <c r="AD58" s="47" t="s">
        <v>275</v>
      </c>
      <c r="AE58" s="554"/>
      <c r="AF58" s="314">
        <v>0.9</v>
      </c>
      <c r="AG58" s="292">
        <v>1</v>
      </c>
      <c r="AH58" s="256">
        <v>1</v>
      </c>
      <c r="AI58" s="69" t="s">
        <v>705</v>
      </c>
      <c r="AJ58" s="69" t="s">
        <v>706</v>
      </c>
      <c r="AK58" s="47" t="s">
        <v>275</v>
      </c>
      <c r="AL58" s="192" t="s">
        <v>760</v>
      </c>
      <c r="AM58" s="164">
        <v>0.95</v>
      </c>
      <c r="AN58" s="118">
        <v>0.95</v>
      </c>
      <c r="AO58" s="256">
        <v>1</v>
      </c>
      <c r="AP58" s="124" t="s">
        <v>804</v>
      </c>
      <c r="AQ58" s="124" t="s">
        <v>805</v>
      </c>
      <c r="AR58" s="47" t="s">
        <v>275</v>
      </c>
      <c r="AS58" s="172" t="s">
        <v>839</v>
      </c>
      <c r="AT58" s="369">
        <v>1</v>
      </c>
      <c r="AU58" s="370">
        <v>1</v>
      </c>
      <c r="AV58" s="256">
        <v>1</v>
      </c>
      <c r="AW58" s="181" t="s">
        <v>856</v>
      </c>
      <c r="AX58" s="181" t="s">
        <v>856</v>
      </c>
      <c r="AY58" s="47" t="s">
        <v>275</v>
      </c>
      <c r="AZ58" s="371" t="s">
        <v>1034</v>
      </c>
      <c r="BA58" s="177">
        <v>390</v>
      </c>
      <c r="BB58" s="85">
        <v>556</v>
      </c>
      <c r="BC58" s="256">
        <v>1</v>
      </c>
      <c r="BD58" s="69">
        <v>0</v>
      </c>
      <c r="BE58" s="69">
        <v>0</v>
      </c>
      <c r="BF58" s="47" t="s">
        <v>275</v>
      </c>
      <c r="BG58" s="163" t="s">
        <v>958</v>
      </c>
      <c r="BH58" s="177" t="s">
        <v>420</v>
      </c>
      <c r="BI58" s="187">
        <v>4358</v>
      </c>
      <c r="BJ58" s="14">
        <v>1</v>
      </c>
      <c r="BK58" s="69"/>
      <c r="BL58" s="69"/>
      <c r="BM58" s="85" t="s">
        <v>275</v>
      </c>
      <c r="BN58" s="326" t="s">
        <v>550</v>
      </c>
      <c r="BO58" s="111" t="s">
        <v>420</v>
      </c>
      <c r="BP58" s="188">
        <v>4358</v>
      </c>
      <c r="BQ58" s="256">
        <v>1</v>
      </c>
      <c r="BR58" s="270"/>
      <c r="BS58" s="270"/>
      <c r="BT58" s="47" t="s">
        <v>275</v>
      </c>
      <c r="BU58" s="282" t="s">
        <v>627</v>
      </c>
      <c r="BV58" s="372">
        <v>1150</v>
      </c>
      <c r="BW58" s="188">
        <v>4358</v>
      </c>
      <c r="BX58" s="256">
        <v>0</v>
      </c>
      <c r="BY58" s="272">
        <f>10000000+624000+
11170350+
135994000+
624000</f>
        <v>158412350</v>
      </c>
      <c r="BZ58" s="272">
        <f>10000000+624000+
22340700+
546239083+
624000</f>
        <v>579827783</v>
      </c>
      <c r="CA58" s="268">
        <v>1</v>
      </c>
      <c r="CB58" s="85" t="s">
        <v>1019</v>
      </c>
      <c r="CC58" s="373" t="s">
        <v>1084</v>
      </c>
      <c r="CD58" s="243">
        <v>1100</v>
      </c>
      <c r="CE58" s="188">
        <v>4358</v>
      </c>
      <c r="CF58" s="42">
        <v>0</v>
      </c>
      <c r="CG58" s="272">
        <f>23454000+10000000+624000+1500000+
22340700+
546239083+
624000+9775000+41044500</f>
        <v>655601283</v>
      </c>
      <c r="CH58" s="272">
        <f>41044500+10000000+624000+1500000+
11170350+
135994000+
624000+44965000+41044500</f>
        <v>286966350</v>
      </c>
      <c r="CI58" s="230">
        <f>CH58/CG58</f>
        <v>0.43771474742522737</v>
      </c>
      <c r="CJ58" s="85" t="s">
        <v>1019</v>
      </c>
      <c r="CK58" s="386" t="s">
        <v>1148</v>
      </c>
      <c r="CL58" s="47" t="s">
        <v>163</v>
      </c>
      <c r="CM58" s="217">
        <v>4358</v>
      </c>
      <c r="CN58" s="230">
        <v>0</v>
      </c>
    </row>
    <row r="59" spans="1:92" ht="205.5" customHeight="1" x14ac:dyDescent="0.25">
      <c r="A59" s="691"/>
      <c r="B59" s="425" t="s">
        <v>164</v>
      </c>
      <c r="C59" s="690" t="s">
        <v>165</v>
      </c>
      <c r="D59" s="111" t="s">
        <v>166</v>
      </c>
      <c r="E59" s="47" t="s">
        <v>167</v>
      </c>
      <c r="F59" s="47" t="s">
        <v>168</v>
      </c>
      <c r="G59" s="47" t="s">
        <v>169</v>
      </c>
      <c r="H59" s="85" t="s">
        <v>1020</v>
      </c>
      <c r="I59" s="47" t="s">
        <v>170</v>
      </c>
      <c r="J59" s="47" t="s">
        <v>171</v>
      </c>
      <c r="K59" s="57" t="s">
        <v>291</v>
      </c>
      <c r="L59" s="57" t="s">
        <v>323</v>
      </c>
      <c r="M59" s="57">
        <v>4301037</v>
      </c>
      <c r="N59" s="57" t="s">
        <v>324</v>
      </c>
      <c r="O59" s="57">
        <v>430103704</v>
      </c>
      <c r="P59" s="57" t="s">
        <v>325</v>
      </c>
      <c r="Q59" s="109" t="s">
        <v>171</v>
      </c>
      <c r="R59" s="92" t="s">
        <v>41</v>
      </c>
      <c r="S59" s="553"/>
      <c r="T59" s="553"/>
      <c r="U59" s="553"/>
      <c r="V59" s="553"/>
      <c r="W59" s="59" t="s">
        <v>262</v>
      </c>
      <c r="X59" s="668"/>
      <c r="Y59" s="92" t="s">
        <v>41</v>
      </c>
      <c r="Z59" s="90">
        <v>0</v>
      </c>
      <c r="AA59" s="54">
        <v>1</v>
      </c>
      <c r="AB59" s="55"/>
      <c r="AC59" s="55"/>
      <c r="AD59" s="59" t="s">
        <v>262</v>
      </c>
      <c r="AE59" s="554" t="s">
        <v>689</v>
      </c>
      <c r="AF59" s="177">
        <v>1</v>
      </c>
      <c r="AG59" s="85">
        <v>1</v>
      </c>
      <c r="AH59" s="54">
        <v>1</v>
      </c>
      <c r="AI59" s="501" t="s">
        <v>720</v>
      </c>
      <c r="AJ59" s="501" t="s">
        <v>721</v>
      </c>
      <c r="AK59" s="59" t="s">
        <v>262</v>
      </c>
      <c r="AL59" s="192" t="s">
        <v>761</v>
      </c>
      <c r="AM59" s="147">
        <v>1</v>
      </c>
      <c r="AN59" s="68">
        <v>1</v>
      </c>
      <c r="AO59" s="54">
        <v>1</v>
      </c>
      <c r="AP59" s="549" t="s">
        <v>806</v>
      </c>
      <c r="AQ59" s="513" t="s">
        <v>807</v>
      </c>
      <c r="AR59" s="59" t="s">
        <v>262</v>
      </c>
      <c r="AS59" s="479" t="s">
        <v>840</v>
      </c>
      <c r="AT59" s="529">
        <v>1</v>
      </c>
      <c r="AU59" s="517">
        <v>1</v>
      </c>
      <c r="AV59" s="54">
        <v>1</v>
      </c>
      <c r="AW59" s="533" t="s">
        <v>856</v>
      </c>
      <c r="AX59" s="516" t="s">
        <v>856</v>
      </c>
      <c r="AY59" s="59" t="s">
        <v>262</v>
      </c>
      <c r="AZ59" s="499" t="s">
        <v>898</v>
      </c>
      <c r="BA59" s="148">
        <v>1</v>
      </c>
      <c r="BB59" s="74">
        <v>1</v>
      </c>
      <c r="BC59" s="54">
        <v>1</v>
      </c>
      <c r="BD59" s="73" t="s">
        <v>928</v>
      </c>
      <c r="BE59" s="73">
        <v>31112000</v>
      </c>
      <c r="BF59" s="59" t="s">
        <v>262</v>
      </c>
      <c r="BG59" s="142" t="s">
        <v>959</v>
      </c>
      <c r="BH59" s="152"/>
      <c r="BI59" s="74">
        <v>1</v>
      </c>
      <c r="BJ59" s="75">
        <v>0</v>
      </c>
      <c r="BK59" s="73" t="s">
        <v>551</v>
      </c>
      <c r="BL59" s="73" t="s">
        <v>552</v>
      </c>
      <c r="BM59" s="78" t="s">
        <v>262</v>
      </c>
      <c r="BN59" s="142" t="s">
        <v>553</v>
      </c>
      <c r="BO59" s="139"/>
      <c r="BP59" s="47">
        <v>666</v>
      </c>
      <c r="BQ59" s="54">
        <v>1</v>
      </c>
      <c r="BR59" s="55">
        <v>42833333</v>
      </c>
      <c r="BS59" s="55" t="s">
        <v>628</v>
      </c>
      <c r="BT59" s="59" t="s">
        <v>262</v>
      </c>
      <c r="BU59" s="137" t="s">
        <v>629</v>
      </c>
      <c r="BV59" s="263">
        <v>90</v>
      </c>
      <c r="BW59" s="47">
        <v>692</v>
      </c>
      <c r="BX59" s="54">
        <v>1</v>
      </c>
      <c r="BY59" s="228">
        <f>20878000000+495000000+177000000</f>
        <v>21550000000</v>
      </c>
      <c r="BZ59" s="228">
        <f>8878000000+177000000+495000000</f>
        <v>9550000000</v>
      </c>
      <c r="CA59" s="207">
        <f>BZ59/BY59</f>
        <v>0.44315545243619492</v>
      </c>
      <c r="CB59" s="85" t="s">
        <v>1020</v>
      </c>
      <c r="CC59" s="253" t="s">
        <v>1065</v>
      </c>
      <c r="CD59" s="234">
        <v>90</v>
      </c>
      <c r="CE59" s="57">
        <f>692+4</f>
        <v>696</v>
      </c>
      <c r="CF59" s="54">
        <v>1</v>
      </c>
      <c r="CG59" s="228">
        <f>20878000000+495000000+177000000+5000000+1020000+5165000+10000000</f>
        <v>21571185000</v>
      </c>
      <c r="CH59" s="375">
        <f>8878000000+177000000+495000000+5000000+10200000+5165000+10000000</f>
        <v>9580365000</v>
      </c>
      <c r="CI59" s="207">
        <f>CH59/CG59</f>
        <v>0.44412789561630478</v>
      </c>
      <c r="CJ59" s="85" t="s">
        <v>1020</v>
      </c>
      <c r="CK59" s="385" t="s">
        <v>1127</v>
      </c>
      <c r="CL59" s="47">
        <v>90</v>
      </c>
      <c r="CM59" s="215">
        <v>696</v>
      </c>
      <c r="CN59" s="207">
        <v>1</v>
      </c>
    </row>
    <row r="60" spans="1:92" ht="106.5" customHeight="1" x14ac:dyDescent="0.25">
      <c r="A60" s="691"/>
      <c r="B60" s="425"/>
      <c r="C60" s="690"/>
      <c r="D60" s="626" t="s">
        <v>172</v>
      </c>
      <c r="E60" s="425" t="s">
        <v>173</v>
      </c>
      <c r="F60" s="47" t="s">
        <v>174</v>
      </c>
      <c r="G60" s="47" t="s">
        <v>169</v>
      </c>
      <c r="H60" s="85" t="s">
        <v>1020</v>
      </c>
      <c r="I60" s="32" t="s">
        <v>170</v>
      </c>
      <c r="J60" s="47" t="s">
        <v>171</v>
      </c>
      <c r="K60" s="447" t="s">
        <v>291</v>
      </c>
      <c r="L60" s="447" t="s">
        <v>348</v>
      </c>
      <c r="M60" s="425">
        <v>4302075</v>
      </c>
      <c r="N60" s="425" t="s">
        <v>349</v>
      </c>
      <c r="O60" s="425">
        <v>430207500</v>
      </c>
      <c r="P60" s="425" t="s">
        <v>350</v>
      </c>
      <c r="Q60" s="109" t="s">
        <v>171</v>
      </c>
      <c r="R60" s="92">
        <v>0</v>
      </c>
      <c r="S60" s="612"/>
      <c r="T60" s="612"/>
      <c r="U60" s="612"/>
      <c r="V60" s="612"/>
      <c r="W60" s="447" t="s">
        <v>269</v>
      </c>
      <c r="X60" s="668"/>
      <c r="Y60" s="92" t="s">
        <v>41</v>
      </c>
      <c r="Z60" s="91">
        <v>0.1</v>
      </c>
      <c r="AA60" s="42" t="e">
        <f>Z60/Y60</f>
        <v>#VALUE!</v>
      </c>
      <c r="AB60" s="510"/>
      <c r="AC60" s="510"/>
      <c r="AD60" s="447" t="s">
        <v>269</v>
      </c>
      <c r="AE60" s="554"/>
      <c r="AF60" s="177">
        <v>1</v>
      </c>
      <c r="AG60" s="85">
        <v>1</v>
      </c>
      <c r="AH60" s="42">
        <f>AG60/AF60</f>
        <v>1</v>
      </c>
      <c r="AI60" s="501"/>
      <c r="AJ60" s="501"/>
      <c r="AK60" s="447" t="s">
        <v>269</v>
      </c>
      <c r="AL60" s="192" t="s">
        <v>761</v>
      </c>
      <c r="AM60" s="147">
        <v>1</v>
      </c>
      <c r="AN60" s="68">
        <v>1</v>
      </c>
      <c r="AO60" s="42">
        <f>AN60/AM60</f>
        <v>1</v>
      </c>
      <c r="AP60" s="446"/>
      <c r="AQ60" s="446"/>
      <c r="AR60" s="447" t="s">
        <v>269</v>
      </c>
      <c r="AS60" s="479"/>
      <c r="AT60" s="529"/>
      <c r="AU60" s="517"/>
      <c r="AV60" s="42" t="e">
        <f>AU60/AT60</f>
        <v>#DIV/0!</v>
      </c>
      <c r="AW60" s="518"/>
      <c r="AX60" s="520"/>
      <c r="AY60" s="447" t="s">
        <v>269</v>
      </c>
      <c r="AZ60" s="499"/>
      <c r="BA60" s="148">
        <v>20</v>
      </c>
      <c r="BB60" s="74">
        <v>923</v>
      </c>
      <c r="BC60" s="42">
        <f>BB60/BA60</f>
        <v>46.15</v>
      </c>
      <c r="BD60" s="477" t="s">
        <v>928</v>
      </c>
      <c r="BE60" s="82">
        <v>623661206</v>
      </c>
      <c r="BF60" s="447" t="s">
        <v>269</v>
      </c>
      <c r="BG60" s="142" t="s">
        <v>960</v>
      </c>
      <c r="BH60" s="149">
        <v>0.7</v>
      </c>
      <c r="BI60" s="80">
        <f>6/12</f>
        <v>0.5</v>
      </c>
      <c r="BJ60" s="81">
        <f>BI60/BH60</f>
        <v>0.7142857142857143</v>
      </c>
      <c r="BK60" s="477" t="s">
        <v>554</v>
      </c>
      <c r="BL60" s="477" t="s">
        <v>555</v>
      </c>
      <c r="BM60" s="505" t="s">
        <v>269</v>
      </c>
      <c r="BN60" s="142" t="s">
        <v>556</v>
      </c>
      <c r="BO60" s="140">
        <v>80</v>
      </c>
      <c r="BP60" s="41">
        <v>69</v>
      </c>
      <c r="BQ60" s="42">
        <f>BP60/BO60</f>
        <v>0.86250000000000004</v>
      </c>
      <c r="BR60" s="510">
        <v>132200000</v>
      </c>
      <c r="BS60" s="510" t="s">
        <v>630</v>
      </c>
      <c r="BT60" s="447" t="s">
        <v>269</v>
      </c>
      <c r="BU60" s="137" t="s">
        <v>631</v>
      </c>
      <c r="BV60" s="118">
        <v>0.8</v>
      </c>
      <c r="BW60" s="56">
        <v>0.69</v>
      </c>
      <c r="BX60" s="42">
        <f>BW60/BV60</f>
        <v>0.86249999999999993</v>
      </c>
      <c r="BY60" s="456">
        <f>44580000+233685000+
12834828+177000000</f>
        <v>468099828</v>
      </c>
      <c r="BZ60" s="456">
        <f>44580000+233685000+
12834828+
177000000</f>
        <v>468099828</v>
      </c>
      <c r="CA60" s="475">
        <f>BZ60/BY60</f>
        <v>1</v>
      </c>
      <c r="CB60" s="85" t="s">
        <v>1020</v>
      </c>
      <c r="CC60" s="253" t="s">
        <v>1097</v>
      </c>
      <c r="CD60" s="234">
        <v>80</v>
      </c>
      <c r="CE60" s="265">
        <v>115</v>
      </c>
      <c r="CF60" s="42">
        <v>1</v>
      </c>
      <c r="CG60" s="456">
        <f>44580000+233685000+242000000+121000000+
12834828+177000000+(2067255637*0.34)+278428571+180000000</f>
        <v>1992395315.5799999</v>
      </c>
      <c r="CH60" s="456">
        <f>44580000+233685000+278428571+278428571+242000000+121000000+
12834828+
177000000+(265643218*0.34)+180000000</f>
        <v>1658275664.1199999</v>
      </c>
      <c r="CI60" s="475">
        <f>CH60/CG60</f>
        <v>0.83230253110551233</v>
      </c>
      <c r="CJ60" s="85" t="s">
        <v>1020</v>
      </c>
      <c r="CK60" s="385" t="s">
        <v>1128</v>
      </c>
      <c r="CL60" s="47" t="s">
        <v>171</v>
      </c>
      <c r="CM60" s="41">
        <v>69</v>
      </c>
      <c r="CN60" s="42">
        <v>0.69</v>
      </c>
    </row>
    <row r="61" spans="1:92" ht="48" customHeight="1" x14ac:dyDescent="0.25">
      <c r="A61" s="691"/>
      <c r="B61" s="425"/>
      <c r="C61" s="690"/>
      <c r="D61" s="626"/>
      <c r="E61" s="425"/>
      <c r="F61" s="47" t="s">
        <v>175</v>
      </c>
      <c r="G61" s="47" t="s">
        <v>169</v>
      </c>
      <c r="H61" s="85" t="s">
        <v>1020</v>
      </c>
      <c r="I61" s="32" t="s">
        <v>170</v>
      </c>
      <c r="J61" s="47" t="s">
        <v>171</v>
      </c>
      <c r="K61" s="447"/>
      <c r="L61" s="447"/>
      <c r="M61" s="425"/>
      <c r="N61" s="425"/>
      <c r="O61" s="425"/>
      <c r="P61" s="425"/>
      <c r="Q61" s="109" t="s">
        <v>171</v>
      </c>
      <c r="R61" s="92">
        <v>0</v>
      </c>
      <c r="S61" s="612"/>
      <c r="T61" s="612"/>
      <c r="U61" s="612"/>
      <c r="V61" s="612"/>
      <c r="W61" s="447"/>
      <c r="X61" s="668"/>
      <c r="Y61" s="92" t="s">
        <v>41</v>
      </c>
      <c r="Z61" s="90">
        <v>1</v>
      </c>
      <c r="AA61" s="42" t="e">
        <f>Z61/Y61</f>
        <v>#VALUE!</v>
      </c>
      <c r="AB61" s="510"/>
      <c r="AC61" s="624"/>
      <c r="AD61" s="447"/>
      <c r="AE61" s="554"/>
      <c r="AF61" s="177" t="s">
        <v>693</v>
      </c>
      <c r="AG61" s="85" t="s">
        <v>693</v>
      </c>
      <c r="AH61" s="42" t="e">
        <f>AG61/AF61</f>
        <v>#VALUE!</v>
      </c>
      <c r="AI61" s="501">
        <v>16300000</v>
      </c>
      <c r="AJ61" s="501">
        <v>14433333</v>
      </c>
      <c r="AK61" s="447"/>
      <c r="AL61" s="192" t="s">
        <v>762</v>
      </c>
      <c r="AM61" s="177" t="s">
        <v>693</v>
      </c>
      <c r="AN61" s="85" t="s">
        <v>693</v>
      </c>
      <c r="AO61" s="42" t="e">
        <f>AN61/AM61</f>
        <v>#VALUE!</v>
      </c>
      <c r="AP61" s="549">
        <v>363307447</v>
      </c>
      <c r="AQ61" s="549">
        <v>73250000</v>
      </c>
      <c r="AR61" s="447"/>
      <c r="AS61" s="479" t="s">
        <v>841</v>
      </c>
      <c r="AT61" s="171">
        <v>1</v>
      </c>
      <c r="AU61" s="125">
        <v>1</v>
      </c>
      <c r="AV61" s="42">
        <f>AU61/AT61</f>
        <v>1</v>
      </c>
      <c r="AW61" s="181" t="s">
        <v>856</v>
      </c>
      <c r="AX61" s="181" t="s">
        <v>856</v>
      </c>
      <c r="AY61" s="447"/>
      <c r="AZ61" s="176" t="s">
        <v>899</v>
      </c>
      <c r="BA61" s="148">
        <v>20</v>
      </c>
      <c r="BB61" s="74">
        <f>20+1755</f>
        <v>1775</v>
      </c>
      <c r="BC61" s="42">
        <f>BB61/BA61</f>
        <v>88.75</v>
      </c>
      <c r="BD61" s="477"/>
      <c r="BE61" s="82">
        <v>75485000</v>
      </c>
      <c r="BF61" s="447"/>
      <c r="BG61" s="142" t="s">
        <v>961</v>
      </c>
      <c r="BH61" s="149">
        <v>0.7</v>
      </c>
      <c r="BI61" s="74">
        <v>0</v>
      </c>
      <c r="BJ61" s="81">
        <v>0</v>
      </c>
      <c r="BK61" s="477"/>
      <c r="BL61" s="623"/>
      <c r="BM61" s="505"/>
      <c r="BN61" s="142" t="s">
        <v>557</v>
      </c>
      <c r="BO61" s="140">
        <v>80</v>
      </c>
      <c r="BP61" s="41">
        <v>69</v>
      </c>
      <c r="BQ61" s="42">
        <f>BP61/BO61</f>
        <v>0.86250000000000004</v>
      </c>
      <c r="BR61" s="510"/>
      <c r="BS61" s="624"/>
      <c r="BT61" s="447"/>
      <c r="BU61" s="137" t="s">
        <v>632</v>
      </c>
      <c r="BV61" s="118">
        <v>0.9</v>
      </c>
      <c r="BW61" s="56">
        <v>0.69</v>
      </c>
      <c r="BX61" s="42">
        <f>BW61/BV61</f>
        <v>0.76666666666666661</v>
      </c>
      <c r="BY61" s="457"/>
      <c r="BZ61" s="491"/>
      <c r="CA61" s="476"/>
      <c r="CB61" s="85" t="s">
        <v>1020</v>
      </c>
      <c r="CC61" s="249" t="s">
        <v>1066</v>
      </c>
      <c r="CD61" s="234">
        <v>90</v>
      </c>
      <c r="CE61" s="265">
        <v>20</v>
      </c>
      <c r="CF61" s="42">
        <f>CE61/CD61</f>
        <v>0.22222222222222221</v>
      </c>
      <c r="CG61" s="457"/>
      <c r="CH61" s="491"/>
      <c r="CI61" s="476"/>
      <c r="CJ61" s="85" t="s">
        <v>1020</v>
      </c>
      <c r="CK61" s="380" t="s">
        <v>1129</v>
      </c>
      <c r="CL61" s="47" t="s">
        <v>171</v>
      </c>
      <c r="CM61" s="41">
        <v>69</v>
      </c>
      <c r="CN61" s="40">
        <v>0.69</v>
      </c>
    </row>
    <row r="62" spans="1:92" ht="327.75" customHeight="1" x14ac:dyDescent="0.25">
      <c r="A62" s="691"/>
      <c r="B62" s="425"/>
      <c r="C62" s="690"/>
      <c r="D62" s="626" t="s">
        <v>176</v>
      </c>
      <c r="E62" s="425" t="s">
        <v>177</v>
      </c>
      <c r="F62" s="47" t="s">
        <v>178</v>
      </c>
      <c r="G62" s="47" t="s">
        <v>179</v>
      </c>
      <c r="H62" s="85" t="s">
        <v>1021</v>
      </c>
      <c r="I62" s="47" t="s">
        <v>170</v>
      </c>
      <c r="J62" s="47" t="s">
        <v>180</v>
      </c>
      <c r="K62" s="447" t="s">
        <v>291</v>
      </c>
      <c r="L62" s="447" t="s">
        <v>323</v>
      </c>
      <c r="M62" s="447">
        <v>4301037</v>
      </c>
      <c r="N62" s="447" t="s">
        <v>324</v>
      </c>
      <c r="O62" s="447">
        <v>430103704</v>
      </c>
      <c r="P62" s="447" t="s">
        <v>325</v>
      </c>
      <c r="Q62" s="109" t="s">
        <v>180</v>
      </c>
      <c r="R62" s="92"/>
      <c r="S62" s="670"/>
      <c r="T62" s="670">
        <v>0</v>
      </c>
      <c r="U62" s="670"/>
      <c r="V62" s="670" t="s">
        <v>500</v>
      </c>
      <c r="W62" s="447" t="s">
        <v>270</v>
      </c>
      <c r="X62" s="668" t="s">
        <v>501</v>
      </c>
      <c r="Y62" s="92"/>
      <c r="Z62" s="90">
        <v>5</v>
      </c>
      <c r="AA62" s="40">
        <v>1</v>
      </c>
      <c r="AB62" s="510"/>
      <c r="AC62" s="577"/>
      <c r="AD62" s="447" t="s">
        <v>270</v>
      </c>
      <c r="AE62" s="554" t="s">
        <v>690</v>
      </c>
      <c r="AF62" s="177" t="s">
        <v>693</v>
      </c>
      <c r="AG62" s="85" t="s">
        <v>693</v>
      </c>
      <c r="AH62" s="40">
        <v>1</v>
      </c>
      <c r="AI62" s="501"/>
      <c r="AJ62" s="501"/>
      <c r="AK62" s="447" t="s">
        <v>270</v>
      </c>
      <c r="AL62" s="192" t="s">
        <v>762</v>
      </c>
      <c r="AM62" s="177" t="s">
        <v>693</v>
      </c>
      <c r="AN62" s="85" t="s">
        <v>693</v>
      </c>
      <c r="AO62" s="40">
        <v>1</v>
      </c>
      <c r="AP62" s="513"/>
      <c r="AQ62" s="513"/>
      <c r="AR62" s="447" t="s">
        <v>270</v>
      </c>
      <c r="AS62" s="479"/>
      <c r="AT62" s="171">
        <v>1</v>
      </c>
      <c r="AU62" s="125">
        <v>1</v>
      </c>
      <c r="AV62" s="40">
        <v>1</v>
      </c>
      <c r="AW62" s="181" t="s">
        <v>856</v>
      </c>
      <c r="AX62" s="181" t="s">
        <v>856</v>
      </c>
      <c r="AY62" s="447" t="s">
        <v>270</v>
      </c>
      <c r="AZ62" s="175" t="s">
        <v>900</v>
      </c>
      <c r="BA62" s="148">
        <v>13</v>
      </c>
      <c r="BB62" s="74">
        <v>13</v>
      </c>
      <c r="BC62" s="40">
        <v>1</v>
      </c>
      <c r="BD62" s="477"/>
      <c r="BE62" s="477">
        <v>181115580</v>
      </c>
      <c r="BF62" s="447" t="s">
        <v>270</v>
      </c>
      <c r="BG62" s="142" t="s">
        <v>962</v>
      </c>
      <c r="BH62" s="149">
        <v>0.14000000000000001</v>
      </c>
      <c r="BI62" s="74">
        <v>0</v>
      </c>
      <c r="BJ62" s="77">
        <v>0</v>
      </c>
      <c r="BK62" s="82"/>
      <c r="BL62" s="508"/>
      <c r="BM62" s="505" t="s">
        <v>270</v>
      </c>
      <c r="BN62" s="142" t="s">
        <v>558</v>
      </c>
      <c r="BO62" s="134">
        <v>0.16</v>
      </c>
      <c r="BP62" s="59">
        <v>0.2</v>
      </c>
      <c r="BQ62" s="40">
        <v>1</v>
      </c>
      <c r="BR62" s="510" t="s">
        <v>459</v>
      </c>
      <c r="BS62" s="577" t="s">
        <v>633</v>
      </c>
      <c r="BT62" s="447" t="s">
        <v>270</v>
      </c>
      <c r="BU62" s="142" t="s">
        <v>634</v>
      </c>
      <c r="BV62" s="118">
        <v>0.18</v>
      </c>
      <c r="BW62" s="59" t="s">
        <v>1088</v>
      </c>
      <c r="BX62" s="40">
        <v>1</v>
      </c>
      <c r="BY62" s="456">
        <f>1468000000+5250000+
9500000+260366700+90000000</f>
        <v>1833116700</v>
      </c>
      <c r="BZ62" s="577">
        <f>546239083+5250000+9500000+169238355+90000000</f>
        <v>820227438</v>
      </c>
      <c r="CA62" s="469">
        <f>BZ62/BY62</f>
        <v>0.44744965664215486</v>
      </c>
      <c r="CB62" s="85" t="s">
        <v>1021</v>
      </c>
      <c r="CC62" s="253" t="s">
        <v>1089</v>
      </c>
      <c r="CD62" s="87">
        <v>0.2</v>
      </c>
      <c r="CE62" s="59" t="s">
        <v>1088</v>
      </c>
      <c r="CF62" s="40">
        <v>1</v>
      </c>
      <c r="CG62" s="456">
        <f>1468000000+5250000+278428571+278428571+121000000+
9500000+260366700+90000000+(2067255637*0.34)+37200000+80000000+92456211</f>
        <v>3423496969.5799999</v>
      </c>
      <c r="CH62" s="731">
        <f>546239083+5250000+9500000+121000000+169238355+90000000+(265643218*0.34)+37200000+278428571+80000000+3182000</f>
        <v>1430356703.1199999</v>
      </c>
      <c r="CI62" s="469">
        <f>CH62/CG62</f>
        <v>0.41780574536202331</v>
      </c>
      <c r="CJ62" s="85" t="s">
        <v>1021</v>
      </c>
      <c r="CK62" s="385" t="s">
        <v>1149</v>
      </c>
      <c r="CL62" s="57" t="s">
        <v>180</v>
      </c>
      <c r="CM62" s="59" t="s">
        <v>1088</v>
      </c>
      <c r="CN62" s="216">
        <v>1</v>
      </c>
    </row>
    <row r="63" spans="1:92" ht="297.75" customHeight="1" x14ac:dyDescent="0.25">
      <c r="A63" s="691"/>
      <c r="B63" s="425"/>
      <c r="C63" s="690"/>
      <c r="D63" s="626"/>
      <c r="E63" s="425"/>
      <c r="F63" s="47" t="s">
        <v>181</v>
      </c>
      <c r="G63" s="47" t="s">
        <v>179</v>
      </c>
      <c r="H63" s="85" t="s">
        <v>1021</v>
      </c>
      <c r="I63" s="47" t="s">
        <v>182</v>
      </c>
      <c r="J63" s="47" t="s">
        <v>180</v>
      </c>
      <c r="K63" s="447"/>
      <c r="L63" s="447"/>
      <c r="M63" s="447"/>
      <c r="N63" s="447"/>
      <c r="O63" s="447"/>
      <c r="P63" s="447"/>
      <c r="Q63" s="109" t="s">
        <v>180</v>
      </c>
      <c r="R63" s="92"/>
      <c r="S63" s="671"/>
      <c r="T63" s="671"/>
      <c r="U63" s="671"/>
      <c r="V63" s="671"/>
      <c r="W63" s="447"/>
      <c r="X63" s="668"/>
      <c r="Y63" s="92"/>
      <c r="Z63" s="90">
        <v>0</v>
      </c>
      <c r="AA63" s="60">
        <v>0</v>
      </c>
      <c r="AB63" s="510"/>
      <c r="AC63" s="578"/>
      <c r="AD63" s="447"/>
      <c r="AE63" s="554"/>
      <c r="AF63" s="177">
        <v>1</v>
      </c>
      <c r="AG63" s="85">
        <v>1</v>
      </c>
      <c r="AH63" s="60">
        <v>0</v>
      </c>
      <c r="AI63" s="69" t="s">
        <v>722</v>
      </c>
      <c r="AJ63" s="69" t="s">
        <v>722</v>
      </c>
      <c r="AK63" s="447"/>
      <c r="AL63" s="192" t="s">
        <v>763</v>
      </c>
      <c r="AM63" s="147">
        <v>1</v>
      </c>
      <c r="AN63" s="68">
        <v>1</v>
      </c>
      <c r="AO63" s="60">
        <v>0</v>
      </c>
      <c r="AP63" s="69" t="s">
        <v>808</v>
      </c>
      <c r="AQ63" s="69" t="s">
        <v>808</v>
      </c>
      <c r="AR63" s="447"/>
      <c r="AS63" s="163" t="s">
        <v>842</v>
      </c>
      <c r="AT63" s="171">
        <v>1</v>
      </c>
      <c r="AU63" s="125">
        <v>1</v>
      </c>
      <c r="AV63" s="60">
        <v>0</v>
      </c>
      <c r="AW63" s="181" t="s">
        <v>856</v>
      </c>
      <c r="AX63" s="181" t="s">
        <v>856</v>
      </c>
      <c r="AY63" s="447"/>
      <c r="AZ63" s="174" t="s">
        <v>901</v>
      </c>
      <c r="BA63" s="148">
        <v>1</v>
      </c>
      <c r="BB63" s="74">
        <v>1</v>
      </c>
      <c r="BC63" s="60">
        <v>0</v>
      </c>
      <c r="BD63" s="477"/>
      <c r="BE63" s="477"/>
      <c r="BF63" s="447"/>
      <c r="BG63" s="142" t="s">
        <v>963</v>
      </c>
      <c r="BH63" s="149">
        <v>0.14000000000000001</v>
      </c>
      <c r="BI63" s="74">
        <v>0</v>
      </c>
      <c r="BJ63" s="77">
        <v>0</v>
      </c>
      <c r="BK63" s="80"/>
      <c r="BL63" s="508"/>
      <c r="BM63" s="505"/>
      <c r="BN63" s="142" t="s">
        <v>1035</v>
      </c>
      <c r="BO63" s="134">
        <v>0.16</v>
      </c>
      <c r="BP63" s="57">
        <v>0</v>
      </c>
      <c r="BQ63" s="60">
        <v>0</v>
      </c>
      <c r="BR63" s="510"/>
      <c r="BS63" s="578"/>
      <c r="BT63" s="447"/>
      <c r="BU63" s="142" t="s">
        <v>1036</v>
      </c>
      <c r="BV63" s="118">
        <v>0.18</v>
      </c>
      <c r="BW63" s="59">
        <v>0.79</v>
      </c>
      <c r="BX63" s="60">
        <v>1</v>
      </c>
      <c r="BY63" s="457"/>
      <c r="BZ63" s="578"/>
      <c r="CA63" s="470"/>
      <c r="CB63" s="85" t="s">
        <v>1021</v>
      </c>
      <c r="CC63" s="253" t="s">
        <v>1087</v>
      </c>
      <c r="CD63" s="87">
        <v>0.2</v>
      </c>
      <c r="CE63" s="59">
        <v>0.79</v>
      </c>
      <c r="CF63" s="60">
        <v>1</v>
      </c>
      <c r="CG63" s="457"/>
      <c r="CH63" s="731"/>
      <c r="CI63" s="470"/>
      <c r="CJ63" s="85" t="s">
        <v>1021</v>
      </c>
      <c r="CK63" s="385" t="s">
        <v>1130</v>
      </c>
      <c r="CL63" s="47" t="s">
        <v>180</v>
      </c>
      <c r="CM63" s="61">
        <v>0.3</v>
      </c>
      <c r="CN63" s="230">
        <v>1</v>
      </c>
    </row>
    <row r="64" spans="1:92" ht="148.5" customHeight="1" x14ac:dyDescent="0.25">
      <c r="A64" s="691"/>
      <c r="B64" s="425"/>
      <c r="C64" s="690"/>
      <c r="D64" s="111" t="s">
        <v>183</v>
      </c>
      <c r="E64" s="47" t="s">
        <v>184</v>
      </c>
      <c r="F64" s="32" t="s">
        <v>185</v>
      </c>
      <c r="G64" s="47" t="s">
        <v>186</v>
      </c>
      <c r="H64" s="85" t="s">
        <v>1022</v>
      </c>
      <c r="I64" s="32">
        <v>0</v>
      </c>
      <c r="J64" s="47">
        <v>8</v>
      </c>
      <c r="K64" s="57" t="s">
        <v>291</v>
      </c>
      <c r="L64" s="57" t="s">
        <v>323</v>
      </c>
      <c r="M64" s="57">
        <v>4301037</v>
      </c>
      <c r="N64" s="57" t="s">
        <v>324</v>
      </c>
      <c r="O64" s="57">
        <v>430103704</v>
      </c>
      <c r="P64" s="57" t="s">
        <v>325</v>
      </c>
      <c r="Q64" s="109">
        <v>8</v>
      </c>
      <c r="R64" s="92"/>
      <c r="S64" s="671"/>
      <c r="T64" s="671"/>
      <c r="U64" s="671"/>
      <c r="V64" s="671"/>
      <c r="W64" s="57" t="s">
        <v>271</v>
      </c>
      <c r="X64" s="668"/>
      <c r="Y64" s="92"/>
      <c r="Z64" s="90">
        <v>10</v>
      </c>
      <c r="AA64" s="60">
        <v>1</v>
      </c>
      <c r="AB64" s="50"/>
      <c r="AC64" s="65"/>
      <c r="AD64" s="57" t="s">
        <v>271</v>
      </c>
      <c r="AE64" s="554"/>
      <c r="AF64" s="193">
        <v>3</v>
      </c>
      <c r="AG64" s="115">
        <v>0</v>
      </c>
      <c r="AH64" s="60">
        <v>1</v>
      </c>
      <c r="AI64" s="69" t="s">
        <v>723</v>
      </c>
      <c r="AJ64" s="69" t="s">
        <v>724</v>
      </c>
      <c r="AK64" s="57" t="s">
        <v>271</v>
      </c>
      <c r="AL64" s="194" t="s">
        <v>764</v>
      </c>
      <c r="AM64" s="147">
        <v>3</v>
      </c>
      <c r="AN64" s="68">
        <v>3</v>
      </c>
      <c r="AO64" s="60">
        <v>1</v>
      </c>
      <c r="AP64" s="69">
        <v>15000000</v>
      </c>
      <c r="AQ64" s="69">
        <v>10800000</v>
      </c>
      <c r="AR64" s="57" t="s">
        <v>271</v>
      </c>
      <c r="AS64" s="163" t="s">
        <v>843</v>
      </c>
      <c r="AT64" s="171">
        <v>3</v>
      </c>
      <c r="AU64" s="125">
        <v>3</v>
      </c>
      <c r="AV64" s="60">
        <v>1</v>
      </c>
      <c r="AW64" s="181" t="s">
        <v>856</v>
      </c>
      <c r="AX64" s="181" t="s">
        <v>856</v>
      </c>
      <c r="AY64" s="57" t="s">
        <v>271</v>
      </c>
      <c r="AZ64" s="174" t="s">
        <v>902</v>
      </c>
      <c r="BA64" s="148">
        <v>1</v>
      </c>
      <c r="BB64" s="74">
        <v>3</v>
      </c>
      <c r="BC64" s="60">
        <v>1</v>
      </c>
      <c r="BD64" s="73">
        <v>573181075</v>
      </c>
      <c r="BE64" s="73">
        <v>209343900</v>
      </c>
      <c r="BF64" s="57" t="s">
        <v>271</v>
      </c>
      <c r="BG64" s="165" t="s">
        <v>964</v>
      </c>
      <c r="BH64" s="150">
        <v>6</v>
      </c>
      <c r="BI64" s="74">
        <v>3</v>
      </c>
      <c r="BJ64" s="77">
        <v>0.5</v>
      </c>
      <c r="BK64" s="83">
        <v>490000000</v>
      </c>
      <c r="BL64" s="83">
        <v>490000000</v>
      </c>
      <c r="BM64" s="74" t="s">
        <v>271</v>
      </c>
      <c r="BN64" s="142" t="s">
        <v>559</v>
      </c>
      <c r="BO64" s="136">
        <v>6</v>
      </c>
      <c r="BP64" s="57">
        <v>10</v>
      </c>
      <c r="BQ64" s="60">
        <v>1</v>
      </c>
      <c r="BR64" s="50">
        <v>130000000</v>
      </c>
      <c r="BS64" s="43" t="s">
        <v>635</v>
      </c>
      <c r="BT64" s="57" t="s">
        <v>271</v>
      </c>
      <c r="BU64" s="142" t="s">
        <v>636</v>
      </c>
      <c r="BV64" s="234">
        <v>7</v>
      </c>
      <c r="BW64" s="57">
        <v>7</v>
      </c>
      <c r="BX64" s="60">
        <v>1</v>
      </c>
      <c r="BY64" s="50">
        <f>9000000+43275000+
83000</f>
        <v>52358000</v>
      </c>
      <c r="BZ64" s="50">
        <f>9000000+43275000+
83000</f>
        <v>52358000</v>
      </c>
      <c r="CA64" s="60">
        <f>BZ64/BY64</f>
        <v>1</v>
      </c>
      <c r="CB64" s="85" t="s">
        <v>1022</v>
      </c>
      <c r="CC64" s="254" t="s">
        <v>1067</v>
      </c>
      <c r="CD64" s="261">
        <v>8</v>
      </c>
      <c r="CE64" s="57">
        <v>11</v>
      </c>
      <c r="CF64" s="60">
        <v>1</v>
      </c>
      <c r="CG64" s="50">
        <f>9000000+43275000+40000000+
83000+2850000+80000000</f>
        <v>175208000</v>
      </c>
      <c r="CH64" s="55">
        <f>9000000+43275000+40000000+2850000
+83000+80000000</f>
        <v>175208000</v>
      </c>
      <c r="CI64" s="60">
        <f>CH64/CG64</f>
        <v>1</v>
      </c>
      <c r="CJ64" s="85" t="s">
        <v>1022</v>
      </c>
      <c r="CK64" s="381" t="s">
        <v>1131</v>
      </c>
      <c r="CL64" s="47">
        <v>8</v>
      </c>
      <c r="CM64" s="57">
        <v>11</v>
      </c>
      <c r="CN64" s="60">
        <v>1</v>
      </c>
    </row>
    <row r="65" spans="1:93" ht="147" customHeight="1" x14ac:dyDescent="0.25">
      <c r="A65" s="691"/>
      <c r="B65" s="425"/>
      <c r="C65" s="690"/>
      <c r="D65" s="111" t="s">
        <v>187</v>
      </c>
      <c r="E65" s="47" t="s">
        <v>188</v>
      </c>
      <c r="F65" s="32" t="s">
        <v>448</v>
      </c>
      <c r="G65" s="32" t="s">
        <v>189</v>
      </c>
      <c r="H65" s="68" t="s">
        <v>1023</v>
      </c>
      <c r="I65" s="32" t="s">
        <v>170</v>
      </c>
      <c r="J65" s="47">
        <v>30</v>
      </c>
      <c r="K65" s="57" t="s">
        <v>295</v>
      </c>
      <c r="L65" s="57" t="s">
        <v>351</v>
      </c>
      <c r="M65" s="47">
        <v>3502046</v>
      </c>
      <c r="N65" s="47" t="s">
        <v>352</v>
      </c>
      <c r="O65" s="47">
        <v>350204600</v>
      </c>
      <c r="P65" s="47" t="s">
        <v>353</v>
      </c>
      <c r="Q65" s="109">
        <v>30</v>
      </c>
      <c r="R65" s="92"/>
      <c r="S65" s="671"/>
      <c r="T65" s="671"/>
      <c r="U65" s="671"/>
      <c r="V65" s="671"/>
      <c r="W65" s="57" t="s">
        <v>283</v>
      </c>
      <c r="X65" s="668"/>
      <c r="Y65" s="92">
        <v>1</v>
      </c>
      <c r="Z65" s="90">
        <v>1</v>
      </c>
      <c r="AA65" s="40">
        <f>Z65/Y65</f>
        <v>1</v>
      </c>
      <c r="AB65" s="55"/>
      <c r="AC65" s="55"/>
      <c r="AD65" s="57" t="s">
        <v>283</v>
      </c>
      <c r="AE65" s="554"/>
      <c r="AF65" s="199">
        <v>1</v>
      </c>
      <c r="AG65" s="200">
        <v>1</v>
      </c>
      <c r="AH65" s="40">
        <f>AG65/AF65</f>
        <v>1</v>
      </c>
      <c r="AI65" s="501" t="s">
        <v>725</v>
      </c>
      <c r="AJ65" s="501" t="s">
        <v>726</v>
      </c>
      <c r="AK65" s="57" t="s">
        <v>283</v>
      </c>
      <c r="AL65" s="479" t="s">
        <v>765</v>
      </c>
      <c r="AM65" s="199">
        <v>1</v>
      </c>
      <c r="AN65" s="200">
        <v>1</v>
      </c>
      <c r="AO65" s="40">
        <f>AN65/AM65</f>
        <v>1</v>
      </c>
      <c r="AP65" s="501" t="s">
        <v>809</v>
      </c>
      <c r="AQ65" s="501">
        <v>185210909</v>
      </c>
      <c r="AR65" s="57" t="s">
        <v>283</v>
      </c>
      <c r="AS65" s="479" t="s">
        <v>844</v>
      </c>
      <c r="AT65" s="201">
        <v>1</v>
      </c>
      <c r="AU65" s="202">
        <v>1</v>
      </c>
      <c r="AV65" s="40">
        <f>AU65/AT65</f>
        <v>1</v>
      </c>
      <c r="AW65" s="518" t="s">
        <v>856</v>
      </c>
      <c r="AX65" s="532" t="s">
        <v>856</v>
      </c>
      <c r="AY65" s="57" t="s">
        <v>283</v>
      </c>
      <c r="AZ65" s="521" t="s">
        <v>903</v>
      </c>
      <c r="BA65" s="166">
        <v>3</v>
      </c>
      <c r="BB65" s="129">
        <v>3</v>
      </c>
      <c r="BC65" s="40">
        <f>BB65/BA65</f>
        <v>1</v>
      </c>
      <c r="BD65" s="73">
        <v>119240000</v>
      </c>
      <c r="BE65" s="73">
        <v>95010000</v>
      </c>
      <c r="BF65" s="57" t="s">
        <v>283</v>
      </c>
      <c r="BG65" s="167" t="s">
        <v>965</v>
      </c>
      <c r="BH65" s="150">
        <v>2</v>
      </c>
      <c r="BI65" s="74">
        <v>0</v>
      </c>
      <c r="BJ65" s="84">
        <v>0</v>
      </c>
      <c r="BK65" s="121"/>
      <c r="BL65" s="73"/>
      <c r="BM65" s="74" t="s">
        <v>283</v>
      </c>
      <c r="BN65" s="151" t="s">
        <v>560</v>
      </c>
      <c r="BO65" s="95">
        <v>4</v>
      </c>
      <c r="BP65" s="47">
        <v>1</v>
      </c>
      <c r="BQ65" s="40">
        <f>BP65/BO65</f>
        <v>0.25</v>
      </c>
      <c r="BR65" s="55">
        <v>3000000</v>
      </c>
      <c r="BS65" s="55">
        <v>1000000</v>
      </c>
      <c r="BT65" s="57" t="s">
        <v>283</v>
      </c>
      <c r="BU65" s="141" t="s">
        <v>637</v>
      </c>
      <c r="BV65" s="203">
        <v>4</v>
      </c>
      <c r="BW65" s="47">
        <v>1</v>
      </c>
      <c r="BX65" s="40">
        <f>BW65/BV65</f>
        <v>0.25</v>
      </c>
      <c r="BY65" s="241">
        <v>3000000</v>
      </c>
      <c r="BZ65" s="241">
        <v>3000000</v>
      </c>
      <c r="CA65" s="40">
        <f>BZ65/BY65</f>
        <v>1</v>
      </c>
      <c r="CB65" s="68" t="s">
        <v>1023</v>
      </c>
      <c r="CC65" s="254" t="s">
        <v>1068</v>
      </c>
      <c r="CD65" s="243">
        <v>8</v>
      </c>
      <c r="CE65" s="47">
        <v>2</v>
      </c>
      <c r="CF65" s="40">
        <f>CE65/CD65</f>
        <v>0.25</v>
      </c>
      <c r="CG65" s="241">
        <f>3000000+8000000+8000000+28000000</f>
        <v>47000000</v>
      </c>
      <c r="CH65" s="241">
        <f>1500000+2000000+5000000+7000000</f>
        <v>15500000</v>
      </c>
      <c r="CI65" s="40">
        <f>CH65/CG65</f>
        <v>0.32978723404255317</v>
      </c>
      <c r="CJ65" s="68" t="s">
        <v>1023</v>
      </c>
      <c r="CK65" s="381" t="s">
        <v>1150</v>
      </c>
      <c r="CL65" s="47">
        <v>30</v>
      </c>
      <c r="CM65" s="47">
        <v>11</v>
      </c>
      <c r="CN65" s="40">
        <v>0.3</v>
      </c>
    </row>
    <row r="66" spans="1:93" ht="77.25" customHeight="1" x14ac:dyDescent="0.25">
      <c r="A66" s="691"/>
      <c r="B66" s="425" t="s">
        <v>190</v>
      </c>
      <c r="C66" s="690" t="s">
        <v>191</v>
      </c>
      <c r="D66" s="626" t="s">
        <v>192</v>
      </c>
      <c r="E66" s="425" t="s">
        <v>193</v>
      </c>
      <c r="F66" s="425" t="s">
        <v>194</v>
      </c>
      <c r="G66" s="425" t="s">
        <v>195</v>
      </c>
      <c r="H66" s="452" t="s">
        <v>1024</v>
      </c>
      <c r="I66" s="676" t="s">
        <v>170</v>
      </c>
      <c r="J66" s="425" t="s">
        <v>196</v>
      </c>
      <c r="K66" s="447" t="s">
        <v>291</v>
      </c>
      <c r="L66" s="447" t="s">
        <v>354</v>
      </c>
      <c r="M66" s="425">
        <v>3301073</v>
      </c>
      <c r="N66" s="425" t="s">
        <v>355</v>
      </c>
      <c r="O66" s="425">
        <v>330107301</v>
      </c>
      <c r="P66" s="425" t="s">
        <v>356</v>
      </c>
      <c r="Q66" s="581" t="s">
        <v>196</v>
      </c>
      <c r="R66" s="620">
        <v>160</v>
      </c>
      <c r="S66" s="425">
        <v>118</v>
      </c>
      <c r="T66" s="534">
        <f>S66/R66</f>
        <v>0.73750000000000004</v>
      </c>
      <c r="U66" s="510" t="s">
        <v>471</v>
      </c>
      <c r="V66" s="510" t="s">
        <v>472</v>
      </c>
      <c r="W66" s="447" t="s">
        <v>272</v>
      </c>
      <c r="X66" s="511" t="s">
        <v>473</v>
      </c>
      <c r="Y66" s="620">
        <v>160</v>
      </c>
      <c r="Z66" s="425">
        <v>118</v>
      </c>
      <c r="AA66" s="534">
        <f>Z66/Y66</f>
        <v>0.73750000000000004</v>
      </c>
      <c r="AB66" s="510"/>
      <c r="AC66" s="510"/>
      <c r="AD66" s="447" t="s">
        <v>272</v>
      </c>
      <c r="AE66" s="511"/>
      <c r="AF66" s="660">
        <v>1</v>
      </c>
      <c r="AG66" s="452">
        <v>1</v>
      </c>
      <c r="AH66" s="534">
        <f>AF66/AG66</f>
        <v>1</v>
      </c>
      <c r="AI66" s="501"/>
      <c r="AJ66" s="501"/>
      <c r="AK66" s="447" t="s">
        <v>272</v>
      </c>
      <c r="AL66" s="479"/>
      <c r="AM66" s="660">
        <v>1</v>
      </c>
      <c r="AN66" s="452">
        <v>1</v>
      </c>
      <c r="AO66" s="534">
        <f>AM66/AN66</f>
        <v>1</v>
      </c>
      <c r="AP66" s="501"/>
      <c r="AQ66" s="501"/>
      <c r="AR66" s="447" t="s">
        <v>272</v>
      </c>
      <c r="AS66" s="479"/>
      <c r="AT66" s="535">
        <v>1</v>
      </c>
      <c r="AU66" s="537">
        <v>1</v>
      </c>
      <c r="AV66" s="534" t="e">
        <f>#REF!/#REF!</f>
        <v>#REF!</v>
      </c>
      <c r="AW66" s="518"/>
      <c r="AX66" s="532"/>
      <c r="AY66" s="447" t="s">
        <v>272</v>
      </c>
      <c r="AZ66" s="521"/>
      <c r="BA66" s="504">
        <v>21</v>
      </c>
      <c r="BB66" s="505">
        <v>21</v>
      </c>
      <c r="BC66" s="534">
        <f>BB66/BA66</f>
        <v>1</v>
      </c>
      <c r="BD66" s="477">
        <v>1502044165</v>
      </c>
      <c r="BE66" s="477">
        <v>1449671166</v>
      </c>
      <c r="BF66" s="447" t="s">
        <v>272</v>
      </c>
      <c r="BG66" s="480" t="s">
        <v>966</v>
      </c>
      <c r="BH66" s="618">
        <v>140</v>
      </c>
      <c r="BI66" s="505">
        <v>2</v>
      </c>
      <c r="BJ66" s="619">
        <f>(BI66/BH66)*1</f>
        <v>1.4285714285714285E-2</v>
      </c>
      <c r="BK66" s="477">
        <v>14044000</v>
      </c>
      <c r="BL66" s="477">
        <v>14044000</v>
      </c>
      <c r="BM66" s="505" t="s">
        <v>272</v>
      </c>
      <c r="BN66" s="567" t="s">
        <v>561</v>
      </c>
      <c r="BO66" s="620">
        <v>160</v>
      </c>
      <c r="BP66" s="425">
        <v>118</v>
      </c>
      <c r="BQ66" s="534">
        <f>BP66/BO66</f>
        <v>0.73750000000000004</v>
      </c>
      <c r="BR66" s="510" t="s">
        <v>638</v>
      </c>
      <c r="BS66" s="510" t="s">
        <v>472</v>
      </c>
      <c r="BT66" s="447" t="s">
        <v>272</v>
      </c>
      <c r="BU66" s="567" t="s">
        <v>639</v>
      </c>
      <c r="BV66" s="579">
        <v>160</v>
      </c>
      <c r="BW66" s="425">
        <v>118</v>
      </c>
      <c r="BX66" s="534">
        <f>BW66/BV66</f>
        <v>0.73750000000000004</v>
      </c>
      <c r="BY66" s="510">
        <v>40000000</v>
      </c>
      <c r="BZ66" s="510">
        <f>34620000+8655000+8655000</f>
        <v>51930000</v>
      </c>
      <c r="CA66" s="469">
        <v>1</v>
      </c>
      <c r="CB66" s="452" t="s">
        <v>1024</v>
      </c>
      <c r="CC66" s="443" t="s">
        <v>1098</v>
      </c>
      <c r="CD66" s="732">
        <v>200</v>
      </c>
      <c r="CE66" s="425">
        <v>0</v>
      </c>
      <c r="CF66" s="534">
        <f>CE66/CD66</f>
        <v>0</v>
      </c>
      <c r="CG66" s="510">
        <f>40000000+3000000+2200000</f>
        <v>45200000</v>
      </c>
      <c r="CH66" s="510">
        <f>34620000+8655000+8655000+3000000+2200000</f>
        <v>57130000</v>
      </c>
      <c r="CI66" s="469">
        <v>1</v>
      </c>
      <c r="CJ66" s="452" t="s">
        <v>1024</v>
      </c>
      <c r="CK66" s="454" t="s">
        <v>1132</v>
      </c>
      <c r="CL66" s="425">
        <v>200</v>
      </c>
      <c r="CM66" s="395">
        <v>118</v>
      </c>
      <c r="CN66" s="435">
        <f>CM66/CL66</f>
        <v>0.59</v>
      </c>
    </row>
    <row r="67" spans="1:93" ht="54" customHeight="1" x14ac:dyDescent="0.25">
      <c r="A67" s="691"/>
      <c r="B67" s="425"/>
      <c r="C67" s="690"/>
      <c r="D67" s="626"/>
      <c r="E67" s="425"/>
      <c r="F67" s="425"/>
      <c r="G67" s="425"/>
      <c r="H67" s="453"/>
      <c r="I67" s="676"/>
      <c r="J67" s="425"/>
      <c r="K67" s="447"/>
      <c r="L67" s="447"/>
      <c r="M67" s="425"/>
      <c r="N67" s="425"/>
      <c r="O67" s="425"/>
      <c r="P67" s="425"/>
      <c r="Q67" s="581"/>
      <c r="R67" s="621"/>
      <c r="S67" s="425"/>
      <c r="T67" s="534"/>
      <c r="U67" s="510"/>
      <c r="V67" s="510"/>
      <c r="W67" s="447"/>
      <c r="X67" s="666"/>
      <c r="Y67" s="621"/>
      <c r="Z67" s="425"/>
      <c r="AA67" s="534"/>
      <c r="AB67" s="510"/>
      <c r="AC67" s="510"/>
      <c r="AD67" s="447"/>
      <c r="AE67" s="666"/>
      <c r="AF67" s="661"/>
      <c r="AG67" s="453"/>
      <c r="AH67" s="534"/>
      <c r="AI67" s="501"/>
      <c r="AJ67" s="501"/>
      <c r="AK67" s="447"/>
      <c r="AL67" s="479"/>
      <c r="AM67" s="661"/>
      <c r="AN67" s="453"/>
      <c r="AO67" s="534"/>
      <c r="AP67" s="501"/>
      <c r="AQ67" s="501"/>
      <c r="AR67" s="447"/>
      <c r="AS67" s="479"/>
      <c r="AT67" s="536"/>
      <c r="AU67" s="538"/>
      <c r="AV67" s="534"/>
      <c r="AW67" s="533" t="s">
        <v>856</v>
      </c>
      <c r="AX67" s="533" t="s">
        <v>856</v>
      </c>
      <c r="AY67" s="447"/>
      <c r="AZ67" s="499" t="s">
        <v>904</v>
      </c>
      <c r="BA67" s="504"/>
      <c r="BB67" s="505"/>
      <c r="BC67" s="534"/>
      <c r="BD67" s="477"/>
      <c r="BE67" s="477"/>
      <c r="BF67" s="447"/>
      <c r="BG67" s="480"/>
      <c r="BH67" s="618"/>
      <c r="BI67" s="505"/>
      <c r="BJ67" s="619"/>
      <c r="BK67" s="477"/>
      <c r="BL67" s="477"/>
      <c r="BM67" s="505"/>
      <c r="BN67" s="567"/>
      <c r="BO67" s="621"/>
      <c r="BP67" s="425"/>
      <c r="BQ67" s="534"/>
      <c r="BR67" s="510"/>
      <c r="BS67" s="510"/>
      <c r="BT67" s="447"/>
      <c r="BU67" s="568"/>
      <c r="BV67" s="580"/>
      <c r="BW67" s="425"/>
      <c r="BX67" s="534"/>
      <c r="BY67" s="510"/>
      <c r="BZ67" s="510"/>
      <c r="CA67" s="470"/>
      <c r="CB67" s="453"/>
      <c r="CC67" s="444"/>
      <c r="CD67" s="733"/>
      <c r="CE67" s="425"/>
      <c r="CF67" s="534"/>
      <c r="CG67" s="510"/>
      <c r="CH67" s="510"/>
      <c r="CI67" s="470"/>
      <c r="CJ67" s="453"/>
      <c r="CK67" s="721"/>
      <c r="CL67" s="425"/>
      <c r="CM67" s="396"/>
      <c r="CN67" s="436"/>
    </row>
    <row r="68" spans="1:93" ht="112.5" customHeight="1" x14ac:dyDescent="0.25">
      <c r="A68" s="691"/>
      <c r="B68" s="425"/>
      <c r="C68" s="690"/>
      <c r="D68" s="626" t="s">
        <v>197</v>
      </c>
      <c r="E68" s="425" t="s">
        <v>198</v>
      </c>
      <c r="F68" s="47" t="s">
        <v>199</v>
      </c>
      <c r="G68" s="47" t="s">
        <v>195</v>
      </c>
      <c r="H68" s="85" t="s">
        <v>1024</v>
      </c>
      <c r="I68" s="32" t="s">
        <v>170</v>
      </c>
      <c r="J68" s="47" t="s">
        <v>196</v>
      </c>
      <c r="K68" s="447" t="s">
        <v>291</v>
      </c>
      <c r="L68" s="447" t="s">
        <v>354</v>
      </c>
      <c r="M68" s="425">
        <v>3301052</v>
      </c>
      <c r="N68" s="425" t="s">
        <v>357</v>
      </c>
      <c r="O68" s="425">
        <v>330105203</v>
      </c>
      <c r="P68" s="425" t="s">
        <v>358</v>
      </c>
      <c r="Q68" s="109" t="s">
        <v>196</v>
      </c>
      <c r="R68" s="93">
        <v>160</v>
      </c>
      <c r="S68" s="47">
        <v>92</v>
      </c>
      <c r="T68" s="40">
        <f>S68/R68</f>
        <v>0.57499999999999996</v>
      </c>
      <c r="U68" s="55" t="s">
        <v>474</v>
      </c>
      <c r="V68" s="55" t="s">
        <v>475</v>
      </c>
      <c r="W68" s="447"/>
      <c r="X68" s="511" t="s">
        <v>476</v>
      </c>
      <c r="Y68" s="93">
        <v>160</v>
      </c>
      <c r="Z68" s="47">
        <v>92</v>
      </c>
      <c r="AA68" s="40">
        <f>Z68/Y68</f>
        <v>0.57499999999999996</v>
      </c>
      <c r="AB68" s="55"/>
      <c r="AC68" s="55"/>
      <c r="AD68" s="447"/>
      <c r="AE68" s="666"/>
      <c r="AF68" s="177">
        <v>1</v>
      </c>
      <c r="AG68" s="85">
        <v>1</v>
      </c>
      <c r="AH68" s="40">
        <f>AG68/AF68</f>
        <v>1</v>
      </c>
      <c r="AI68" s="501"/>
      <c r="AJ68" s="501"/>
      <c r="AK68" s="447"/>
      <c r="AL68" s="479"/>
      <c r="AM68" s="177">
        <v>1</v>
      </c>
      <c r="AN68" s="85">
        <v>1</v>
      </c>
      <c r="AO68" s="40">
        <f>AN68/AM68</f>
        <v>1</v>
      </c>
      <c r="AP68" s="501"/>
      <c r="AQ68" s="501"/>
      <c r="AR68" s="447"/>
      <c r="AS68" s="479"/>
      <c r="AT68" s="171">
        <v>1</v>
      </c>
      <c r="AU68" s="125">
        <v>1</v>
      </c>
      <c r="AV68" s="40">
        <f>AU68/AT68</f>
        <v>1</v>
      </c>
      <c r="AW68" s="533"/>
      <c r="AX68" s="533"/>
      <c r="AY68" s="447"/>
      <c r="AZ68" s="499"/>
      <c r="BA68" s="148">
        <v>34</v>
      </c>
      <c r="BB68" s="74">
        <v>55</v>
      </c>
      <c r="BC68" s="40">
        <f>BB68/(2*BA68)</f>
        <v>0.80882352941176472</v>
      </c>
      <c r="BD68" s="477"/>
      <c r="BE68" s="477"/>
      <c r="BF68" s="447"/>
      <c r="BG68" s="480"/>
      <c r="BH68" s="153">
        <v>140</v>
      </c>
      <c r="BI68" s="74">
        <v>54</v>
      </c>
      <c r="BJ68" s="77">
        <f>(BI68/BH68)*1</f>
        <v>0.38571428571428573</v>
      </c>
      <c r="BK68" s="73">
        <v>139800000</v>
      </c>
      <c r="BL68" s="73">
        <v>139700000</v>
      </c>
      <c r="BM68" s="505"/>
      <c r="BN68" s="143" t="s">
        <v>562</v>
      </c>
      <c r="BO68" s="93">
        <v>160</v>
      </c>
      <c r="BP68" s="47">
        <v>92</v>
      </c>
      <c r="BQ68" s="40">
        <f>BP68/BO68</f>
        <v>0.57499999999999996</v>
      </c>
      <c r="BR68" s="55" t="s">
        <v>640</v>
      </c>
      <c r="BS68" s="55" t="s">
        <v>475</v>
      </c>
      <c r="BT68" s="447"/>
      <c r="BU68" s="143" t="s">
        <v>641</v>
      </c>
      <c r="BV68" s="68">
        <v>180</v>
      </c>
      <c r="BW68" s="47">
        <v>92</v>
      </c>
      <c r="BX68" s="40">
        <f>BW68/BV68</f>
        <v>0.51111111111111107</v>
      </c>
      <c r="BY68" s="242">
        <v>918000000</v>
      </c>
      <c r="BZ68" s="55">
        <f>23000000+148497504</f>
        <v>171497504</v>
      </c>
      <c r="CA68" s="216">
        <f>BZ68/BY68</f>
        <v>0.18681645315904138</v>
      </c>
      <c r="CB68" s="85" t="s">
        <v>1024</v>
      </c>
      <c r="CC68" s="250" t="s">
        <v>1099</v>
      </c>
      <c r="CD68" s="243">
        <v>200</v>
      </c>
      <c r="CE68" s="47">
        <v>0</v>
      </c>
      <c r="CF68" s="256">
        <f>CE68/CD68</f>
        <v>0</v>
      </c>
      <c r="CG68" s="374">
        <f>918000000+1516035847+261643826</f>
        <v>2695679673</v>
      </c>
      <c r="CH68" s="270">
        <f>23000000+148497504+87500000</f>
        <v>258997504</v>
      </c>
      <c r="CI68" s="267">
        <f>CH68/CG68</f>
        <v>9.6078739100244726E-2</v>
      </c>
      <c r="CJ68" s="85" t="s">
        <v>1024</v>
      </c>
      <c r="CK68" s="385" t="s">
        <v>1133</v>
      </c>
      <c r="CL68" s="47">
        <v>200</v>
      </c>
      <c r="CM68" s="215">
        <v>92</v>
      </c>
      <c r="CN68" s="216">
        <f>CM68/CL68</f>
        <v>0.46</v>
      </c>
    </row>
    <row r="69" spans="1:93" ht="65.25" customHeight="1" x14ac:dyDescent="0.25">
      <c r="A69" s="691"/>
      <c r="B69" s="425"/>
      <c r="C69" s="690"/>
      <c r="D69" s="626"/>
      <c r="E69" s="425"/>
      <c r="F69" s="47" t="s">
        <v>200</v>
      </c>
      <c r="G69" s="47" t="s">
        <v>195</v>
      </c>
      <c r="H69" s="85" t="s">
        <v>1024</v>
      </c>
      <c r="I69" s="32" t="s">
        <v>170</v>
      </c>
      <c r="J69" s="47" t="s">
        <v>196</v>
      </c>
      <c r="K69" s="447"/>
      <c r="L69" s="447"/>
      <c r="M69" s="425"/>
      <c r="N69" s="425"/>
      <c r="O69" s="425"/>
      <c r="P69" s="425"/>
      <c r="Q69" s="109" t="s">
        <v>196</v>
      </c>
      <c r="R69" s="94">
        <v>160</v>
      </c>
      <c r="S69" s="53">
        <v>93</v>
      </c>
      <c r="T69" s="40">
        <f>S69/R69</f>
        <v>0.58125000000000004</v>
      </c>
      <c r="U69" s="52"/>
      <c r="V69" s="52"/>
      <c r="W69" s="447"/>
      <c r="X69" s="666"/>
      <c r="Y69" s="94">
        <v>160</v>
      </c>
      <c r="Z69" s="53">
        <v>93</v>
      </c>
      <c r="AA69" s="40">
        <f>Z69/Y69</f>
        <v>0.58125000000000004</v>
      </c>
      <c r="AB69" s="52"/>
      <c r="AC69" s="52"/>
      <c r="AD69" s="447"/>
      <c r="AE69" s="666"/>
      <c r="AF69" s="177">
        <v>3</v>
      </c>
      <c r="AG69" s="85">
        <v>3</v>
      </c>
      <c r="AH69" s="40">
        <f>AG69/AF69</f>
        <v>1</v>
      </c>
      <c r="AI69" s="501"/>
      <c r="AJ69" s="501"/>
      <c r="AK69" s="447"/>
      <c r="AL69" s="192" t="s">
        <v>766</v>
      </c>
      <c r="AM69" s="147">
        <v>3</v>
      </c>
      <c r="AN69" s="68">
        <v>3</v>
      </c>
      <c r="AO69" s="40">
        <f>AN69/AM69</f>
        <v>1</v>
      </c>
      <c r="AP69" s="501"/>
      <c r="AQ69" s="501"/>
      <c r="AR69" s="447"/>
      <c r="AS69" s="479"/>
      <c r="AT69" s="171">
        <v>3</v>
      </c>
      <c r="AU69" s="125">
        <v>3</v>
      </c>
      <c r="AV69" s="40">
        <f>AU69/AT69</f>
        <v>1</v>
      </c>
      <c r="AW69" s="181" t="s">
        <v>856</v>
      </c>
      <c r="AX69" s="181" t="s">
        <v>856</v>
      </c>
      <c r="AY69" s="447"/>
      <c r="AZ69" s="174" t="s">
        <v>905</v>
      </c>
      <c r="BA69" s="148">
        <v>34</v>
      </c>
      <c r="BB69" s="74">
        <v>55</v>
      </c>
      <c r="BC69" s="40">
        <f>BB69/(2*BA69)</f>
        <v>0.80882352941176472</v>
      </c>
      <c r="BD69" s="477"/>
      <c r="BE69" s="477"/>
      <c r="BF69" s="447"/>
      <c r="BG69" s="480"/>
      <c r="BH69" s="149">
        <v>1.4</v>
      </c>
      <c r="BI69" s="79">
        <v>0</v>
      </c>
      <c r="BJ69" s="77">
        <f>(BI69/BH69)*1</f>
        <v>0</v>
      </c>
      <c r="BK69" s="82"/>
      <c r="BL69" s="82"/>
      <c r="BM69" s="505"/>
      <c r="BN69" s="143" t="s">
        <v>563</v>
      </c>
      <c r="BO69" s="94">
        <v>160</v>
      </c>
      <c r="BP69" s="53">
        <v>93</v>
      </c>
      <c r="BQ69" s="40">
        <f>BP69/BO69</f>
        <v>0.58125000000000004</v>
      </c>
      <c r="BR69" s="52"/>
      <c r="BS69" s="52"/>
      <c r="BT69" s="447"/>
      <c r="BU69" s="144" t="s">
        <v>642</v>
      </c>
      <c r="BV69" s="68">
        <v>160</v>
      </c>
      <c r="BW69" s="53">
        <v>93</v>
      </c>
      <c r="BX69" s="40">
        <f>BW69/BV69</f>
        <v>0.58125000000000004</v>
      </c>
      <c r="BY69" s="55">
        <v>918000000</v>
      </c>
      <c r="BZ69" s="55">
        <f>23000000+148497504</f>
        <v>171497504</v>
      </c>
      <c r="CA69" s="216">
        <f>BZ69/BY69</f>
        <v>0.18681645315904138</v>
      </c>
      <c r="CB69" s="85" t="s">
        <v>1024</v>
      </c>
      <c r="CC69" s="76" t="s">
        <v>1069</v>
      </c>
      <c r="CD69" s="243">
        <v>200</v>
      </c>
      <c r="CE69" s="53">
        <v>0</v>
      </c>
      <c r="CF69" s="256">
        <f>CE69/CD69</f>
        <v>0</v>
      </c>
      <c r="CG69" s="270">
        <f>918000000+600000</f>
        <v>918600000</v>
      </c>
      <c r="CH69" s="270">
        <f>23000000+148497504+600000+12000000</f>
        <v>184097504</v>
      </c>
      <c r="CI69" s="267">
        <f>CH69/CG69</f>
        <v>0.20041095580230786</v>
      </c>
      <c r="CJ69" s="85" t="s">
        <v>1024</v>
      </c>
      <c r="CK69" s="380" t="s">
        <v>1134</v>
      </c>
      <c r="CL69" s="47">
        <v>200</v>
      </c>
      <c r="CM69" s="53">
        <v>93</v>
      </c>
      <c r="CN69" s="216">
        <f t="shared" ref="CN69" si="10">CM69/CL69</f>
        <v>0.46500000000000002</v>
      </c>
    </row>
    <row r="70" spans="1:93" ht="54" customHeight="1" thickBot="1" x14ac:dyDescent="0.3">
      <c r="A70" s="691"/>
      <c r="B70" s="425"/>
      <c r="C70" s="690"/>
      <c r="D70" s="111" t="s">
        <v>201</v>
      </c>
      <c r="E70" s="47" t="s">
        <v>202</v>
      </c>
      <c r="F70" s="47" t="s">
        <v>449</v>
      </c>
      <c r="G70" s="47" t="s">
        <v>195</v>
      </c>
      <c r="H70" s="225" t="s">
        <v>1024</v>
      </c>
      <c r="I70" s="32">
        <v>6</v>
      </c>
      <c r="J70" s="47">
        <v>60</v>
      </c>
      <c r="K70" s="447"/>
      <c r="L70" s="447"/>
      <c r="M70" s="425"/>
      <c r="N70" s="425"/>
      <c r="O70" s="425"/>
      <c r="P70" s="425"/>
      <c r="Q70" s="109">
        <v>60</v>
      </c>
      <c r="R70" s="95">
        <v>48</v>
      </c>
      <c r="S70" s="47">
        <v>1</v>
      </c>
      <c r="T70" s="40">
        <v>0.5</v>
      </c>
      <c r="U70" s="55" t="s">
        <v>477</v>
      </c>
      <c r="V70" s="55" t="s">
        <v>478</v>
      </c>
      <c r="W70" s="447"/>
      <c r="X70" s="190" t="s">
        <v>488</v>
      </c>
      <c r="Y70" s="95">
        <v>48</v>
      </c>
      <c r="Z70" s="47">
        <v>1</v>
      </c>
      <c r="AA70" s="40">
        <v>0.5</v>
      </c>
      <c r="AB70" s="55"/>
      <c r="AC70" s="55"/>
      <c r="AD70" s="447"/>
      <c r="AE70" s="133"/>
      <c r="AF70" s="556">
        <v>0.8</v>
      </c>
      <c r="AG70" s="562">
        <v>0.8</v>
      </c>
      <c r="AH70" s="40">
        <v>0.5</v>
      </c>
      <c r="AI70" s="501" t="s">
        <v>694</v>
      </c>
      <c r="AJ70" s="501" t="s">
        <v>695</v>
      </c>
      <c r="AK70" s="447"/>
      <c r="AL70" s="479" t="s">
        <v>767</v>
      </c>
      <c r="AM70" s="662">
        <v>0.9</v>
      </c>
      <c r="AN70" s="445">
        <v>1</v>
      </c>
      <c r="AO70" s="40">
        <v>0.5</v>
      </c>
      <c r="AP70" s="550" t="s">
        <v>780</v>
      </c>
      <c r="AQ70" s="550" t="s">
        <v>781</v>
      </c>
      <c r="AR70" s="447"/>
      <c r="AS70" s="539" t="s">
        <v>845</v>
      </c>
      <c r="AT70" s="530">
        <v>1</v>
      </c>
      <c r="AU70" s="531">
        <v>1</v>
      </c>
      <c r="AV70" s="40">
        <v>0.5</v>
      </c>
      <c r="AW70" s="520">
        <v>25000000</v>
      </c>
      <c r="AX70" s="520">
        <v>23933333</v>
      </c>
      <c r="AY70" s="447"/>
      <c r="AZ70" s="526" t="s">
        <v>906</v>
      </c>
      <c r="BA70" s="148">
        <v>30</v>
      </c>
      <c r="BB70" s="74">
        <v>29</v>
      </c>
      <c r="BC70" s="40">
        <v>0.5</v>
      </c>
      <c r="BD70" s="477"/>
      <c r="BE70" s="477"/>
      <c r="BF70" s="447"/>
      <c r="BG70" s="480"/>
      <c r="BH70" s="150">
        <v>42</v>
      </c>
      <c r="BI70" s="74">
        <v>1</v>
      </c>
      <c r="BJ70" s="77">
        <f>(BI70/BH70)*1</f>
        <v>2.3809523809523808E-2</v>
      </c>
      <c r="BK70" s="73">
        <v>12000000</v>
      </c>
      <c r="BL70" s="73">
        <v>12000000</v>
      </c>
      <c r="BM70" s="505"/>
      <c r="BN70" s="143" t="s">
        <v>564</v>
      </c>
      <c r="BO70" s="95">
        <v>48</v>
      </c>
      <c r="BP70" s="47">
        <v>1</v>
      </c>
      <c r="BQ70" s="40">
        <v>0.5</v>
      </c>
      <c r="BR70" s="55" t="s">
        <v>643</v>
      </c>
      <c r="BS70" s="55" t="s">
        <v>478</v>
      </c>
      <c r="BT70" s="447"/>
      <c r="BU70" s="145" t="s">
        <v>644</v>
      </c>
      <c r="BV70" s="68">
        <v>54</v>
      </c>
      <c r="BW70" s="47">
        <v>1</v>
      </c>
      <c r="BX70" s="40">
        <v>1.7999999999999999E-2</v>
      </c>
      <c r="BY70" s="55">
        <f>17100000+11400000+5700000</f>
        <v>34200000</v>
      </c>
      <c r="BZ70" s="55">
        <f>17100000+11400000+5700000</f>
        <v>34200000</v>
      </c>
      <c r="CA70" s="40">
        <f>BZ70/BY70</f>
        <v>1</v>
      </c>
      <c r="CB70" s="225" t="s">
        <v>1024</v>
      </c>
      <c r="CC70" s="251" t="s">
        <v>1070</v>
      </c>
      <c r="CD70" s="68">
        <v>60</v>
      </c>
      <c r="CE70" s="47">
        <v>0</v>
      </c>
      <c r="CF70" s="256">
        <v>1.7999999999999999E-2</v>
      </c>
      <c r="CG70" s="270">
        <f>17100000+11400000+5700000+7000000+1254392020.33+6600000</f>
        <v>1302192020.3299999</v>
      </c>
      <c r="CH70" s="270">
        <f>17100000+11400000+5700000+7000000+6600000</f>
        <v>47800000</v>
      </c>
      <c r="CI70" s="256">
        <f>CH70/CG70</f>
        <v>3.6707335979440717E-2</v>
      </c>
      <c r="CJ70" s="225" t="s">
        <v>1024</v>
      </c>
      <c r="CK70" s="386" t="s">
        <v>1135</v>
      </c>
      <c r="CL70" s="57">
        <v>60</v>
      </c>
      <c r="CM70" s="57">
        <v>34</v>
      </c>
      <c r="CN70" s="216">
        <f>CM70/CL70</f>
        <v>0.56666666666666665</v>
      </c>
    </row>
    <row r="71" spans="1:93" ht="18.75" customHeight="1" x14ac:dyDescent="0.25">
      <c r="A71" s="684" t="s">
        <v>203</v>
      </c>
      <c r="B71" s="400" t="s">
        <v>204</v>
      </c>
      <c r="C71" s="682" t="s">
        <v>205</v>
      </c>
      <c r="D71" s="626" t="s">
        <v>206</v>
      </c>
      <c r="E71" s="425" t="s">
        <v>207</v>
      </c>
      <c r="F71" s="425" t="s">
        <v>208</v>
      </c>
      <c r="G71" s="425" t="s">
        <v>209</v>
      </c>
      <c r="H71" s="575" t="s">
        <v>1025</v>
      </c>
      <c r="I71" s="676">
        <v>0</v>
      </c>
      <c r="J71" s="425">
        <v>100</v>
      </c>
      <c r="K71" s="447" t="s">
        <v>291</v>
      </c>
      <c r="L71" s="447" t="s">
        <v>292</v>
      </c>
      <c r="M71" s="447" t="s">
        <v>293</v>
      </c>
      <c r="N71" s="447" t="s">
        <v>423</v>
      </c>
      <c r="O71" s="447" t="s">
        <v>293</v>
      </c>
      <c r="P71" s="447" t="s">
        <v>400</v>
      </c>
      <c r="Q71" s="667">
        <v>1</v>
      </c>
      <c r="R71" s="616">
        <v>0.5</v>
      </c>
      <c r="S71" s="424">
        <v>0.5</v>
      </c>
      <c r="T71" s="534">
        <v>1</v>
      </c>
      <c r="U71" s="510">
        <v>11540000</v>
      </c>
      <c r="V71" s="510">
        <v>0</v>
      </c>
      <c r="W71" s="425" t="s">
        <v>255</v>
      </c>
      <c r="X71" s="617" t="s">
        <v>479</v>
      </c>
      <c r="Y71" s="616">
        <v>0.5</v>
      </c>
      <c r="Z71" s="424">
        <v>0.5</v>
      </c>
      <c r="AA71" s="534">
        <v>1</v>
      </c>
      <c r="AB71" s="510"/>
      <c r="AC71" s="510"/>
      <c r="AD71" s="425" t="s">
        <v>255</v>
      </c>
      <c r="AE71" s="617"/>
      <c r="AF71" s="556"/>
      <c r="AG71" s="562"/>
      <c r="AH71" s="534">
        <v>1</v>
      </c>
      <c r="AI71" s="501"/>
      <c r="AJ71" s="501"/>
      <c r="AK71" s="425" t="s">
        <v>255</v>
      </c>
      <c r="AL71" s="479"/>
      <c r="AM71" s="662"/>
      <c r="AN71" s="445"/>
      <c r="AO71" s="534">
        <v>1</v>
      </c>
      <c r="AP71" s="550"/>
      <c r="AQ71" s="550"/>
      <c r="AR71" s="425" t="s">
        <v>255</v>
      </c>
      <c r="AS71" s="539"/>
      <c r="AT71" s="529"/>
      <c r="AU71" s="517"/>
      <c r="AV71" s="534">
        <v>1</v>
      </c>
      <c r="AW71" s="517"/>
      <c r="AX71" s="517"/>
      <c r="AY71" s="425" t="s">
        <v>255</v>
      </c>
      <c r="AZ71" s="526"/>
      <c r="BA71" s="656">
        <v>1</v>
      </c>
      <c r="BB71" s="657">
        <v>0.9</v>
      </c>
      <c r="BC71" s="534">
        <v>1</v>
      </c>
      <c r="BD71" s="477">
        <v>32000000</v>
      </c>
      <c r="BE71" s="477">
        <v>31440300</v>
      </c>
      <c r="BF71" s="425" t="s">
        <v>255</v>
      </c>
      <c r="BG71" s="655" t="s">
        <v>967</v>
      </c>
      <c r="BH71" s="556">
        <v>0.5</v>
      </c>
      <c r="BI71" s="562">
        <v>0</v>
      </c>
      <c r="BJ71" s="507">
        <v>0</v>
      </c>
      <c r="BK71" s="501"/>
      <c r="BL71" s="501"/>
      <c r="BM71" s="513" t="s">
        <v>255</v>
      </c>
      <c r="BN71" s="615" t="s">
        <v>565</v>
      </c>
      <c r="BO71" s="616">
        <v>0.5</v>
      </c>
      <c r="BP71" s="424">
        <v>0.5</v>
      </c>
      <c r="BQ71" s="534">
        <v>1</v>
      </c>
      <c r="BR71" s="510">
        <v>11540000</v>
      </c>
      <c r="BS71" s="510">
        <v>0</v>
      </c>
      <c r="BT71" s="425" t="s">
        <v>255</v>
      </c>
      <c r="BU71" s="617" t="s">
        <v>645</v>
      </c>
      <c r="BV71" s="492">
        <v>0.5</v>
      </c>
      <c r="BW71" s="424">
        <v>0.5</v>
      </c>
      <c r="BX71" s="534">
        <v>1</v>
      </c>
      <c r="BY71" s="510">
        <v>271452800</v>
      </c>
      <c r="BZ71" s="510">
        <v>223685832</v>
      </c>
      <c r="CA71" s="469">
        <f>BZ71/BY71</f>
        <v>0.82403214113098111</v>
      </c>
      <c r="CB71" s="575" t="s">
        <v>1025</v>
      </c>
      <c r="CC71" s="444" t="s">
        <v>1071</v>
      </c>
      <c r="CD71" s="492">
        <v>0.5</v>
      </c>
      <c r="CE71" s="424">
        <v>0.5</v>
      </c>
      <c r="CF71" s="534">
        <v>1</v>
      </c>
      <c r="CG71" s="510">
        <v>271452800</v>
      </c>
      <c r="CH71" s="510">
        <v>223685832</v>
      </c>
      <c r="CI71" s="469">
        <f>CH71/CG71</f>
        <v>0.82403214113098111</v>
      </c>
      <c r="CJ71" s="575" t="s">
        <v>1025</v>
      </c>
      <c r="CK71" s="707" t="s">
        <v>1136</v>
      </c>
      <c r="CL71" s="424">
        <v>1</v>
      </c>
      <c r="CM71" s="397">
        <v>0.5</v>
      </c>
      <c r="CN71" s="437">
        <f>CM71/CL71</f>
        <v>0.5</v>
      </c>
    </row>
    <row r="72" spans="1:93" ht="57.75" customHeight="1" x14ac:dyDescent="0.25">
      <c r="A72" s="678"/>
      <c r="B72" s="400"/>
      <c r="C72" s="682"/>
      <c r="D72" s="626"/>
      <c r="E72" s="425"/>
      <c r="F72" s="425"/>
      <c r="G72" s="425"/>
      <c r="H72" s="481"/>
      <c r="I72" s="676"/>
      <c r="J72" s="425"/>
      <c r="K72" s="447"/>
      <c r="L72" s="447"/>
      <c r="M72" s="447"/>
      <c r="N72" s="447"/>
      <c r="O72" s="447"/>
      <c r="P72" s="447"/>
      <c r="Q72" s="581"/>
      <c r="R72" s="616"/>
      <c r="S72" s="424"/>
      <c r="T72" s="534"/>
      <c r="U72" s="510"/>
      <c r="V72" s="510"/>
      <c r="W72" s="425"/>
      <c r="X72" s="617"/>
      <c r="Y72" s="616"/>
      <c r="Z72" s="424"/>
      <c r="AA72" s="534"/>
      <c r="AB72" s="510"/>
      <c r="AC72" s="510"/>
      <c r="AD72" s="425"/>
      <c r="AE72" s="617"/>
      <c r="AF72" s="556"/>
      <c r="AG72" s="562"/>
      <c r="AH72" s="534"/>
      <c r="AI72" s="501"/>
      <c r="AJ72" s="501"/>
      <c r="AK72" s="425"/>
      <c r="AL72" s="479"/>
      <c r="AM72" s="662"/>
      <c r="AN72" s="445"/>
      <c r="AO72" s="534"/>
      <c r="AP72" s="550"/>
      <c r="AQ72" s="550"/>
      <c r="AR72" s="425"/>
      <c r="AS72" s="539"/>
      <c r="AT72" s="529"/>
      <c r="AU72" s="517"/>
      <c r="AV72" s="534"/>
      <c r="AW72" s="517"/>
      <c r="AX72" s="517"/>
      <c r="AY72" s="425"/>
      <c r="AZ72" s="526"/>
      <c r="BA72" s="656"/>
      <c r="BB72" s="505"/>
      <c r="BC72" s="534"/>
      <c r="BD72" s="477"/>
      <c r="BE72" s="477"/>
      <c r="BF72" s="425"/>
      <c r="BG72" s="655"/>
      <c r="BH72" s="556"/>
      <c r="BI72" s="562"/>
      <c r="BJ72" s="507"/>
      <c r="BK72" s="501"/>
      <c r="BL72" s="501"/>
      <c r="BM72" s="513"/>
      <c r="BN72" s="615"/>
      <c r="BO72" s="616"/>
      <c r="BP72" s="424"/>
      <c r="BQ72" s="534"/>
      <c r="BR72" s="510"/>
      <c r="BS72" s="510"/>
      <c r="BT72" s="425"/>
      <c r="BU72" s="617"/>
      <c r="BV72" s="574"/>
      <c r="BW72" s="424"/>
      <c r="BX72" s="534"/>
      <c r="BY72" s="510"/>
      <c r="BZ72" s="510"/>
      <c r="CA72" s="471"/>
      <c r="CB72" s="481"/>
      <c r="CC72" s="444"/>
      <c r="CD72" s="574"/>
      <c r="CE72" s="424"/>
      <c r="CF72" s="534"/>
      <c r="CG72" s="510"/>
      <c r="CH72" s="510"/>
      <c r="CI72" s="471"/>
      <c r="CJ72" s="481"/>
      <c r="CK72" s="707"/>
      <c r="CL72" s="425"/>
      <c r="CM72" s="398"/>
      <c r="CN72" s="437"/>
    </row>
    <row r="73" spans="1:93" ht="82.5" customHeight="1" x14ac:dyDescent="0.25">
      <c r="A73" s="678"/>
      <c r="B73" s="400"/>
      <c r="C73" s="689"/>
      <c r="D73" s="626"/>
      <c r="E73" s="425"/>
      <c r="F73" s="425"/>
      <c r="G73" s="425"/>
      <c r="H73" s="453"/>
      <c r="I73" s="676"/>
      <c r="J73" s="425"/>
      <c r="K73" s="447"/>
      <c r="L73" s="447"/>
      <c r="M73" s="447"/>
      <c r="N73" s="447"/>
      <c r="O73" s="447"/>
      <c r="P73" s="447"/>
      <c r="Q73" s="581"/>
      <c r="R73" s="616"/>
      <c r="S73" s="424"/>
      <c r="T73" s="534"/>
      <c r="U73" s="510"/>
      <c r="V73" s="510"/>
      <c r="W73" s="425"/>
      <c r="X73" s="617"/>
      <c r="Y73" s="616"/>
      <c r="Z73" s="424"/>
      <c r="AA73" s="534"/>
      <c r="AB73" s="510"/>
      <c r="AC73" s="510"/>
      <c r="AD73" s="425"/>
      <c r="AE73" s="617"/>
      <c r="AF73" s="177">
        <v>1</v>
      </c>
      <c r="AG73" s="85">
        <v>1</v>
      </c>
      <c r="AH73" s="534"/>
      <c r="AI73" s="69" t="s">
        <v>37</v>
      </c>
      <c r="AJ73" s="69" t="s">
        <v>37</v>
      </c>
      <c r="AK73" s="425"/>
      <c r="AL73" s="192" t="s">
        <v>768</v>
      </c>
      <c r="AM73" s="147">
        <v>1</v>
      </c>
      <c r="AN73" s="68">
        <v>1</v>
      </c>
      <c r="AO73" s="534"/>
      <c r="AP73" s="120" t="s">
        <v>700</v>
      </c>
      <c r="AQ73" s="120" t="s">
        <v>700</v>
      </c>
      <c r="AR73" s="425"/>
      <c r="AS73" s="163" t="s">
        <v>846</v>
      </c>
      <c r="AT73" s="529">
        <v>1</v>
      </c>
      <c r="AU73" s="517">
        <v>5</v>
      </c>
      <c r="AV73" s="534"/>
      <c r="AW73" s="516">
        <v>25000000</v>
      </c>
      <c r="AX73" s="516">
        <v>23933333</v>
      </c>
      <c r="AY73" s="425"/>
      <c r="AZ73" s="498" t="s">
        <v>907</v>
      </c>
      <c r="BA73" s="656"/>
      <c r="BB73" s="505"/>
      <c r="BC73" s="534"/>
      <c r="BD73" s="477"/>
      <c r="BE73" s="477"/>
      <c r="BF73" s="425"/>
      <c r="BG73" s="655"/>
      <c r="BH73" s="556"/>
      <c r="BI73" s="562"/>
      <c r="BJ73" s="507"/>
      <c r="BK73" s="501"/>
      <c r="BL73" s="501"/>
      <c r="BM73" s="513"/>
      <c r="BN73" s="615"/>
      <c r="BO73" s="616"/>
      <c r="BP73" s="424"/>
      <c r="BQ73" s="534"/>
      <c r="BR73" s="510"/>
      <c r="BS73" s="510"/>
      <c r="BT73" s="425"/>
      <c r="BU73" s="617"/>
      <c r="BV73" s="570"/>
      <c r="BW73" s="424"/>
      <c r="BX73" s="534"/>
      <c r="BY73" s="510"/>
      <c r="BZ73" s="510"/>
      <c r="CA73" s="470"/>
      <c r="CB73" s="453"/>
      <c r="CC73" s="576"/>
      <c r="CD73" s="570"/>
      <c r="CE73" s="424"/>
      <c r="CF73" s="534"/>
      <c r="CG73" s="510"/>
      <c r="CH73" s="510"/>
      <c r="CI73" s="470"/>
      <c r="CJ73" s="453"/>
      <c r="CK73" s="716"/>
      <c r="CL73" s="425"/>
      <c r="CM73" s="399"/>
      <c r="CN73" s="438"/>
    </row>
    <row r="74" spans="1:93" ht="159.75" customHeight="1" x14ac:dyDescent="0.25">
      <c r="A74" s="678"/>
      <c r="B74" s="400"/>
      <c r="C74" s="108" t="s">
        <v>210</v>
      </c>
      <c r="D74" s="111" t="s">
        <v>211</v>
      </c>
      <c r="E74" s="47" t="s">
        <v>212</v>
      </c>
      <c r="F74" s="47" t="s">
        <v>213</v>
      </c>
      <c r="G74" s="47" t="s">
        <v>209</v>
      </c>
      <c r="H74" s="85" t="s">
        <v>1026</v>
      </c>
      <c r="I74" s="32">
        <v>0</v>
      </c>
      <c r="J74" s="47">
        <v>10</v>
      </c>
      <c r="K74" s="57" t="s">
        <v>295</v>
      </c>
      <c r="L74" s="57" t="s">
        <v>359</v>
      </c>
      <c r="M74" s="47">
        <v>3902017</v>
      </c>
      <c r="N74" s="47" t="s">
        <v>360</v>
      </c>
      <c r="O74" s="47">
        <v>390201700</v>
      </c>
      <c r="P74" s="47" t="s">
        <v>360</v>
      </c>
      <c r="Q74" s="109">
        <v>10</v>
      </c>
      <c r="R74" s="95">
        <v>8</v>
      </c>
      <c r="S74" s="47">
        <v>20</v>
      </c>
      <c r="T74" s="54">
        <v>1</v>
      </c>
      <c r="U74" s="55"/>
      <c r="V74" s="55"/>
      <c r="W74" s="47" t="s">
        <v>273</v>
      </c>
      <c r="X74" s="191" t="s">
        <v>480</v>
      </c>
      <c r="Y74" s="95">
        <v>8</v>
      </c>
      <c r="Z74" s="47">
        <v>20</v>
      </c>
      <c r="AA74" s="54">
        <v>1</v>
      </c>
      <c r="AB74" s="55"/>
      <c r="AC74" s="59"/>
      <c r="AD74" s="47" t="s">
        <v>273</v>
      </c>
      <c r="AE74" s="191"/>
      <c r="AF74" s="515">
        <v>1</v>
      </c>
      <c r="AG74" s="513">
        <v>1</v>
      </c>
      <c r="AH74" s="54">
        <v>1</v>
      </c>
      <c r="AI74" s="501" t="s">
        <v>694</v>
      </c>
      <c r="AJ74" s="501" t="s">
        <v>695</v>
      </c>
      <c r="AK74" s="47" t="s">
        <v>273</v>
      </c>
      <c r="AL74" s="479" t="s">
        <v>769</v>
      </c>
      <c r="AM74" s="613">
        <v>1</v>
      </c>
      <c r="AN74" s="446">
        <v>1</v>
      </c>
      <c r="AO74" s="54">
        <v>1</v>
      </c>
      <c r="AP74" s="560">
        <v>205750000</v>
      </c>
      <c r="AQ74" s="560">
        <v>102060000</v>
      </c>
      <c r="AR74" s="47" t="s">
        <v>273</v>
      </c>
      <c r="AS74" s="479" t="s">
        <v>847</v>
      </c>
      <c r="AT74" s="529"/>
      <c r="AU74" s="517"/>
      <c r="AV74" s="54">
        <v>1</v>
      </c>
      <c r="AW74" s="516"/>
      <c r="AX74" s="516"/>
      <c r="AY74" s="47" t="s">
        <v>273</v>
      </c>
      <c r="AZ74" s="498"/>
      <c r="BA74" s="148">
        <v>10</v>
      </c>
      <c r="BB74" s="74">
        <v>20</v>
      </c>
      <c r="BC74" s="54">
        <v>1</v>
      </c>
      <c r="BD74" s="73">
        <v>519754832</v>
      </c>
      <c r="BE74" s="73">
        <v>74220990</v>
      </c>
      <c r="BF74" s="47" t="s">
        <v>273</v>
      </c>
      <c r="BG74" s="142" t="s">
        <v>968</v>
      </c>
      <c r="BH74" s="154">
        <v>7</v>
      </c>
      <c r="BI74" s="85">
        <v>0</v>
      </c>
      <c r="BJ74" s="75">
        <v>0</v>
      </c>
      <c r="BK74" s="69"/>
      <c r="BL74" s="69"/>
      <c r="BM74" s="85" t="s">
        <v>273</v>
      </c>
      <c r="BN74" s="192" t="s">
        <v>566</v>
      </c>
      <c r="BO74" s="95">
        <v>8</v>
      </c>
      <c r="BP74" s="47">
        <v>20</v>
      </c>
      <c r="BQ74" s="54">
        <v>1</v>
      </c>
      <c r="BR74" s="55"/>
      <c r="BS74" s="55"/>
      <c r="BT74" s="47" t="s">
        <v>273</v>
      </c>
      <c r="BU74" s="191" t="s">
        <v>646</v>
      </c>
      <c r="BV74" s="243">
        <v>9</v>
      </c>
      <c r="BW74" s="47">
        <v>9</v>
      </c>
      <c r="BX74" s="54">
        <v>1</v>
      </c>
      <c r="BY74" s="229">
        <v>451220071</v>
      </c>
      <c r="BZ74" s="229">
        <f>BY74/2</f>
        <v>225610035.5</v>
      </c>
      <c r="CA74" s="207">
        <f>BZ74/BY74</f>
        <v>0.5</v>
      </c>
      <c r="CB74" s="85" t="s">
        <v>1026</v>
      </c>
      <c r="CC74" s="253" t="s">
        <v>1072</v>
      </c>
      <c r="CD74" s="243">
        <v>10</v>
      </c>
      <c r="CE74" s="47">
        <v>9</v>
      </c>
      <c r="CF74" s="390">
        <v>1</v>
      </c>
      <c r="CG74" s="229">
        <f>451220071+35948539+25833670+6400000</f>
        <v>519402280</v>
      </c>
      <c r="CH74" s="270">
        <f>(CG74/2)+28564200+1546720</f>
        <v>289812060</v>
      </c>
      <c r="CI74" s="207">
        <f>CH74/CG74</f>
        <v>0.55797225225888492</v>
      </c>
      <c r="CJ74" s="85" t="s">
        <v>1026</v>
      </c>
      <c r="CK74" s="385" t="s">
        <v>1137</v>
      </c>
      <c r="CL74" s="47">
        <v>10</v>
      </c>
      <c r="CM74" s="215">
        <v>43</v>
      </c>
      <c r="CN74" s="207">
        <v>1</v>
      </c>
    </row>
    <row r="75" spans="1:93" ht="27" customHeight="1" x14ac:dyDescent="0.25">
      <c r="A75" s="678"/>
      <c r="B75" s="400"/>
      <c r="C75" s="686" t="s">
        <v>214</v>
      </c>
      <c r="D75" s="626" t="s">
        <v>215</v>
      </c>
      <c r="E75" s="425" t="s">
        <v>216</v>
      </c>
      <c r="F75" s="425" t="s">
        <v>217</v>
      </c>
      <c r="G75" s="425" t="s">
        <v>209</v>
      </c>
      <c r="H75" s="452" t="s">
        <v>1026</v>
      </c>
      <c r="I75" s="676">
        <v>0</v>
      </c>
      <c r="J75" s="425">
        <v>10</v>
      </c>
      <c r="K75" s="447" t="s">
        <v>291</v>
      </c>
      <c r="L75" s="447" t="s">
        <v>312</v>
      </c>
      <c r="M75" s="447" t="s">
        <v>293</v>
      </c>
      <c r="N75" s="447" t="s">
        <v>313</v>
      </c>
      <c r="O75" s="447" t="s">
        <v>293</v>
      </c>
      <c r="P75" s="447" t="s">
        <v>314</v>
      </c>
      <c r="Q75" s="581">
        <v>10</v>
      </c>
      <c r="R75" s="509">
        <v>8</v>
      </c>
      <c r="S75" s="425">
        <v>11</v>
      </c>
      <c r="T75" s="434">
        <f>S75/S75</f>
        <v>1</v>
      </c>
      <c r="U75" s="510">
        <v>60844000</v>
      </c>
      <c r="V75" s="510">
        <v>9900000</v>
      </c>
      <c r="W75" s="425" t="s">
        <v>274</v>
      </c>
      <c r="X75" s="617" t="s">
        <v>481</v>
      </c>
      <c r="Y75" s="509">
        <v>8</v>
      </c>
      <c r="Z75" s="425">
        <v>11</v>
      </c>
      <c r="AA75" s="434">
        <f>Z75/Z75</f>
        <v>1</v>
      </c>
      <c r="AB75" s="510"/>
      <c r="AC75" s="510"/>
      <c r="AD75" s="425" t="s">
        <v>274</v>
      </c>
      <c r="AE75" s="617"/>
      <c r="AF75" s="515"/>
      <c r="AG75" s="513"/>
      <c r="AH75" s="434" t="e">
        <f>AG75/AG75</f>
        <v>#DIV/0!</v>
      </c>
      <c r="AI75" s="501"/>
      <c r="AJ75" s="501"/>
      <c r="AK75" s="425" t="s">
        <v>274</v>
      </c>
      <c r="AL75" s="479"/>
      <c r="AM75" s="613"/>
      <c r="AN75" s="446"/>
      <c r="AO75" s="434" t="e">
        <f>AN75/AN75</f>
        <v>#DIV/0!</v>
      </c>
      <c r="AP75" s="561"/>
      <c r="AQ75" s="561"/>
      <c r="AR75" s="425" t="s">
        <v>274</v>
      </c>
      <c r="AS75" s="479"/>
      <c r="AT75" s="529">
        <v>3</v>
      </c>
      <c r="AU75" s="517">
        <v>1</v>
      </c>
      <c r="AV75" s="434">
        <f>AU75/AU75</f>
        <v>1</v>
      </c>
      <c r="AW75" s="516" t="s">
        <v>856</v>
      </c>
      <c r="AX75" s="518" t="s">
        <v>856</v>
      </c>
      <c r="AY75" s="425" t="s">
        <v>274</v>
      </c>
      <c r="AZ75" s="499" t="s">
        <v>1037</v>
      </c>
      <c r="BA75" s="504">
        <v>6</v>
      </c>
      <c r="BB75" s="505" t="s">
        <v>920</v>
      </c>
      <c r="BC75" s="434" t="e">
        <f>BB75/BB75</f>
        <v>#VALUE!</v>
      </c>
      <c r="BD75" s="477">
        <v>1563620850</v>
      </c>
      <c r="BE75" s="477">
        <v>1172715638</v>
      </c>
      <c r="BF75" s="425" t="s">
        <v>274</v>
      </c>
      <c r="BG75" s="655" t="s">
        <v>969</v>
      </c>
      <c r="BH75" s="512">
        <v>7</v>
      </c>
      <c r="BI75" s="513">
        <v>2</v>
      </c>
      <c r="BJ75" s="514">
        <f>(BI75/BH75)*1</f>
        <v>0.2857142857142857</v>
      </c>
      <c r="BK75" s="501"/>
      <c r="BL75" s="501"/>
      <c r="BM75" s="513" t="s">
        <v>274</v>
      </c>
      <c r="BN75" s="614" t="s">
        <v>567</v>
      </c>
      <c r="BO75" s="509">
        <v>8</v>
      </c>
      <c r="BP75" s="425">
        <v>5</v>
      </c>
      <c r="BQ75" s="434">
        <f>BP75/BP75</f>
        <v>1</v>
      </c>
      <c r="BR75" s="510">
        <v>60844000</v>
      </c>
      <c r="BS75" s="510">
        <v>9900000</v>
      </c>
      <c r="BT75" s="425" t="s">
        <v>274</v>
      </c>
      <c r="BU75" s="622" t="s">
        <v>647</v>
      </c>
      <c r="BV75" s="563">
        <v>9</v>
      </c>
      <c r="BW75" s="425">
        <v>11</v>
      </c>
      <c r="BX75" s="434">
        <f>BW75/BW75</f>
        <v>1</v>
      </c>
      <c r="BY75" s="391">
        <v>2673832466</v>
      </c>
      <c r="BZ75" s="391">
        <f>BY75*6</f>
        <v>16042994796</v>
      </c>
      <c r="CA75" s="429">
        <v>1</v>
      </c>
      <c r="CB75" s="452" t="s">
        <v>1026</v>
      </c>
      <c r="CC75" s="443" t="s">
        <v>1073</v>
      </c>
      <c r="CD75" s="563">
        <v>10</v>
      </c>
      <c r="CE75" s="425">
        <v>11</v>
      </c>
      <c r="CF75" s="434">
        <f>CE75/CE75</f>
        <v>1</v>
      </c>
      <c r="CG75" s="391">
        <f>2759841966*6+23454000+9775000+41044500</f>
        <v>16633325296</v>
      </c>
      <c r="CH75" s="483">
        <f>2673832466+44965000+41044500+35181000</f>
        <v>2795022966</v>
      </c>
      <c r="CI75" s="429">
        <f>CH75/CG75</f>
        <v>0.16803753406254551</v>
      </c>
      <c r="CJ75" s="452" t="s">
        <v>1026</v>
      </c>
      <c r="CK75" s="454" t="s">
        <v>1151</v>
      </c>
      <c r="CL75" s="425">
        <v>10</v>
      </c>
      <c r="CM75" s="395">
        <v>11</v>
      </c>
      <c r="CN75" s="434">
        <v>1</v>
      </c>
    </row>
    <row r="76" spans="1:93" ht="107.25" customHeight="1" x14ac:dyDescent="0.25">
      <c r="A76" s="678"/>
      <c r="B76" s="400"/>
      <c r="C76" s="687"/>
      <c r="D76" s="626"/>
      <c r="E76" s="425"/>
      <c r="F76" s="425"/>
      <c r="G76" s="425"/>
      <c r="H76" s="481"/>
      <c r="I76" s="676"/>
      <c r="J76" s="425"/>
      <c r="K76" s="447"/>
      <c r="L76" s="447"/>
      <c r="M76" s="447"/>
      <c r="N76" s="447"/>
      <c r="O76" s="447"/>
      <c r="P76" s="447"/>
      <c r="Q76" s="581"/>
      <c r="R76" s="509"/>
      <c r="S76" s="425"/>
      <c r="T76" s="434"/>
      <c r="U76" s="510"/>
      <c r="V76" s="510"/>
      <c r="W76" s="425"/>
      <c r="X76" s="617"/>
      <c r="Y76" s="509"/>
      <c r="Z76" s="425"/>
      <c r="AA76" s="434"/>
      <c r="AB76" s="510"/>
      <c r="AC76" s="510"/>
      <c r="AD76" s="425"/>
      <c r="AE76" s="617"/>
      <c r="AF76" s="515"/>
      <c r="AG76" s="513"/>
      <c r="AH76" s="434"/>
      <c r="AI76" s="501"/>
      <c r="AJ76" s="501"/>
      <c r="AK76" s="425"/>
      <c r="AL76" s="479"/>
      <c r="AM76" s="613"/>
      <c r="AN76" s="446"/>
      <c r="AO76" s="434"/>
      <c r="AP76" s="561"/>
      <c r="AQ76" s="561"/>
      <c r="AR76" s="425"/>
      <c r="AS76" s="479"/>
      <c r="AT76" s="529"/>
      <c r="AU76" s="517"/>
      <c r="AV76" s="434"/>
      <c r="AW76" s="517"/>
      <c r="AX76" s="518"/>
      <c r="AY76" s="425"/>
      <c r="AZ76" s="499"/>
      <c r="BA76" s="504"/>
      <c r="BB76" s="505"/>
      <c r="BC76" s="434"/>
      <c r="BD76" s="477"/>
      <c r="BE76" s="477"/>
      <c r="BF76" s="425"/>
      <c r="BG76" s="655"/>
      <c r="BH76" s="512"/>
      <c r="BI76" s="513"/>
      <c r="BJ76" s="514"/>
      <c r="BK76" s="501"/>
      <c r="BL76" s="501"/>
      <c r="BM76" s="513"/>
      <c r="BN76" s="614"/>
      <c r="BO76" s="509"/>
      <c r="BP76" s="425"/>
      <c r="BQ76" s="434"/>
      <c r="BR76" s="510"/>
      <c r="BS76" s="510"/>
      <c r="BT76" s="425"/>
      <c r="BU76" s="622"/>
      <c r="BV76" s="564"/>
      <c r="BW76" s="425"/>
      <c r="BX76" s="434"/>
      <c r="BY76" s="392"/>
      <c r="BZ76" s="392"/>
      <c r="CA76" s="430"/>
      <c r="CB76" s="481"/>
      <c r="CC76" s="444"/>
      <c r="CD76" s="564"/>
      <c r="CE76" s="425"/>
      <c r="CF76" s="434"/>
      <c r="CG76" s="392"/>
      <c r="CH76" s="484"/>
      <c r="CI76" s="430"/>
      <c r="CJ76" s="481"/>
      <c r="CK76" s="721"/>
      <c r="CL76" s="425"/>
      <c r="CM76" s="400"/>
      <c r="CN76" s="434"/>
      <c r="CO76" s="391"/>
    </row>
    <row r="77" spans="1:93" ht="218.25" customHeight="1" thickBot="1" x14ac:dyDescent="0.3">
      <c r="A77" s="679"/>
      <c r="B77" s="401"/>
      <c r="C77" s="688"/>
      <c r="D77" s="111" t="s">
        <v>218</v>
      </c>
      <c r="E77" s="47" t="s">
        <v>219</v>
      </c>
      <c r="F77" s="425"/>
      <c r="G77" s="425"/>
      <c r="H77" s="482"/>
      <c r="I77" s="676"/>
      <c r="J77" s="425"/>
      <c r="K77" s="447"/>
      <c r="L77" s="447"/>
      <c r="M77" s="447"/>
      <c r="N77" s="447"/>
      <c r="O77" s="447"/>
      <c r="P77" s="447"/>
      <c r="Q77" s="581"/>
      <c r="R77" s="509"/>
      <c r="S77" s="425"/>
      <c r="T77" s="434"/>
      <c r="U77" s="510"/>
      <c r="V77" s="510"/>
      <c r="W77" s="425"/>
      <c r="X77" s="617"/>
      <c r="Y77" s="509"/>
      <c r="Z77" s="425"/>
      <c r="AA77" s="434"/>
      <c r="AB77" s="510"/>
      <c r="AC77" s="510"/>
      <c r="AD77" s="425"/>
      <c r="AE77" s="617"/>
      <c r="AF77" s="195">
        <v>1</v>
      </c>
      <c r="AG77" s="117">
        <v>1</v>
      </c>
      <c r="AH77" s="434"/>
      <c r="AI77" s="501" t="s">
        <v>694</v>
      </c>
      <c r="AJ77" s="501" t="s">
        <v>695</v>
      </c>
      <c r="AK77" s="425"/>
      <c r="AL77" s="192" t="s">
        <v>770</v>
      </c>
      <c r="AM77" s="147" t="s">
        <v>779</v>
      </c>
      <c r="AN77" s="68" t="s">
        <v>779</v>
      </c>
      <c r="AO77" s="434"/>
      <c r="AP77" s="121">
        <v>24350000</v>
      </c>
      <c r="AQ77" s="121">
        <v>12000000</v>
      </c>
      <c r="AR77" s="425"/>
      <c r="AS77" s="163" t="s">
        <v>848</v>
      </c>
      <c r="AT77" s="177">
        <v>12</v>
      </c>
      <c r="AU77" s="85">
        <v>12</v>
      </c>
      <c r="AV77" s="434"/>
      <c r="AW77" s="127">
        <v>25000000</v>
      </c>
      <c r="AX77" s="128">
        <v>23933333</v>
      </c>
      <c r="AY77" s="425"/>
      <c r="AZ77" s="163" t="s">
        <v>908</v>
      </c>
      <c r="BA77" s="504"/>
      <c r="BB77" s="505"/>
      <c r="BC77" s="434"/>
      <c r="BD77" s="477"/>
      <c r="BE77" s="477"/>
      <c r="BF77" s="425"/>
      <c r="BG77" s="655"/>
      <c r="BH77" s="512"/>
      <c r="BI77" s="513"/>
      <c r="BJ77" s="514"/>
      <c r="BK77" s="501"/>
      <c r="BL77" s="501"/>
      <c r="BM77" s="513"/>
      <c r="BN77" s="614"/>
      <c r="BO77" s="509"/>
      <c r="BP77" s="425"/>
      <c r="BQ77" s="434"/>
      <c r="BR77" s="510"/>
      <c r="BS77" s="510"/>
      <c r="BT77" s="425"/>
      <c r="BU77" s="622"/>
      <c r="BV77" s="565"/>
      <c r="BW77" s="425"/>
      <c r="BX77" s="434"/>
      <c r="BY77" s="393"/>
      <c r="BZ77" s="393"/>
      <c r="CA77" s="431"/>
      <c r="CB77" s="482"/>
      <c r="CC77" s="444"/>
      <c r="CD77" s="565"/>
      <c r="CE77" s="425"/>
      <c r="CF77" s="434"/>
      <c r="CG77" s="393"/>
      <c r="CH77" s="485"/>
      <c r="CI77" s="431"/>
      <c r="CJ77" s="482"/>
      <c r="CK77" s="721"/>
      <c r="CL77" s="425"/>
      <c r="CM77" s="396"/>
      <c r="CN77" s="434"/>
      <c r="CO77" s="392"/>
    </row>
    <row r="78" spans="1:93" ht="98.25" customHeight="1" x14ac:dyDescent="0.25">
      <c r="A78" s="677" t="s">
        <v>220</v>
      </c>
      <c r="B78" s="680" t="s">
        <v>221</v>
      </c>
      <c r="C78" s="681" t="s">
        <v>222</v>
      </c>
      <c r="D78" s="111" t="s">
        <v>223</v>
      </c>
      <c r="E78" s="47" t="s">
        <v>224</v>
      </c>
      <c r="F78" s="47" t="s">
        <v>225</v>
      </c>
      <c r="G78" s="47" t="s">
        <v>226</v>
      </c>
      <c r="H78" s="224" t="s">
        <v>227</v>
      </c>
      <c r="I78" s="32">
        <v>0</v>
      </c>
      <c r="J78" s="47">
        <v>1</v>
      </c>
      <c r="K78" s="57" t="s">
        <v>361</v>
      </c>
      <c r="L78" s="57" t="s">
        <v>362</v>
      </c>
      <c r="M78" s="47" t="s">
        <v>37</v>
      </c>
      <c r="N78" s="47" t="s">
        <v>363</v>
      </c>
      <c r="O78" s="47" t="s">
        <v>37</v>
      </c>
      <c r="P78" s="47" t="s">
        <v>364</v>
      </c>
      <c r="Q78" s="109">
        <v>1</v>
      </c>
      <c r="R78" s="96" t="s">
        <v>402</v>
      </c>
      <c r="S78" s="44" t="s">
        <v>422</v>
      </c>
      <c r="T78" s="54">
        <v>1</v>
      </c>
      <c r="U78" s="55"/>
      <c r="V78" s="55">
        <v>8655000</v>
      </c>
      <c r="W78" s="447" t="s">
        <v>255</v>
      </c>
      <c r="X78" s="97" t="s">
        <v>482</v>
      </c>
      <c r="Y78" s="96" t="s">
        <v>402</v>
      </c>
      <c r="Z78" s="44" t="s">
        <v>422</v>
      </c>
      <c r="AA78" s="54">
        <v>1</v>
      </c>
      <c r="AB78" s="55"/>
      <c r="AC78" s="55"/>
      <c r="AD78" s="447" t="s">
        <v>255</v>
      </c>
      <c r="AE78" s="97"/>
      <c r="AF78" s="195">
        <v>1</v>
      </c>
      <c r="AG78" s="117">
        <v>1</v>
      </c>
      <c r="AH78" s="54">
        <v>1</v>
      </c>
      <c r="AI78" s="501"/>
      <c r="AJ78" s="501"/>
      <c r="AK78" s="447" t="s">
        <v>255</v>
      </c>
      <c r="AL78" s="192" t="s">
        <v>771</v>
      </c>
      <c r="AM78" s="164">
        <v>1</v>
      </c>
      <c r="AN78" s="118">
        <v>0</v>
      </c>
      <c r="AO78" s="54">
        <v>1</v>
      </c>
      <c r="AP78" s="121">
        <v>25000000</v>
      </c>
      <c r="AQ78" s="68">
        <v>0</v>
      </c>
      <c r="AR78" s="447" t="s">
        <v>255</v>
      </c>
      <c r="AS78" s="172" t="s">
        <v>849</v>
      </c>
      <c r="AT78" s="178">
        <v>1</v>
      </c>
      <c r="AU78" s="126">
        <v>1</v>
      </c>
      <c r="AV78" s="54">
        <v>1</v>
      </c>
      <c r="AW78" s="181" t="s">
        <v>856</v>
      </c>
      <c r="AX78" s="181" t="s">
        <v>856</v>
      </c>
      <c r="AY78" s="447" t="s">
        <v>255</v>
      </c>
      <c r="AZ78" s="172" t="s">
        <v>909</v>
      </c>
      <c r="BA78" s="198">
        <v>12</v>
      </c>
      <c r="BB78" s="189">
        <v>12</v>
      </c>
      <c r="BC78" s="54">
        <v>1</v>
      </c>
      <c r="BD78" s="82">
        <v>32000000</v>
      </c>
      <c r="BE78" s="82">
        <v>31440300</v>
      </c>
      <c r="BF78" s="447" t="s">
        <v>255</v>
      </c>
      <c r="BG78" s="146" t="s">
        <v>970</v>
      </c>
      <c r="BH78" s="155" t="s">
        <v>402</v>
      </c>
      <c r="BI78" s="86" t="s">
        <v>568</v>
      </c>
      <c r="BJ78" s="75">
        <v>0</v>
      </c>
      <c r="BK78" s="73"/>
      <c r="BL78" s="73"/>
      <c r="BM78" s="505" t="s">
        <v>255</v>
      </c>
      <c r="BN78" s="146" t="s">
        <v>569</v>
      </c>
      <c r="BO78" s="96" t="s">
        <v>402</v>
      </c>
      <c r="BP78" s="44" t="s">
        <v>422</v>
      </c>
      <c r="BQ78" s="54">
        <v>1</v>
      </c>
      <c r="BR78" s="55"/>
      <c r="BS78" s="55">
        <v>8655000</v>
      </c>
      <c r="BT78" s="447" t="s">
        <v>255</v>
      </c>
      <c r="BU78" s="97" t="s">
        <v>648</v>
      </c>
      <c r="BV78" s="68">
        <v>1</v>
      </c>
      <c r="BW78" s="44" t="s">
        <v>422</v>
      </c>
      <c r="BX78" s="54">
        <v>1</v>
      </c>
      <c r="BY78" s="55">
        <v>0</v>
      </c>
      <c r="BZ78" s="55">
        <v>0</v>
      </c>
      <c r="CA78" s="208">
        <v>0</v>
      </c>
      <c r="CB78" s="224" t="s">
        <v>227</v>
      </c>
      <c r="CC78" s="252" t="s">
        <v>1074</v>
      </c>
      <c r="CD78" s="68">
        <v>1</v>
      </c>
      <c r="CE78" s="44" t="s">
        <v>1155</v>
      </c>
      <c r="CF78" s="54">
        <v>1</v>
      </c>
      <c r="CG78" s="55">
        <v>0</v>
      </c>
      <c r="CH78" s="55">
        <v>0</v>
      </c>
      <c r="CI78" s="208">
        <v>0</v>
      </c>
      <c r="CJ78" s="224" t="s">
        <v>227</v>
      </c>
      <c r="CK78" s="383" t="s">
        <v>1138</v>
      </c>
      <c r="CL78" s="47">
        <v>1</v>
      </c>
      <c r="CM78" s="218" t="s">
        <v>422</v>
      </c>
      <c r="CN78" s="226">
        <v>1</v>
      </c>
      <c r="CO78" s="393"/>
    </row>
    <row r="79" spans="1:93" ht="65.25" customHeight="1" x14ac:dyDescent="0.25">
      <c r="A79" s="684"/>
      <c r="B79" s="400"/>
      <c r="C79" s="682"/>
      <c r="D79" s="111" t="s">
        <v>228</v>
      </c>
      <c r="E79" s="47" t="s">
        <v>229</v>
      </c>
      <c r="F79" s="47" t="s">
        <v>230</v>
      </c>
      <c r="G79" s="47" t="s">
        <v>226</v>
      </c>
      <c r="H79" s="85" t="s">
        <v>1027</v>
      </c>
      <c r="I79" s="32">
        <v>0</v>
      </c>
      <c r="J79" s="61">
        <v>1</v>
      </c>
      <c r="K79" s="447" t="s">
        <v>291</v>
      </c>
      <c r="L79" s="447" t="s">
        <v>292</v>
      </c>
      <c r="M79" s="447" t="s">
        <v>293</v>
      </c>
      <c r="N79" s="447" t="s">
        <v>423</v>
      </c>
      <c r="O79" s="447" t="s">
        <v>293</v>
      </c>
      <c r="P79" s="447" t="s">
        <v>392</v>
      </c>
      <c r="Q79" s="110">
        <v>1</v>
      </c>
      <c r="R79" s="98">
        <v>0.5</v>
      </c>
      <c r="S79" s="45">
        <v>0.5</v>
      </c>
      <c r="T79" s="34">
        <f>(S79/R79)*1</f>
        <v>1</v>
      </c>
      <c r="U79" s="55">
        <v>0</v>
      </c>
      <c r="V79" s="55">
        <v>8655000</v>
      </c>
      <c r="W79" s="447"/>
      <c r="X79" s="99" t="s">
        <v>483</v>
      </c>
      <c r="Y79" s="98">
        <v>0.5</v>
      </c>
      <c r="Z79" s="45">
        <v>0.5</v>
      </c>
      <c r="AA79" s="34">
        <f>(Z79/Y79)*1</f>
        <v>1</v>
      </c>
      <c r="AB79" s="55"/>
      <c r="AC79" s="55"/>
      <c r="AD79" s="447"/>
      <c r="AE79" s="99"/>
      <c r="AF79" s="515">
        <v>4</v>
      </c>
      <c r="AG79" s="513">
        <v>2</v>
      </c>
      <c r="AH79" s="34">
        <f>(AG79/AF79)*1</f>
        <v>0.5</v>
      </c>
      <c r="AI79" s="501"/>
      <c r="AJ79" s="501"/>
      <c r="AK79" s="447"/>
      <c r="AL79" s="479" t="s">
        <v>772</v>
      </c>
      <c r="AM79" s="613">
        <v>4</v>
      </c>
      <c r="AN79" s="446">
        <v>2</v>
      </c>
      <c r="AO79" s="34">
        <f>(AN79/AM79)*1</f>
        <v>0.5</v>
      </c>
      <c r="AP79" s="545">
        <v>24350000</v>
      </c>
      <c r="AQ79" s="545">
        <v>12000000</v>
      </c>
      <c r="AR79" s="447"/>
      <c r="AS79" s="479" t="s">
        <v>850</v>
      </c>
      <c r="AT79" s="529">
        <v>4</v>
      </c>
      <c r="AU79" s="517">
        <v>11</v>
      </c>
      <c r="AV79" s="34">
        <f>(AU79/AT79)*1</f>
        <v>2.75</v>
      </c>
      <c r="AW79" s="519">
        <v>25000000</v>
      </c>
      <c r="AX79" s="520">
        <v>23933333</v>
      </c>
      <c r="AY79" s="447"/>
      <c r="AZ79" s="479" t="s">
        <v>910</v>
      </c>
      <c r="BA79" s="156">
        <v>1</v>
      </c>
      <c r="BB79" s="130">
        <v>0.9</v>
      </c>
      <c r="BC79" s="34">
        <f>(BB79/BA79)*1</f>
        <v>0.9</v>
      </c>
      <c r="BD79" s="82"/>
      <c r="BE79" s="82"/>
      <c r="BF79" s="447"/>
      <c r="BG79" s="135" t="s">
        <v>971</v>
      </c>
      <c r="BH79" s="156">
        <v>0.9</v>
      </c>
      <c r="BI79" s="87">
        <v>0.9</v>
      </c>
      <c r="BJ79" s="70">
        <f>(BI79/BH79)*1</f>
        <v>1</v>
      </c>
      <c r="BK79" s="73"/>
      <c r="BL79" s="73"/>
      <c r="BM79" s="505"/>
      <c r="BN79" s="135" t="s">
        <v>570</v>
      </c>
      <c r="BO79" s="98">
        <v>0.5</v>
      </c>
      <c r="BP79" s="45">
        <v>0.5</v>
      </c>
      <c r="BQ79" s="34">
        <f>(BP79/BO79)*1</f>
        <v>1</v>
      </c>
      <c r="BR79" s="55">
        <v>0</v>
      </c>
      <c r="BS79" s="55">
        <v>8655000</v>
      </c>
      <c r="BT79" s="447"/>
      <c r="BU79" s="99" t="s">
        <v>649</v>
      </c>
      <c r="BV79" s="118">
        <v>0.5</v>
      </c>
      <c r="BW79" s="45">
        <v>0.5</v>
      </c>
      <c r="BX79" s="34">
        <f>(BW79/BV79)*1</f>
        <v>1</v>
      </c>
      <c r="BY79" s="55">
        <v>0</v>
      </c>
      <c r="BZ79" s="55">
        <v>0</v>
      </c>
      <c r="CA79" s="34">
        <v>0</v>
      </c>
      <c r="CB79" s="85" t="s">
        <v>1027</v>
      </c>
      <c r="CC79" s="248" t="s">
        <v>1085</v>
      </c>
      <c r="CD79" s="118">
        <v>0.5</v>
      </c>
      <c r="CE79" s="45">
        <v>0.5</v>
      </c>
      <c r="CF79" s="34">
        <f>(CE79/CD79)*1</f>
        <v>1</v>
      </c>
      <c r="CG79" s="55">
        <v>0</v>
      </c>
      <c r="CH79" s="55">
        <v>0</v>
      </c>
      <c r="CI79" s="34">
        <v>0</v>
      </c>
      <c r="CJ79" s="85" t="s">
        <v>1027</v>
      </c>
      <c r="CK79" s="382" t="s">
        <v>1139</v>
      </c>
      <c r="CL79" s="61">
        <v>1</v>
      </c>
      <c r="CM79" s="45">
        <v>0.5</v>
      </c>
      <c r="CN79" s="46">
        <f>CM79/CL79</f>
        <v>0.5</v>
      </c>
    </row>
    <row r="80" spans="1:93" ht="33.75" customHeight="1" x14ac:dyDescent="0.25">
      <c r="A80" s="684"/>
      <c r="B80" s="400"/>
      <c r="C80" s="682"/>
      <c r="D80" s="626" t="s">
        <v>231</v>
      </c>
      <c r="E80" s="425" t="s">
        <v>232</v>
      </c>
      <c r="F80" s="425" t="s">
        <v>233</v>
      </c>
      <c r="G80" s="425" t="s">
        <v>21</v>
      </c>
      <c r="H80" s="452" t="s">
        <v>1028</v>
      </c>
      <c r="I80" s="676">
        <v>3</v>
      </c>
      <c r="J80" s="425">
        <v>10</v>
      </c>
      <c r="K80" s="447"/>
      <c r="L80" s="447"/>
      <c r="M80" s="447"/>
      <c r="N80" s="447"/>
      <c r="O80" s="447"/>
      <c r="P80" s="447"/>
      <c r="Q80" s="581">
        <v>10</v>
      </c>
      <c r="R80" s="509">
        <v>8</v>
      </c>
      <c r="S80" s="425">
        <v>7</v>
      </c>
      <c r="T80" s="534">
        <f>(S80/R80)*1</f>
        <v>0.875</v>
      </c>
      <c r="U80" s="559">
        <v>8655000</v>
      </c>
      <c r="V80" s="510">
        <v>8655000</v>
      </c>
      <c r="W80" s="447"/>
      <c r="X80" s="511" t="s">
        <v>484</v>
      </c>
      <c r="Y80" s="509">
        <v>8</v>
      </c>
      <c r="Z80" s="425">
        <v>7</v>
      </c>
      <c r="AA80" s="534">
        <f>(Z80/Y80)*1</f>
        <v>0.875</v>
      </c>
      <c r="AB80" s="559"/>
      <c r="AC80" s="510"/>
      <c r="AD80" s="447"/>
      <c r="AE80" s="511"/>
      <c r="AF80" s="515"/>
      <c r="AG80" s="513"/>
      <c r="AH80" s="534" t="e">
        <f>(AG80/AF80)*1</f>
        <v>#DIV/0!</v>
      </c>
      <c r="AI80" s="501"/>
      <c r="AJ80" s="501"/>
      <c r="AK80" s="447"/>
      <c r="AL80" s="479"/>
      <c r="AM80" s="613"/>
      <c r="AN80" s="446"/>
      <c r="AO80" s="534" t="e">
        <f>(AN80/AM80)*1</f>
        <v>#DIV/0!</v>
      </c>
      <c r="AP80" s="545"/>
      <c r="AQ80" s="545"/>
      <c r="AR80" s="447"/>
      <c r="AS80" s="479"/>
      <c r="AT80" s="529"/>
      <c r="AU80" s="517"/>
      <c r="AV80" s="534" t="e">
        <f>(AU80/AT80)*1</f>
        <v>#DIV/0!</v>
      </c>
      <c r="AW80" s="519"/>
      <c r="AX80" s="520"/>
      <c r="AY80" s="447"/>
      <c r="AZ80" s="479"/>
      <c r="BA80" s="504">
        <v>4</v>
      </c>
      <c r="BB80" s="505">
        <v>3</v>
      </c>
      <c r="BC80" s="534">
        <f>(BB80/BA80)*1</f>
        <v>0.75</v>
      </c>
      <c r="BD80" s="477">
        <v>32000000</v>
      </c>
      <c r="BE80" s="477">
        <v>31440300</v>
      </c>
      <c r="BF80" s="447"/>
      <c r="BG80" s="655" t="s">
        <v>972</v>
      </c>
      <c r="BH80" s="506">
        <v>7</v>
      </c>
      <c r="BI80" s="505">
        <v>0</v>
      </c>
      <c r="BJ80" s="507">
        <f>(BI80/BH80)*1</f>
        <v>0</v>
      </c>
      <c r="BK80" s="508"/>
      <c r="BL80" s="477"/>
      <c r="BM80" s="505"/>
      <c r="BN80" s="480" t="s">
        <v>571</v>
      </c>
      <c r="BO80" s="509">
        <v>8</v>
      </c>
      <c r="BP80" s="425">
        <v>7</v>
      </c>
      <c r="BQ80" s="534">
        <f>(BP80/BO80)*1</f>
        <v>0.875</v>
      </c>
      <c r="BR80" s="559">
        <v>8655000</v>
      </c>
      <c r="BS80" s="510">
        <v>8655000</v>
      </c>
      <c r="BT80" s="447"/>
      <c r="BU80" s="480" t="s">
        <v>650</v>
      </c>
      <c r="BV80" s="569">
        <v>1</v>
      </c>
      <c r="BW80" s="425">
        <v>1</v>
      </c>
      <c r="BX80" s="534">
        <f>(BW80/BV80)*1</f>
        <v>1</v>
      </c>
      <c r="BY80" s="571">
        <v>28313000</v>
      </c>
      <c r="BZ80" s="456">
        <v>35000000</v>
      </c>
      <c r="CA80" s="469">
        <f>BY80/BZ80</f>
        <v>0.80894285714285719</v>
      </c>
      <c r="CB80" s="452" t="s">
        <v>1028</v>
      </c>
      <c r="CC80" s="573" t="s">
        <v>1075</v>
      </c>
      <c r="CD80" s="726">
        <v>1</v>
      </c>
      <c r="CE80" s="425">
        <v>1</v>
      </c>
      <c r="CF80" s="534">
        <f>(CE80/CD80)*1</f>
        <v>1</v>
      </c>
      <c r="CG80" s="728">
        <v>55000000</v>
      </c>
      <c r="CH80" s="456">
        <v>27400333</v>
      </c>
      <c r="CI80" s="469">
        <f>CH80/CG80</f>
        <v>0.49818787272727272</v>
      </c>
      <c r="CJ80" s="452" t="s">
        <v>1028</v>
      </c>
      <c r="CK80" s="729" t="s">
        <v>1140</v>
      </c>
      <c r="CL80" s="425">
        <v>10</v>
      </c>
      <c r="CM80" s="395">
        <v>8</v>
      </c>
      <c r="CN80" s="442">
        <f>CM80/CL80</f>
        <v>0.8</v>
      </c>
    </row>
    <row r="81" spans="1:92" ht="126.75" customHeight="1" thickBot="1" x14ac:dyDescent="0.3">
      <c r="A81" s="685"/>
      <c r="B81" s="401"/>
      <c r="C81" s="683"/>
      <c r="D81" s="626"/>
      <c r="E81" s="425"/>
      <c r="F81" s="425"/>
      <c r="G81" s="425"/>
      <c r="H81" s="482"/>
      <c r="I81" s="676"/>
      <c r="J81" s="425"/>
      <c r="K81" s="447"/>
      <c r="L81" s="447"/>
      <c r="M81" s="57"/>
      <c r="N81" s="447"/>
      <c r="O81" s="447"/>
      <c r="P81" s="447"/>
      <c r="Q81" s="581"/>
      <c r="R81" s="509"/>
      <c r="S81" s="425"/>
      <c r="T81" s="534"/>
      <c r="U81" s="559"/>
      <c r="V81" s="510"/>
      <c r="W81" s="447"/>
      <c r="X81" s="511"/>
      <c r="Y81" s="509"/>
      <c r="Z81" s="425"/>
      <c r="AA81" s="534"/>
      <c r="AB81" s="559"/>
      <c r="AC81" s="510"/>
      <c r="AD81" s="447"/>
      <c r="AE81" s="511"/>
      <c r="AF81" s="196">
        <v>7</v>
      </c>
      <c r="AG81" s="116">
        <v>7</v>
      </c>
      <c r="AH81" s="534"/>
      <c r="AI81" s="501"/>
      <c r="AJ81" s="501"/>
      <c r="AK81" s="447"/>
      <c r="AL81" s="192" t="s">
        <v>773</v>
      </c>
      <c r="AM81" s="147">
        <v>12</v>
      </c>
      <c r="AN81" s="68">
        <v>12</v>
      </c>
      <c r="AO81" s="534"/>
      <c r="AP81" s="545">
        <v>24350000</v>
      </c>
      <c r="AQ81" s="545">
        <v>12000000</v>
      </c>
      <c r="AR81" s="447"/>
      <c r="AS81" s="163" t="s">
        <v>851</v>
      </c>
      <c r="AT81" s="171">
        <v>12</v>
      </c>
      <c r="AU81" s="125">
        <v>12</v>
      </c>
      <c r="AV81" s="534"/>
      <c r="AW81" s="519">
        <v>25000000</v>
      </c>
      <c r="AX81" s="518">
        <v>23933333</v>
      </c>
      <c r="AY81" s="447"/>
      <c r="AZ81" s="174" t="s">
        <v>911</v>
      </c>
      <c r="BA81" s="504"/>
      <c r="BB81" s="505"/>
      <c r="BC81" s="534"/>
      <c r="BD81" s="477"/>
      <c r="BE81" s="477"/>
      <c r="BF81" s="447"/>
      <c r="BG81" s="655"/>
      <c r="BH81" s="506"/>
      <c r="BI81" s="505"/>
      <c r="BJ81" s="507"/>
      <c r="BK81" s="508"/>
      <c r="BL81" s="477"/>
      <c r="BM81" s="505"/>
      <c r="BN81" s="480"/>
      <c r="BO81" s="509"/>
      <c r="BP81" s="425"/>
      <c r="BQ81" s="534"/>
      <c r="BR81" s="559"/>
      <c r="BS81" s="510"/>
      <c r="BT81" s="447"/>
      <c r="BU81" s="511"/>
      <c r="BV81" s="570"/>
      <c r="BW81" s="425"/>
      <c r="BX81" s="534"/>
      <c r="BY81" s="572"/>
      <c r="BZ81" s="457"/>
      <c r="CA81" s="497"/>
      <c r="CB81" s="482"/>
      <c r="CC81" s="573"/>
      <c r="CD81" s="727"/>
      <c r="CE81" s="425"/>
      <c r="CF81" s="534"/>
      <c r="CG81" s="572"/>
      <c r="CH81" s="457"/>
      <c r="CI81" s="497"/>
      <c r="CJ81" s="482"/>
      <c r="CK81" s="730"/>
      <c r="CL81" s="425"/>
      <c r="CM81" s="401"/>
      <c r="CN81" s="466"/>
    </row>
    <row r="82" spans="1:92" ht="121.5" customHeight="1" x14ac:dyDescent="0.25">
      <c r="A82" s="677" t="s">
        <v>234</v>
      </c>
      <c r="B82" s="680" t="s">
        <v>235</v>
      </c>
      <c r="C82" s="681" t="s">
        <v>236</v>
      </c>
      <c r="D82" s="111" t="s">
        <v>237</v>
      </c>
      <c r="E82" s="47" t="s">
        <v>238</v>
      </c>
      <c r="F82" s="47" t="s">
        <v>239</v>
      </c>
      <c r="G82" s="47" t="s">
        <v>209</v>
      </c>
      <c r="H82" s="224" t="s">
        <v>1029</v>
      </c>
      <c r="I82" s="47">
        <v>5</v>
      </c>
      <c r="J82" s="47">
        <v>12</v>
      </c>
      <c r="K82" s="447" t="s">
        <v>291</v>
      </c>
      <c r="L82" s="447" t="s">
        <v>292</v>
      </c>
      <c r="M82" s="447" t="s">
        <v>293</v>
      </c>
      <c r="N82" s="447" t="s">
        <v>423</v>
      </c>
      <c r="O82" s="447" t="s">
        <v>365</v>
      </c>
      <c r="P82" s="447" t="s">
        <v>392</v>
      </c>
      <c r="Q82" s="109">
        <v>12</v>
      </c>
      <c r="R82" s="100">
        <v>5</v>
      </c>
      <c r="S82" s="63">
        <v>7</v>
      </c>
      <c r="T82" s="46">
        <v>1</v>
      </c>
      <c r="U82" s="55">
        <v>8655000</v>
      </c>
      <c r="V82" s="55">
        <v>8655000</v>
      </c>
      <c r="W82" s="447" t="s">
        <v>255</v>
      </c>
      <c r="X82" s="142" t="s">
        <v>485</v>
      </c>
      <c r="Y82" s="100">
        <v>5</v>
      </c>
      <c r="Z82" s="63">
        <v>7</v>
      </c>
      <c r="AA82" s="46">
        <v>1</v>
      </c>
      <c r="AB82" s="55"/>
      <c r="AC82" s="55"/>
      <c r="AD82" s="447" t="s">
        <v>255</v>
      </c>
      <c r="AE82" s="142"/>
      <c r="AF82" s="196">
        <v>0</v>
      </c>
      <c r="AG82" s="116">
        <v>0</v>
      </c>
      <c r="AH82" s="46">
        <v>1</v>
      </c>
      <c r="AI82" s="501"/>
      <c r="AJ82" s="501"/>
      <c r="AK82" s="447" t="s">
        <v>255</v>
      </c>
      <c r="AL82" s="192" t="s">
        <v>774</v>
      </c>
      <c r="AM82" s="147">
        <v>13</v>
      </c>
      <c r="AN82" s="68">
        <v>13</v>
      </c>
      <c r="AO82" s="46">
        <v>1</v>
      </c>
      <c r="AP82" s="545"/>
      <c r="AQ82" s="545"/>
      <c r="AR82" s="447" t="s">
        <v>255</v>
      </c>
      <c r="AS82" s="163" t="s">
        <v>852</v>
      </c>
      <c r="AT82" s="171">
        <v>13</v>
      </c>
      <c r="AU82" s="125">
        <v>0</v>
      </c>
      <c r="AV82" s="46">
        <v>1</v>
      </c>
      <c r="AW82" s="519"/>
      <c r="AX82" s="518"/>
      <c r="AY82" s="447" t="s">
        <v>255</v>
      </c>
      <c r="AZ82" s="174" t="s">
        <v>912</v>
      </c>
      <c r="BA82" s="157">
        <v>12</v>
      </c>
      <c r="BB82" s="131">
        <v>7</v>
      </c>
      <c r="BC82" s="46">
        <v>1</v>
      </c>
      <c r="BD82" s="477">
        <v>32000000</v>
      </c>
      <c r="BE82" s="477">
        <v>32000000</v>
      </c>
      <c r="BF82" s="447" t="s">
        <v>255</v>
      </c>
      <c r="BG82" s="142" t="s">
        <v>973</v>
      </c>
      <c r="BH82" s="157">
        <v>3</v>
      </c>
      <c r="BI82" s="88">
        <v>4</v>
      </c>
      <c r="BJ82" s="89">
        <v>1</v>
      </c>
      <c r="BK82" s="73"/>
      <c r="BL82" s="73"/>
      <c r="BM82" s="505" t="s">
        <v>255</v>
      </c>
      <c r="BN82" s="142" t="s">
        <v>572</v>
      </c>
      <c r="BO82" s="100">
        <v>5</v>
      </c>
      <c r="BP82" s="63">
        <v>6</v>
      </c>
      <c r="BQ82" s="46">
        <v>1</v>
      </c>
      <c r="BR82" s="55">
        <v>8655000</v>
      </c>
      <c r="BS82" s="55">
        <v>8655000</v>
      </c>
      <c r="BT82" s="447" t="s">
        <v>255</v>
      </c>
      <c r="BU82" s="141" t="s">
        <v>651</v>
      </c>
      <c r="BV82" s="68">
        <v>12</v>
      </c>
      <c r="BW82" s="63">
        <v>5</v>
      </c>
      <c r="BX82" s="46">
        <f>BW82/BV82</f>
        <v>0.41666666666666669</v>
      </c>
      <c r="BY82" s="55">
        <f>34620000+
500000000</f>
        <v>534620000</v>
      </c>
      <c r="BZ82" s="240">
        <f>28800000+
50000000</f>
        <v>78800000</v>
      </c>
      <c r="CA82" s="46">
        <f>BZ82/BY82</f>
        <v>0.14739441098350231</v>
      </c>
      <c r="CB82" s="224" t="s">
        <v>1029</v>
      </c>
      <c r="CC82" s="255" t="s">
        <v>1076</v>
      </c>
      <c r="CD82" s="68">
        <v>5</v>
      </c>
      <c r="CE82" s="63">
        <v>5</v>
      </c>
      <c r="CF82" s="46">
        <f>CE82/CD82</f>
        <v>1</v>
      </c>
      <c r="CG82" s="55">
        <f>55000000+34620000+714286+
500000000</f>
        <v>590334286</v>
      </c>
      <c r="CH82" s="240">
        <f>28800000+714286+
50000000</f>
        <v>79514286</v>
      </c>
      <c r="CI82" s="46">
        <f>CH82/CG82</f>
        <v>0.13469366066940588</v>
      </c>
      <c r="CJ82" s="224" t="s">
        <v>1029</v>
      </c>
      <c r="CK82" s="389" t="s">
        <v>1145</v>
      </c>
      <c r="CL82" s="47">
        <v>12</v>
      </c>
      <c r="CM82" s="219">
        <v>5</v>
      </c>
      <c r="CN82" s="46">
        <f>CM82/CL82</f>
        <v>0.41666666666666669</v>
      </c>
    </row>
    <row r="83" spans="1:92" ht="267" customHeight="1" x14ac:dyDescent="0.25">
      <c r="A83" s="678"/>
      <c r="B83" s="400"/>
      <c r="C83" s="682"/>
      <c r="D83" s="111" t="s">
        <v>240</v>
      </c>
      <c r="E83" s="47" t="s">
        <v>241</v>
      </c>
      <c r="F83" s="47" t="s">
        <v>242</v>
      </c>
      <c r="G83" s="47" t="s">
        <v>243</v>
      </c>
      <c r="H83" s="85" t="s">
        <v>1030</v>
      </c>
      <c r="I83" s="47">
        <v>2</v>
      </c>
      <c r="J83" s="47">
        <v>13</v>
      </c>
      <c r="K83" s="447"/>
      <c r="L83" s="447"/>
      <c r="M83" s="447"/>
      <c r="N83" s="447"/>
      <c r="O83" s="447"/>
      <c r="P83" s="447"/>
      <c r="Q83" s="109">
        <v>13</v>
      </c>
      <c r="R83" s="100">
        <v>0</v>
      </c>
      <c r="S83" s="63">
        <v>12</v>
      </c>
      <c r="T83" s="46">
        <v>1</v>
      </c>
      <c r="U83" s="55">
        <v>8655000</v>
      </c>
      <c r="V83" s="55">
        <v>8655000</v>
      </c>
      <c r="W83" s="447"/>
      <c r="X83" s="97" t="s">
        <v>489</v>
      </c>
      <c r="Y83" s="100">
        <v>0</v>
      </c>
      <c r="Z83" s="63">
        <v>12</v>
      </c>
      <c r="AA83" s="46">
        <v>1</v>
      </c>
      <c r="AB83" s="55"/>
      <c r="AC83" s="55"/>
      <c r="AD83" s="447"/>
      <c r="AE83" s="97"/>
      <c r="AF83" s="196">
        <v>12</v>
      </c>
      <c r="AG83" s="116">
        <v>12</v>
      </c>
      <c r="AH83" s="46">
        <v>1</v>
      </c>
      <c r="AI83" s="501"/>
      <c r="AJ83" s="501"/>
      <c r="AK83" s="447"/>
      <c r="AL83" s="192" t="s">
        <v>775</v>
      </c>
      <c r="AM83" s="147">
        <v>12</v>
      </c>
      <c r="AN83" s="68">
        <v>12</v>
      </c>
      <c r="AO83" s="46">
        <v>1</v>
      </c>
      <c r="AP83" s="545"/>
      <c r="AQ83" s="545"/>
      <c r="AR83" s="447"/>
      <c r="AS83" s="163" t="s">
        <v>853</v>
      </c>
      <c r="AT83" s="171">
        <v>12</v>
      </c>
      <c r="AU83" s="125">
        <v>13</v>
      </c>
      <c r="AV83" s="46">
        <v>1</v>
      </c>
      <c r="AW83" s="519"/>
      <c r="AX83" s="518"/>
      <c r="AY83" s="447"/>
      <c r="AZ83" s="174" t="s">
        <v>913</v>
      </c>
      <c r="BA83" s="157">
        <v>13</v>
      </c>
      <c r="BB83" s="131">
        <v>13</v>
      </c>
      <c r="BC83" s="46">
        <v>1</v>
      </c>
      <c r="BD83" s="477"/>
      <c r="BE83" s="477"/>
      <c r="BF83" s="447"/>
      <c r="BG83" s="168" t="s">
        <v>1038</v>
      </c>
      <c r="BH83" s="157">
        <v>0</v>
      </c>
      <c r="BI83" s="88">
        <v>0</v>
      </c>
      <c r="BJ83" s="89">
        <v>1</v>
      </c>
      <c r="BK83" s="73" t="s">
        <v>573</v>
      </c>
      <c r="BL83" s="73" t="s">
        <v>574</v>
      </c>
      <c r="BM83" s="505"/>
      <c r="BN83" s="146" t="s">
        <v>575</v>
      </c>
      <c r="BO83" s="100">
        <v>0</v>
      </c>
      <c r="BP83" s="63">
        <v>12</v>
      </c>
      <c r="BQ83" s="46">
        <v>1</v>
      </c>
      <c r="BR83" s="55">
        <v>8655000</v>
      </c>
      <c r="BS83" s="55">
        <v>8655000</v>
      </c>
      <c r="BT83" s="447"/>
      <c r="BU83" s="97" t="s">
        <v>652</v>
      </c>
      <c r="BV83" s="68">
        <v>12</v>
      </c>
      <c r="BW83" s="63">
        <v>12</v>
      </c>
      <c r="BX83" s="46">
        <v>1</v>
      </c>
      <c r="BY83" s="55">
        <v>34620000</v>
      </c>
      <c r="BZ83" s="240">
        <v>28800000</v>
      </c>
      <c r="CA83" s="46">
        <f>BZ83/BY83</f>
        <v>0.83188908145580587</v>
      </c>
      <c r="CB83" s="85" t="s">
        <v>1030</v>
      </c>
      <c r="CC83" s="252" t="s">
        <v>1077</v>
      </c>
      <c r="CD83" s="68">
        <v>13</v>
      </c>
      <c r="CE83" s="63">
        <v>12</v>
      </c>
      <c r="CF83" s="46">
        <f>CE83/CD83</f>
        <v>0.92307692307692313</v>
      </c>
      <c r="CG83" s="55">
        <f>55000000+34620000+714286</f>
        <v>90334286</v>
      </c>
      <c r="CH83" s="240">
        <f>28800000+714286</f>
        <v>29514286</v>
      </c>
      <c r="CI83" s="46">
        <f>CH83/CG83</f>
        <v>0.32672296762272524</v>
      </c>
      <c r="CJ83" s="85" t="s">
        <v>1030</v>
      </c>
      <c r="CK83" s="380" t="s">
        <v>1141</v>
      </c>
      <c r="CL83" s="47">
        <v>13</v>
      </c>
      <c r="CM83" s="63">
        <v>13</v>
      </c>
      <c r="CN83" s="46">
        <f>CM83/CL83</f>
        <v>1</v>
      </c>
    </row>
    <row r="84" spans="1:92" ht="236.25" customHeight="1" x14ac:dyDescent="0.25">
      <c r="A84" s="678"/>
      <c r="B84" s="400"/>
      <c r="C84" s="682"/>
      <c r="D84" s="111" t="s">
        <v>244</v>
      </c>
      <c r="E84" s="47" t="s">
        <v>245</v>
      </c>
      <c r="F84" s="47" t="s">
        <v>246</v>
      </c>
      <c r="G84" s="47" t="s">
        <v>247</v>
      </c>
      <c r="H84" s="85" t="s">
        <v>1030</v>
      </c>
      <c r="I84" s="47">
        <v>12</v>
      </c>
      <c r="J84" s="47">
        <v>13</v>
      </c>
      <c r="K84" s="447"/>
      <c r="L84" s="447"/>
      <c r="M84" s="447"/>
      <c r="N84" s="447"/>
      <c r="O84" s="447"/>
      <c r="P84" s="447"/>
      <c r="Q84" s="109">
        <v>13</v>
      </c>
      <c r="R84" s="100">
        <v>12</v>
      </c>
      <c r="S84" s="63">
        <v>12</v>
      </c>
      <c r="T84" s="34">
        <f t="shared" ref="T84" si="11">(S84/R84)*1</f>
        <v>1</v>
      </c>
      <c r="U84" s="55">
        <v>8655000</v>
      </c>
      <c r="V84" s="55">
        <v>8655000</v>
      </c>
      <c r="W84" s="447"/>
      <c r="X84" s="97" t="s">
        <v>486</v>
      </c>
      <c r="Y84" s="100">
        <v>12</v>
      </c>
      <c r="Z84" s="63">
        <v>12</v>
      </c>
      <c r="AA84" s="34">
        <f t="shared" ref="AA84" si="12">(Z84/Y84)*1</f>
        <v>1</v>
      </c>
      <c r="AB84" s="55"/>
      <c r="AC84" s="55"/>
      <c r="AD84" s="447"/>
      <c r="AE84" s="97"/>
      <c r="AF84" s="196">
        <v>13</v>
      </c>
      <c r="AG84" s="116">
        <v>5</v>
      </c>
      <c r="AH84" s="34">
        <f t="shared" ref="AH84" si="13">(AG84/AF84)*1</f>
        <v>0.38461538461538464</v>
      </c>
      <c r="AI84" s="501"/>
      <c r="AJ84" s="501"/>
      <c r="AK84" s="447"/>
      <c r="AL84" s="192" t="s">
        <v>776</v>
      </c>
      <c r="AM84" s="147">
        <v>13</v>
      </c>
      <c r="AN84" s="68">
        <v>10</v>
      </c>
      <c r="AO84" s="34">
        <f t="shared" ref="AO84" si="14">(AN84/AM84)*1</f>
        <v>0.76923076923076927</v>
      </c>
      <c r="AP84" s="545"/>
      <c r="AQ84" s="545"/>
      <c r="AR84" s="447"/>
      <c r="AS84" s="163" t="s">
        <v>854</v>
      </c>
      <c r="AT84" s="171">
        <v>13</v>
      </c>
      <c r="AU84" s="125">
        <v>11</v>
      </c>
      <c r="AV84" s="34">
        <f t="shared" ref="AV84" si="15">(AU84/AT84)*1</f>
        <v>0.84615384615384615</v>
      </c>
      <c r="AW84" s="519"/>
      <c r="AX84" s="518"/>
      <c r="AY84" s="447"/>
      <c r="AZ84" s="174" t="s">
        <v>914</v>
      </c>
      <c r="BA84" s="157">
        <v>12</v>
      </c>
      <c r="BB84" s="131">
        <v>12</v>
      </c>
      <c r="BC84" s="34">
        <f t="shared" ref="BC84" si="16">(BB84/BA84)*1</f>
        <v>1</v>
      </c>
      <c r="BD84" s="477"/>
      <c r="BE84" s="477"/>
      <c r="BF84" s="447"/>
      <c r="BG84" s="168" t="s">
        <v>974</v>
      </c>
      <c r="BH84" s="157">
        <v>11</v>
      </c>
      <c r="BI84" s="88">
        <v>11</v>
      </c>
      <c r="BJ84" s="70">
        <f t="shared" ref="BJ84" si="17">(BI84/BH84)*1</f>
        <v>1</v>
      </c>
      <c r="BK84" s="73" t="s">
        <v>576</v>
      </c>
      <c r="BL84" s="73" t="s">
        <v>577</v>
      </c>
      <c r="BM84" s="505"/>
      <c r="BN84" s="146" t="s">
        <v>578</v>
      </c>
      <c r="BO84" s="100">
        <v>12</v>
      </c>
      <c r="BP84" s="63">
        <v>11</v>
      </c>
      <c r="BQ84" s="34">
        <f t="shared" ref="BQ84" si="18">(BP84/BO84)*1</f>
        <v>0.91666666666666663</v>
      </c>
      <c r="BR84" s="55">
        <v>8655000</v>
      </c>
      <c r="BS84" s="55">
        <v>8655000</v>
      </c>
      <c r="BT84" s="447"/>
      <c r="BU84" s="146" t="s">
        <v>653</v>
      </c>
      <c r="BV84" s="68">
        <v>13</v>
      </c>
      <c r="BW84" s="63">
        <v>13</v>
      </c>
      <c r="BX84" s="34">
        <f t="shared" ref="BX84" si="19">(BW84/BV84)*1</f>
        <v>1</v>
      </c>
      <c r="BY84" s="55">
        <v>34620000</v>
      </c>
      <c r="BZ84" s="240">
        <v>28850000</v>
      </c>
      <c r="CA84" s="34">
        <f>BZ84/BY84</f>
        <v>0.83333333333333337</v>
      </c>
      <c r="CB84" s="85" t="s">
        <v>1030</v>
      </c>
      <c r="CC84" s="252" t="s">
        <v>1078</v>
      </c>
      <c r="CD84" s="68">
        <v>13</v>
      </c>
      <c r="CE84" s="63">
        <v>13</v>
      </c>
      <c r="CF84" s="34">
        <f t="shared" ref="CF84" si="20">(CE84/CD84)*1</f>
        <v>1</v>
      </c>
      <c r="CG84" s="55">
        <f>55000000+34620000+714286</f>
        <v>90334286</v>
      </c>
      <c r="CH84" s="240">
        <f>28850000+714286</f>
        <v>29564286</v>
      </c>
      <c r="CI84" s="34">
        <f>CH84/CG84</f>
        <v>0.32727646732050331</v>
      </c>
      <c r="CJ84" s="85" t="s">
        <v>1030</v>
      </c>
      <c r="CK84" s="380" t="s">
        <v>1142</v>
      </c>
      <c r="CL84" s="47">
        <v>13</v>
      </c>
      <c r="CM84" s="63">
        <v>13</v>
      </c>
      <c r="CN84" s="46">
        <f>CM84/CL84</f>
        <v>1</v>
      </c>
    </row>
    <row r="85" spans="1:92" ht="171" customHeight="1" thickBot="1" x14ac:dyDescent="0.3">
      <c r="A85" s="679"/>
      <c r="B85" s="401"/>
      <c r="C85" s="683"/>
      <c r="D85" s="113" t="s">
        <v>248</v>
      </c>
      <c r="E85" s="64" t="s">
        <v>249</v>
      </c>
      <c r="F85" s="64" t="s">
        <v>250</v>
      </c>
      <c r="G85" s="64" t="s">
        <v>247</v>
      </c>
      <c r="H85" s="225" t="s">
        <v>1030</v>
      </c>
      <c r="I85" s="64">
        <v>0</v>
      </c>
      <c r="J85" s="64">
        <v>13</v>
      </c>
      <c r="K85" s="503"/>
      <c r="L85" s="503"/>
      <c r="M85" s="503"/>
      <c r="N85" s="503"/>
      <c r="O85" s="503"/>
      <c r="P85" s="503"/>
      <c r="Q85" s="114">
        <v>13</v>
      </c>
      <c r="R85" s="101">
        <v>13</v>
      </c>
      <c r="S85" s="102">
        <v>4</v>
      </c>
      <c r="T85" s="103">
        <f>S85/R85</f>
        <v>0.30769230769230771</v>
      </c>
      <c r="U85" s="104">
        <v>8655000</v>
      </c>
      <c r="V85" s="105">
        <v>8655000</v>
      </c>
      <c r="W85" s="503"/>
      <c r="X85" s="106" t="s">
        <v>487</v>
      </c>
      <c r="Y85" s="101">
        <v>13</v>
      </c>
      <c r="Z85" s="102">
        <v>10</v>
      </c>
      <c r="AA85" s="103">
        <f>Z85/Y85</f>
        <v>0.76923076923076927</v>
      </c>
      <c r="AB85" s="104"/>
      <c r="AC85" s="104"/>
      <c r="AD85" s="503"/>
      <c r="AE85" s="106"/>
      <c r="AF85" s="101">
        <v>13</v>
      </c>
      <c r="AG85" s="102">
        <v>4</v>
      </c>
      <c r="AH85" s="103">
        <f>AG85/AF85</f>
        <v>0.30769230769230771</v>
      </c>
      <c r="AI85" s="104">
        <v>8655000</v>
      </c>
      <c r="AJ85" s="105">
        <v>8655000</v>
      </c>
      <c r="AK85" s="503"/>
      <c r="AL85" s="106"/>
      <c r="AM85" s="101">
        <v>13</v>
      </c>
      <c r="AN85" s="102">
        <v>10</v>
      </c>
      <c r="AO85" s="103">
        <f>AN85/AM85</f>
        <v>0.76923076923076927</v>
      </c>
      <c r="AP85" s="104" t="s">
        <v>491</v>
      </c>
      <c r="AQ85" s="104" t="s">
        <v>490</v>
      </c>
      <c r="AR85" s="503"/>
      <c r="AS85" s="106" t="s">
        <v>464</v>
      </c>
      <c r="AT85" s="101">
        <v>13</v>
      </c>
      <c r="AU85" s="102">
        <v>4</v>
      </c>
      <c r="AV85" s="103">
        <f>AU85/AT85</f>
        <v>0.30769230769230771</v>
      </c>
      <c r="AW85" s="104">
        <v>8655000</v>
      </c>
      <c r="AX85" s="105">
        <v>8655000</v>
      </c>
      <c r="AY85" s="503"/>
      <c r="AZ85" s="106" t="s">
        <v>487</v>
      </c>
      <c r="BA85" s="158">
        <v>13</v>
      </c>
      <c r="BB85" s="169">
        <v>13</v>
      </c>
      <c r="BC85" s="103">
        <f>BB85/BA85</f>
        <v>1</v>
      </c>
      <c r="BD85" s="478"/>
      <c r="BE85" s="478"/>
      <c r="BF85" s="503"/>
      <c r="BG85" s="170" t="s">
        <v>975</v>
      </c>
      <c r="BH85" s="158">
        <v>13</v>
      </c>
      <c r="BI85" s="132">
        <v>7</v>
      </c>
      <c r="BJ85" s="159">
        <f>(BI85/BH85)*1</f>
        <v>0.53846153846153844</v>
      </c>
      <c r="BK85" s="160" t="s">
        <v>579</v>
      </c>
      <c r="BL85" s="161">
        <v>400</v>
      </c>
      <c r="BM85" s="607"/>
      <c r="BN85" s="162" t="s">
        <v>580</v>
      </c>
      <c r="BO85" s="101">
        <v>13</v>
      </c>
      <c r="BP85" s="102">
        <v>5</v>
      </c>
      <c r="BQ85" s="103">
        <f>BP85/BO85</f>
        <v>0.38461538461538464</v>
      </c>
      <c r="BR85" s="104">
        <v>8655000</v>
      </c>
      <c r="BS85" s="105">
        <v>8655000</v>
      </c>
      <c r="BT85" s="503"/>
      <c r="BU85" s="106" t="s">
        <v>654</v>
      </c>
      <c r="BV85" s="68">
        <v>13</v>
      </c>
      <c r="BW85" s="223">
        <v>13</v>
      </c>
      <c r="BX85" s="103">
        <f>BW85/BV85</f>
        <v>1</v>
      </c>
      <c r="BY85" s="55">
        <f>34620000+
273979122+
950000+1360000</f>
        <v>310909122</v>
      </c>
      <c r="BZ85" s="55">
        <f>28850000+
142116458+
950000+1360000</f>
        <v>173276458</v>
      </c>
      <c r="CA85" s="31">
        <f>BZ85/BY85</f>
        <v>0.55732188520348402</v>
      </c>
      <c r="CB85" s="225" t="s">
        <v>1030</v>
      </c>
      <c r="CC85" s="247" t="s">
        <v>1086</v>
      </c>
      <c r="CD85" s="68">
        <v>13</v>
      </c>
      <c r="CE85" s="223">
        <v>13</v>
      </c>
      <c r="CF85" s="103">
        <f>CE85/CD85</f>
        <v>1</v>
      </c>
      <c r="CG85" s="55">
        <f>34620000+714286+
273979122+
950000+1360000</f>
        <v>311623408</v>
      </c>
      <c r="CH85" s="55">
        <f>28850000+714286+
142116458+
950000+1360000</f>
        <v>173990744</v>
      </c>
      <c r="CI85" s="31">
        <f>CH85/CG85</f>
        <v>0.55833656757903116</v>
      </c>
      <c r="CJ85" s="225" t="s">
        <v>1030</v>
      </c>
      <c r="CK85" s="381" t="s">
        <v>1143</v>
      </c>
      <c r="CL85" s="64">
        <v>13</v>
      </c>
      <c r="CM85" s="63">
        <v>13</v>
      </c>
      <c r="CN85" s="46">
        <f>CM85/CL85</f>
        <v>1</v>
      </c>
    </row>
    <row r="86" spans="1:92" x14ac:dyDescent="0.25">
      <c r="C86" s="48"/>
      <c r="Q86" s="67"/>
      <c r="R86" s="29"/>
      <c r="T86" s="15"/>
      <c r="U86" s="51"/>
      <c r="V86" s="51"/>
      <c r="W86" s="2"/>
      <c r="X86" s="2"/>
      <c r="Y86" s="29"/>
      <c r="AA86" s="15"/>
      <c r="AB86" s="51"/>
      <c r="AC86" s="51"/>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c r="CE86" s="2"/>
    </row>
    <row r="87" spans="1:92" ht="15.75" thickBot="1" x14ac:dyDescent="0.3">
      <c r="Q87" s="67"/>
      <c r="R87" s="29"/>
      <c r="S87" s="29"/>
      <c r="T87" s="15"/>
      <c r="U87" s="51"/>
      <c r="V87" s="51"/>
      <c r="W87" s="2"/>
      <c r="X87" s="2"/>
      <c r="Y87" s="29"/>
      <c r="Z87" s="29"/>
      <c r="AA87" s="15"/>
      <c r="AB87" s="51"/>
      <c r="AC87" s="51"/>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238">
        <f>AVERAGE(BX4:BX85)</f>
        <v>0.72294908925318746</v>
      </c>
      <c r="BZ87" t="s">
        <v>1032</v>
      </c>
      <c r="CA87" s="233">
        <f>AVERAGE(CA4:CA85)</f>
        <v>0.52647452829838126</v>
      </c>
      <c r="CF87" s="238">
        <f>AVERAGE(CF4:CF85)</f>
        <v>0.70229780019616073</v>
      </c>
      <c r="CH87" s="377" t="s">
        <v>1032</v>
      </c>
      <c r="CI87" s="233">
        <f>AVERAGE(CI4:CI85)</f>
        <v>0.49097483170011674</v>
      </c>
      <c r="CL87" t="s">
        <v>986</v>
      </c>
      <c r="CN87" s="236">
        <f>AVERAGE(CN4:CN85)</f>
        <v>0.64568032786885243</v>
      </c>
    </row>
    <row r="88" spans="1:92" x14ac:dyDescent="0.25">
      <c r="Q88" s="67"/>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394"/>
      <c r="BV88" s="394"/>
      <c r="BW88" s="394"/>
      <c r="BX88" s="220"/>
    </row>
    <row r="89" spans="1:92" x14ac:dyDescent="0.25">
      <c r="Q89" s="67"/>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92" x14ac:dyDescent="0.25">
      <c r="Q90" s="67"/>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92" x14ac:dyDescent="0.25">
      <c r="Q91" s="67"/>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92" x14ac:dyDescent="0.25">
      <c r="Q92" s="67"/>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92" x14ac:dyDescent="0.25">
      <c r="Q93" s="67"/>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92" x14ac:dyDescent="0.25">
      <c r="Q94" s="67"/>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92" x14ac:dyDescent="0.25">
      <c r="Q95" s="67"/>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92" x14ac:dyDescent="0.25">
      <c r="Q96" s="67"/>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67"/>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67"/>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67"/>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67"/>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67"/>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67"/>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67"/>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67"/>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67"/>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67"/>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67"/>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67"/>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67"/>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689">
    <mergeCell ref="CN27:CN28"/>
    <mergeCell ref="CD75:CD77"/>
    <mergeCell ref="CE75:CE77"/>
    <mergeCell ref="CF75:CF77"/>
    <mergeCell ref="CG75:CG77"/>
    <mergeCell ref="CH75:CH77"/>
    <mergeCell ref="CI75:CI77"/>
    <mergeCell ref="CJ75:CJ77"/>
    <mergeCell ref="CK75:CK77"/>
    <mergeCell ref="CD80:CD81"/>
    <mergeCell ref="CE80:CE81"/>
    <mergeCell ref="CF80:CF81"/>
    <mergeCell ref="CG80:CG81"/>
    <mergeCell ref="CH80:CH81"/>
    <mergeCell ref="CI80:CI81"/>
    <mergeCell ref="CJ80:CJ81"/>
    <mergeCell ref="CK80:CK81"/>
    <mergeCell ref="CG62:CG63"/>
    <mergeCell ref="CH62:CH63"/>
    <mergeCell ref="CI62:CI63"/>
    <mergeCell ref="CD66:CD67"/>
    <mergeCell ref="CE66:CE67"/>
    <mergeCell ref="CF66:CF67"/>
    <mergeCell ref="CG66:CG67"/>
    <mergeCell ref="CH66:CH67"/>
    <mergeCell ref="CI66:CI67"/>
    <mergeCell ref="CJ66:CJ67"/>
    <mergeCell ref="CK66:CK67"/>
    <mergeCell ref="CD71:CD73"/>
    <mergeCell ref="CE71:CE73"/>
    <mergeCell ref="CF71:CF73"/>
    <mergeCell ref="CG71:CG73"/>
    <mergeCell ref="CH71:CH73"/>
    <mergeCell ref="CI71:CI73"/>
    <mergeCell ref="CJ71:CJ73"/>
    <mergeCell ref="CK71:CK73"/>
    <mergeCell ref="CD53:CD54"/>
    <mergeCell ref="CE53:CE54"/>
    <mergeCell ref="CF53:CF54"/>
    <mergeCell ref="CG53:CG54"/>
    <mergeCell ref="CH53:CH54"/>
    <mergeCell ref="CI53:CI54"/>
    <mergeCell ref="CJ53:CJ54"/>
    <mergeCell ref="CK53:CK54"/>
    <mergeCell ref="CG55:CG57"/>
    <mergeCell ref="CH55:CH57"/>
    <mergeCell ref="CI55:CI57"/>
    <mergeCell ref="CK55:CK57"/>
    <mergeCell ref="CD56:CD57"/>
    <mergeCell ref="CE56:CE57"/>
    <mergeCell ref="CF56:CF57"/>
    <mergeCell ref="CJ56:CJ57"/>
    <mergeCell ref="CG60:CG61"/>
    <mergeCell ref="CH60:CH61"/>
    <mergeCell ref="CI60:CI61"/>
    <mergeCell ref="CD46:CD47"/>
    <mergeCell ref="CE46:CE47"/>
    <mergeCell ref="CF46:CF47"/>
    <mergeCell ref="CG46:CG47"/>
    <mergeCell ref="CH46:CH47"/>
    <mergeCell ref="CI46:CI47"/>
    <mergeCell ref="CJ46:CJ47"/>
    <mergeCell ref="CK46:CK47"/>
    <mergeCell ref="CG49:CG50"/>
    <mergeCell ref="CH49:CH50"/>
    <mergeCell ref="CI49:CI50"/>
    <mergeCell ref="CD51:CD52"/>
    <mergeCell ref="CE51:CE52"/>
    <mergeCell ref="CF51:CF52"/>
    <mergeCell ref="CG51:CG52"/>
    <mergeCell ref="CH51:CH52"/>
    <mergeCell ref="CI51:CI52"/>
    <mergeCell ref="CJ51:CJ52"/>
    <mergeCell ref="CK51:CK52"/>
    <mergeCell ref="CK31:CK32"/>
    <mergeCell ref="CD37:CD39"/>
    <mergeCell ref="CE37:CE39"/>
    <mergeCell ref="CF37:CF39"/>
    <mergeCell ref="CG37:CG39"/>
    <mergeCell ref="CH37:CH39"/>
    <mergeCell ref="CI37:CI39"/>
    <mergeCell ref="CJ37:CJ39"/>
    <mergeCell ref="CK37:CK39"/>
    <mergeCell ref="CD44:CD45"/>
    <mergeCell ref="CE44:CE45"/>
    <mergeCell ref="CF44:CF45"/>
    <mergeCell ref="CG44:CG45"/>
    <mergeCell ref="CH44:CH45"/>
    <mergeCell ref="CI44:CI45"/>
    <mergeCell ref="CJ44:CJ45"/>
    <mergeCell ref="CK44:CK45"/>
    <mergeCell ref="CF19:CF20"/>
    <mergeCell ref="CJ19:CJ20"/>
    <mergeCell ref="CD21:CD24"/>
    <mergeCell ref="CE21:CE24"/>
    <mergeCell ref="CF21:CF24"/>
    <mergeCell ref="CG21:CG24"/>
    <mergeCell ref="CH21:CH24"/>
    <mergeCell ref="CI21:CI24"/>
    <mergeCell ref="CJ21:CJ24"/>
    <mergeCell ref="CK21:CK24"/>
    <mergeCell ref="CD27:CD28"/>
    <mergeCell ref="CE27:CE28"/>
    <mergeCell ref="CG27:CG29"/>
    <mergeCell ref="CH27:CH29"/>
    <mergeCell ref="CI27:CI29"/>
    <mergeCell ref="CJ28:CJ29"/>
    <mergeCell ref="CK28:CK29"/>
    <mergeCell ref="CD19:CD20"/>
    <mergeCell ref="CF27:CF28"/>
    <mergeCell ref="CK18:CK20"/>
    <mergeCell ref="CD1:CK1"/>
    <mergeCell ref="CD2:CD3"/>
    <mergeCell ref="CE2:CE3"/>
    <mergeCell ref="CF2:CF3"/>
    <mergeCell ref="CG2:CG3"/>
    <mergeCell ref="CH2:CH3"/>
    <mergeCell ref="CI2:CI3"/>
    <mergeCell ref="CJ2:CJ3"/>
    <mergeCell ref="CK2:CK3"/>
    <mergeCell ref="CG7:CG8"/>
    <mergeCell ref="CH7:CH8"/>
    <mergeCell ref="CD9:CD11"/>
    <mergeCell ref="CE9:CE11"/>
    <mergeCell ref="CF9:CF11"/>
    <mergeCell ref="CG9:CG11"/>
    <mergeCell ref="CH9:CH11"/>
    <mergeCell ref="CI9:CI11"/>
    <mergeCell ref="CJ9:CJ11"/>
    <mergeCell ref="CK9:CK11"/>
    <mergeCell ref="CI7:CI8"/>
    <mergeCell ref="D42:D43"/>
    <mergeCell ref="E42:E43"/>
    <mergeCell ref="CL19:CL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46:AH47"/>
    <mergeCell ref="AK46:AK47"/>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H56:AH57"/>
    <mergeCell ref="AK56:AK57"/>
    <mergeCell ref="AO56:AO57"/>
    <mergeCell ref="AR56:AR57"/>
    <mergeCell ref="AR46:AR47"/>
    <mergeCell ref="AI45:AI46"/>
    <mergeCell ref="AJ45:AJ46"/>
    <mergeCell ref="AR51:AR52"/>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G66:AG67"/>
    <mergeCell ref="AM66:AM67"/>
    <mergeCell ref="AN66:AN67"/>
    <mergeCell ref="AL79:AL80"/>
    <mergeCell ref="AP65:AP69"/>
    <mergeCell ref="AQ65:AQ69"/>
    <mergeCell ref="AM79:AM80"/>
    <mergeCell ref="AN79:AN80"/>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AY37:AY39"/>
    <mergeCell ref="BA37:BA39"/>
    <mergeCell ref="BB37:BB39"/>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M75:BM77"/>
    <mergeCell ref="BN75:BN77"/>
    <mergeCell ref="BO75:BO77"/>
    <mergeCell ref="BP75:BP7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U75:BU77"/>
    <mergeCell ref="BV1:CC1"/>
    <mergeCell ref="BV2:BV3"/>
    <mergeCell ref="BW2:BW3"/>
    <mergeCell ref="BX2:BX3"/>
    <mergeCell ref="BY2:BY3"/>
    <mergeCell ref="BZ2:BZ3"/>
    <mergeCell ref="CB2:CB3"/>
    <mergeCell ref="CC2:CC3"/>
    <mergeCell ref="BM82:BM85"/>
    <mergeCell ref="BT82:BT85"/>
    <mergeCell ref="D1:Q1"/>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V19:BV20"/>
    <mergeCell ref="CB37:CB39"/>
    <mergeCell ref="CC37:CC39"/>
    <mergeCell ref="BV44:BV45"/>
    <mergeCell ref="BW44:BW45"/>
    <mergeCell ref="BX44:BX45"/>
    <mergeCell ref="BY44:BY45"/>
    <mergeCell ref="BZ44:BZ45"/>
    <mergeCell ref="CC44:CC45"/>
    <mergeCell ref="CB44:CB45"/>
    <mergeCell ref="CA49:CA50"/>
    <mergeCell ref="BZ27:BZ29"/>
    <mergeCell ref="BX28:BX29"/>
    <mergeCell ref="CC28:CC29"/>
    <mergeCell ref="CC31:CC32"/>
    <mergeCell ref="CA37:CA39"/>
    <mergeCell ref="CA44:CA45"/>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X37:BX39"/>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BV80:BV81"/>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Z65:AZ66"/>
    <mergeCell ref="AZ67:AZ68"/>
    <mergeCell ref="AZ70:AZ72"/>
    <mergeCell ref="AY82:AY85"/>
    <mergeCell ref="AY66:AY70"/>
    <mergeCell ref="AY60:AY61"/>
    <mergeCell ref="AY62:AY63"/>
    <mergeCell ref="AY56:AY57"/>
    <mergeCell ref="AW4:AW6"/>
    <mergeCell ref="AX4:AX6"/>
    <mergeCell ref="AW17:AW19"/>
    <mergeCell ref="AX17:AX19"/>
    <mergeCell ref="AW20:AW21"/>
    <mergeCell ref="AX20:AX21"/>
    <mergeCell ref="AW22:AW23"/>
    <mergeCell ref="AX22:AX23"/>
    <mergeCell ref="AW26:AW27"/>
    <mergeCell ref="AX26:AX27"/>
    <mergeCell ref="AW7:AW8"/>
    <mergeCell ref="AX7:AX8"/>
    <mergeCell ref="AY7:AY8"/>
    <mergeCell ref="BM78:BM81"/>
    <mergeCell ref="BF7:BF8"/>
    <mergeCell ref="BD82:BD85"/>
    <mergeCell ref="AY4:AY6"/>
    <mergeCell ref="BD62:BD63"/>
    <mergeCell ref="BE62:BE63"/>
    <mergeCell ref="BF62:BF63"/>
    <mergeCell ref="BA56:BA57"/>
    <mergeCell ref="BB56:BB57"/>
    <mergeCell ref="BC46:BC47"/>
    <mergeCell ref="BD46:BD47"/>
    <mergeCell ref="BE46:BE47"/>
    <mergeCell ref="BF46:BF4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BY37:BY39"/>
    <mergeCell ref="BZ37:BZ39"/>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W53:BW54"/>
    <mergeCell ref="BV53:BV54"/>
    <mergeCell ref="BX53:BX54"/>
    <mergeCell ref="BY53:BY54"/>
    <mergeCell ref="BZ53:BZ54"/>
    <mergeCell ref="CB53:CB54"/>
    <mergeCell ref="CC53:CC54"/>
    <mergeCell ref="BZ46:BZ47"/>
    <mergeCell ref="CB46:CB47"/>
    <mergeCell ref="CA80:CA81"/>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Y49:BY50"/>
    <mergeCell ref="BZ49:BZ50"/>
    <mergeCell ref="CA46:CA47"/>
    <mergeCell ref="CA51:CA52"/>
    <mergeCell ref="CA53:CA54"/>
    <mergeCell ref="BV37:BV39"/>
    <mergeCell ref="BW37:BW39"/>
    <mergeCell ref="CN80:CN81"/>
    <mergeCell ref="CM27:CM28"/>
    <mergeCell ref="CL27:CL28"/>
    <mergeCell ref="CA66:CA67"/>
    <mergeCell ref="CA71:CA73"/>
    <mergeCell ref="CA75:CA77"/>
    <mergeCell ref="CA55:CA57"/>
    <mergeCell ref="CA60:CA61"/>
    <mergeCell ref="CA62:CA63"/>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CL80:CL81"/>
    <mergeCell ref="CM53:CM54"/>
    <mergeCell ref="CN2:CN3"/>
    <mergeCell ref="CN9:CN11"/>
    <mergeCell ref="CN14:CN15"/>
    <mergeCell ref="CN21:CN24"/>
    <mergeCell ref="CN37:CN39"/>
    <mergeCell ref="CN44:CN45"/>
    <mergeCell ref="CN46:CN47"/>
    <mergeCell ref="CN51:CN52"/>
    <mergeCell ref="CN53:CN54"/>
    <mergeCell ref="CN66:CN67"/>
    <mergeCell ref="CN71:CN73"/>
    <mergeCell ref="CN75:CN77"/>
    <mergeCell ref="CC46:CC47"/>
    <mergeCell ref="CN19:CN20"/>
    <mergeCell ref="CN56:CN57"/>
    <mergeCell ref="CC75:CC77"/>
    <mergeCell ref="CD14:CD15"/>
    <mergeCell ref="CE14:CE15"/>
    <mergeCell ref="CF14:CF15"/>
    <mergeCell ref="CG14:CG15"/>
    <mergeCell ref="CH14:CH15"/>
    <mergeCell ref="CI14:CI15"/>
    <mergeCell ref="CJ14:CJ15"/>
    <mergeCell ref="CK14:CK15"/>
    <mergeCell ref="CG16:CG17"/>
    <mergeCell ref="CH16:CH17"/>
    <mergeCell ref="CK16:CK17"/>
    <mergeCell ref="CG18:CG20"/>
    <mergeCell ref="CH18:CH20"/>
    <mergeCell ref="CI18:CI20"/>
    <mergeCell ref="CE19:CE20"/>
    <mergeCell ref="CO76:CO78"/>
    <mergeCell ref="BU88:BW88"/>
    <mergeCell ref="CM66:CM67"/>
    <mergeCell ref="CM71:CM73"/>
    <mergeCell ref="CM75:CM77"/>
    <mergeCell ref="CM80:CM81"/>
    <mergeCell ref="CL1:CN1"/>
    <mergeCell ref="CM2:CM3"/>
    <mergeCell ref="CA2:CA3"/>
    <mergeCell ref="CM9:CM11"/>
    <mergeCell ref="CM14:CM15"/>
    <mergeCell ref="CM19:CM20"/>
    <mergeCell ref="CM21:CM24"/>
    <mergeCell ref="CM37:CM39"/>
    <mergeCell ref="CM44:CM45"/>
    <mergeCell ref="CM51:CM52"/>
    <mergeCell ref="CM56:CM57"/>
    <mergeCell ref="CM46:CM47"/>
    <mergeCell ref="CL2:CL3"/>
    <mergeCell ref="CL9:CL11"/>
    <mergeCell ref="CL14:CL15"/>
    <mergeCell ref="CL21:CL24"/>
    <mergeCell ref="CL37:CL39"/>
    <mergeCell ref="CL44:CL45"/>
    <mergeCell ref="CL46:CL47"/>
    <mergeCell ref="CL51:CL52"/>
    <mergeCell ref="CL53:CL54"/>
    <mergeCell ref="CL56:CL57"/>
    <mergeCell ref="CL66:CL67"/>
    <mergeCell ref="CL71:CL73"/>
    <mergeCell ref="CA9:CA11"/>
    <mergeCell ref="CL75:CL77"/>
  </mergeCells>
  <conditionalFormatting sqref="T4:T85">
    <cfRule type="cellIs" dxfId="64" priority="118" stopIfTrue="1" operator="between">
      <formula>0</formula>
      <formula>0.39</formula>
    </cfRule>
    <cfRule type="cellIs" dxfId="63" priority="117" stopIfTrue="1" operator="between">
      <formula>0.4</formula>
      <formula>0.59</formula>
    </cfRule>
    <cfRule type="cellIs" dxfId="62" priority="116" stopIfTrue="1" operator="between">
      <formula>0.6</formula>
      <formula>0.69</formula>
    </cfRule>
    <cfRule type="cellIs" dxfId="61" priority="114" stopIfTrue="1" operator="between">
      <formula>0.8</formula>
      <formula>1.01</formula>
    </cfRule>
    <cfRule type="cellIs" dxfId="60" priority="115" stopIfTrue="1" operator="between">
      <formula>0.7</formula>
      <formula>0.79</formula>
    </cfRule>
  </conditionalFormatting>
  <conditionalFormatting sqref="AA4:AA85">
    <cfRule type="cellIs" dxfId="59" priority="132" stopIfTrue="1" operator="between">
      <formula>0.4</formula>
      <formula>0.59</formula>
    </cfRule>
    <cfRule type="cellIs" dxfId="58" priority="131" stopIfTrue="1" operator="between">
      <formula>0.6</formula>
      <formula>0.69</formula>
    </cfRule>
    <cfRule type="cellIs" dxfId="57" priority="130" stopIfTrue="1" operator="between">
      <formula>0.7</formula>
      <formula>0.79</formula>
    </cfRule>
    <cfRule type="cellIs" dxfId="56" priority="129" stopIfTrue="1" operator="between">
      <formula>0.8</formula>
      <formula>1.01</formula>
    </cfRule>
    <cfRule type="cellIs" dxfId="55" priority="133" stopIfTrue="1" operator="between">
      <formula>0</formula>
      <formula>0.39</formula>
    </cfRule>
  </conditionalFormatting>
  <conditionalFormatting sqref="AH4:AH85">
    <cfRule type="cellIs" dxfId="54" priority="107" stopIfTrue="1" operator="between">
      <formula>0.4</formula>
      <formula>0.59</formula>
    </cfRule>
    <cfRule type="cellIs" dxfId="53" priority="108" stopIfTrue="1" operator="between">
      <formula>0</formula>
      <formula>0.39</formula>
    </cfRule>
    <cfRule type="cellIs" dxfId="52" priority="106" stopIfTrue="1" operator="between">
      <formula>0.6</formula>
      <formula>0.69</formula>
    </cfRule>
    <cfRule type="cellIs" dxfId="51" priority="105" stopIfTrue="1" operator="between">
      <formula>0.7</formula>
      <formula>0.79</formula>
    </cfRule>
    <cfRule type="cellIs" dxfId="50" priority="104" stopIfTrue="1" operator="between">
      <formula>0.8</formula>
      <formula>1.01</formula>
    </cfRule>
  </conditionalFormatting>
  <conditionalFormatting sqref="AO4:AO85">
    <cfRule type="cellIs" dxfId="49" priority="113" stopIfTrue="1" operator="between">
      <formula>0</formula>
      <formula>0.39</formula>
    </cfRule>
    <cfRule type="cellIs" dxfId="48" priority="112" stopIfTrue="1" operator="between">
      <formula>0.4</formula>
      <formula>0.59</formula>
    </cfRule>
    <cfRule type="cellIs" dxfId="47" priority="111" stopIfTrue="1" operator="between">
      <formula>0.6</formula>
      <formula>0.69</formula>
    </cfRule>
    <cfRule type="cellIs" dxfId="46" priority="110" stopIfTrue="1" operator="between">
      <formula>0.7</formula>
      <formula>0.79</formula>
    </cfRule>
    <cfRule type="cellIs" dxfId="45" priority="109" stopIfTrue="1" operator="between">
      <formula>0.8</formula>
      <formula>1.01</formula>
    </cfRule>
  </conditionalFormatting>
  <conditionalFormatting sqref="AV4:AV85">
    <cfRule type="cellIs" dxfId="44" priority="96" stopIfTrue="1" operator="between">
      <formula>0.6</formula>
      <formula>0.69</formula>
    </cfRule>
    <cfRule type="cellIs" dxfId="43" priority="95" stopIfTrue="1" operator="between">
      <formula>0.7</formula>
      <formula>0.79</formula>
    </cfRule>
    <cfRule type="cellIs" dxfId="42" priority="94" stopIfTrue="1" operator="between">
      <formula>0.8</formula>
      <formula>1.01</formula>
    </cfRule>
    <cfRule type="cellIs" dxfId="41" priority="98" stopIfTrue="1" operator="between">
      <formula>0</formula>
      <formula>0.39</formula>
    </cfRule>
    <cfRule type="cellIs" dxfId="40" priority="97" stopIfTrue="1" operator="between">
      <formula>0.4</formula>
      <formula>0.59</formula>
    </cfRule>
  </conditionalFormatting>
  <conditionalFormatting sqref="BC4:BC85">
    <cfRule type="cellIs" dxfId="39" priority="103" stopIfTrue="1" operator="between">
      <formula>0</formula>
      <formula>0.39</formula>
    </cfRule>
    <cfRule type="cellIs" dxfId="38" priority="102" stopIfTrue="1" operator="between">
      <formula>0.4</formula>
      <formula>0.59</formula>
    </cfRule>
    <cfRule type="cellIs" dxfId="37" priority="101" stopIfTrue="1" operator="between">
      <formula>0.6</formula>
      <formula>0.69</formula>
    </cfRule>
    <cfRule type="cellIs" dxfId="36" priority="100" stopIfTrue="1" operator="between">
      <formula>0.7</formula>
      <formula>0.79</formula>
    </cfRule>
    <cfRule type="cellIs" dxfId="35" priority="99" stopIfTrue="1" operator="between">
      <formula>0.8</formula>
      <formula>1.01</formula>
    </cfRule>
  </conditionalFormatting>
  <conditionalFormatting sqref="BJ2:BJ85">
    <cfRule type="cellIs" dxfId="34" priority="81" operator="between">
      <formula>0.6</formula>
      <formula>0.69</formula>
    </cfRule>
    <cfRule type="cellIs" dxfId="33" priority="82" operator="between">
      <formula>0.4</formula>
      <formula>0.59</formula>
    </cfRule>
    <cfRule type="cellIs" dxfId="32" priority="83" operator="between">
      <formula>0</formula>
      <formula>0.39</formula>
    </cfRule>
    <cfRule type="cellIs" dxfId="31" priority="79" operator="between">
      <formula>0.8</formula>
      <formula>1.01</formula>
    </cfRule>
    <cfRule type="cellIs" dxfId="30" priority="80" operator="between">
      <formula>0.7</formula>
      <formula>0.79</formula>
    </cfRule>
  </conditionalFormatting>
  <conditionalFormatting sqref="BQ4:BQ85">
    <cfRule type="cellIs" dxfId="29" priority="78" stopIfTrue="1" operator="between">
      <formula>0</formula>
      <formula>0.39</formula>
    </cfRule>
    <cfRule type="cellIs" dxfId="28" priority="77" stopIfTrue="1" operator="between">
      <formula>0.4</formula>
      <formula>0.59</formula>
    </cfRule>
    <cfRule type="cellIs" dxfId="27" priority="76" stopIfTrue="1" operator="between">
      <formula>0.6</formula>
      <formula>0.69</formula>
    </cfRule>
    <cfRule type="cellIs" dxfId="26" priority="75" stopIfTrue="1" operator="between">
      <formula>0.7</formula>
      <formula>0.79</formula>
    </cfRule>
    <cfRule type="cellIs" dxfId="25" priority="74" stopIfTrue="1" operator="between">
      <formula>0.8</formula>
      <formula>1.01</formula>
    </cfRule>
  </conditionalFormatting>
  <conditionalFormatting sqref="BX4:BX85">
    <cfRule type="cellIs" dxfId="24" priority="72" stopIfTrue="1" operator="between">
      <formula>0.4</formula>
      <formula>0.59</formula>
    </cfRule>
    <cfRule type="cellIs" dxfId="23" priority="73" stopIfTrue="1" operator="between">
      <formula>0</formula>
      <formula>0.39</formula>
    </cfRule>
    <cfRule type="cellIs" dxfId="22" priority="71" stopIfTrue="1" operator="between">
      <formula>0.6</formula>
      <formula>0.69</formula>
    </cfRule>
    <cfRule type="cellIs" dxfId="21" priority="70" stopIfTrue="1" operator="between">
      <formula>0.7</formula>
      <formula>0.79</formula>
    </cfRule>
    <cfRule type="cellIs" dxfId="20" priority="69" stopIfTrue="1" operator="between">
      <formula>0.8</formula>
      <formula>1.01</formula>
    </cfRule>
  </conditionalFormatting>
  <conditionalFormatting sqref="CA1:CA3 CA86:CA1048576">
    <cfRule type="cellIs" priority="38" operator="between">
      <formula>1</formula>
      <formula>100</formula>
    </cfRule>
  </conditionalFormatting>
  <conditionalFormatting sqref="CA4:CA85">
    <cfRule type="cellIs" dxfId="19" priority="35" operator="between">
      <formula>0.6</formula>
      <formula>0.69</formula>
    </cfRule>
    <cfRule type="cellIs" dxfId="18" priority="33" operator="between">
      <formula>0.8</formula>
      <formula>1</formula>
    </cfRule>
    <cfRule type="cellIs" dxfId="17" priority="34" operator="between">
      <formula>0.7</formula>
      <formula>0.79</formula>
    </cfRule>
    <cfRule type="cellIs" dxfId="16" priority="37" stopIfTrue="1" operator="between">
      <formula>0</formula>
      <formula>0.39</formula>
    </cfRule>
    <cfRule type="cellIs" dxfId="15" priority="36" operator="between">
      <formula>0.4</formula>
      <formula>0.59</formula>
    </cfRule>
  </conditionalFormatting>
  <conditionalFormatting sqref="CF4:CF27 CF29:CF85">
    <cfRule type="cellIs" dxfId="14" priority="21" stopIfTrue="1" operator="between">
      <formula>0</formula>
      <formula>0.39</formula>
    </cfRule>
    <cfRule type="cellIs" dxfId="13" priority="20" stopIfTrue="1" operator="between">
      <formula>0.4</formula>
      <formula>0.59</formula>
    </cfRule>
    <cfRule type="cellIs" dxfId="12" priority="19" stopIfTrue="1" operator="between">
      <formula>0.6</formula>
      <formula>0.69</formula>
    </cfRule>
    <cfRule type="cellIs" dxfId="11" priority="18" stopIfTrue="1" operator="between">
      <formula>0.7</formula>
      <formula>0.79</formula>
    </cfRule>
    <cfRule type="cellIs" dxfId="10" priority="17" stopIfTrue="1" operator="between">
      <formula>0.8</formula>
      <formula>1.01</formula>
    </cfRule>
  </conditionalFormatting>
  <conditionalFormatting sqref="CI1:CI3">
    <cfRule type="cellIs" priority="27" operator="between">
      <formula>1</formula>
      <formula>100</formula>
    </cfRule>
  </conditionalFormatting>
  <conditionalFormatting sqref="CI4:CI7 CI9:CI85">
    <cfRule type="cellIs" dxfId="9" priority="3" operator="between">
      <formula>0.6</formula>
      <formula>0.69</formula>
    </cfRule>
    <cfRule type="cellIs" dxfId="8" priority="1" operator="between">
      <formula>0.8</formula>
      <formula>1</formula>
    </cfRule>
    <cfRule type="cellIs" dxfId="7" priority="2" operator="between">
      <formula>0.7</formula>
      <formula>0.79</formula>
    </cfRule>
    <cfRule type="cellIs" dxfId="6" priority="5" stopIfTrue="1" operator="between">
      <formula>0</formula>
      <formula>0.39</formula>
    </cfRule>
    <cfRule type="cellIs" dxfId="5" priority="4" operator="between">
      <formula>0.4</formula>
      <formula>0.59</formula>
    </cfRule>
  </conditionalFormatting>
  <conditionalFormatting sqref="CI86:CI87">
    <cfRule type="cellIs" priority="11" operator="between">
      <formula>1</formula>
      <formula>100</formula>
    </cfRule>
  </conditionalFormatting>
  <conditionalFormatting sqref="CN4:CN7 CN9:CN16 CN18 CN21:CN27 CN30:CN49 CN51:CN55 CN58:CN60 CN62 CN64:CN85">
    <cfRule type="cellIs" dxfId="4" priority="14" stopIfTrue="1" operator="between">
      <formula>0.6</formula>
      <formula>0.69</formula>
    </cfRule>
    <cfRule type="cellIs" dxfId="3" priority="16" stopIfTrue="1" operator="between">
      <formula>0</formula>
      <formula>0.39</formula>
    </cfRule>
    <cfRule type="cellIs" dxfId="2" priority="15" stopIfTrue="1" operator="between">
      <formula>0.4</formula>
      <formula>0.59</formula>
    </cfRule>
    <cfRule type="cellIs" dxfId="1" priority="13" stopIfTrue="1" operator="between">
      <formula>0.7</formula>
      <formula>0.79</formula>
    </cfRule>
    <cfRule type="cellIs" dxfId="0" priority="12" stopIfTrue="1" operator="between">
      <formula>0.8</formula>
      <formula>1.01</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3" zoomScale="90" zoomScaleNormal="90" workbookViewId="0">
      <selection activeCell="G31" sqref="G31"/>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284</v>
      </c>
      <c r="B2" s="6" t="s">
        <v>285</v>
      </c>
    </row>
    <row r="3" spans="1:4" ht="15.75" thickBot="1" x14ac:dyDescent="0.3">
      <c r="A3" s="7" t="s">
        <v>411</v>
      </c>
      <c r="B3" s="8">
        <f>D35</f>
        <v>17</v>
      </c>
      <c r="D3" s="237"/>
    </row>
    <row r="4" spans="1:4" ht="15.75" thickBot="1" x14ac:dyDescent="0.3">
      <c r="A4" s="9" t="s">
        <v>405</v>
      </c>
      <c r="B4" s="8">
        <v>8</v>
      </c>
      <c r="D4" s="237"/>
    </row>
    <row r="5" spans="1:4" ht="15.75" thickBot="1" x14ac:dyDescent="0.3">
      <c r="A5" s="10" t="s">
        <v>406</v>
      </c>
      <c r="B5" s="8">
        <f>F35</f>
        <v>3</v>
      </c>
      <c r="D5" s="237"/>
    </row>
    <row r="6" spans="1:4" ht="15.75" thickBot="1" x14ac:dyDescent="0.3">
      <c r="A6" s="11" t="s">
        <v>407</v>
      </c>
      <c r="B6" s="8">
        <f>G35</f>
        <v>2</v>
      </c>
      <c r="D6" s="237"/>
    </row>
    <row r="7" spans="1:4" ht="15.75" thickBot="1" x14ac:dyDescent="0.3">
      <c r="A7" s="12" t="s">
        <v>408</v>
      </c>
      <c r="B7" s="8">
        <f>H35</f>
        <v>31</v>
      </c>
      <c r="D7" s="237"/>
    </row>
    <row r="9" spans="1:4" x14ac:dyDescent="0.25">
      <c r="B9" s="4">
        <f>SUM(B3:B7)</f>
        <v>61</v>
      </c>
    </row>
    <row r="27" spans="1:9" ht="15.75" thickBot="1" x14ac:dyDescent="0.3"/>
    <row r="28" spans="1:9" ht="15.75" customHeight="1" thickBot="1" x14ac:dyDescent="0.3">
      <c r="A28" s="734" t="s">
        <v>413</v>
      </c>
      <c r="B28" s="736" t="s">
        <v>414</v>
      </c>
      <c r="C28" s="736" t="s">
        <v>4</v>
      </c>
      <c r="D28" s="738" t="s">
        <v>985</v>
      </c>
      <c r="E28" s="739"/>
      <c r="F28" s="739"/>
      <c r="G28" s="739"/>
      <c r="H28" s="739"/>
      <c r="I28" s="740"/>
    </row>
    <row r="29" spans="1:9" ht="31.5" customHeight="1" thickBot="1" x14ac:dyDescent="0.3">
      <c r="A29" s="735"/>
      <c r="B29" s="737"/>
      <c r="C29" s="737"/>
      <c r="D29" s="17" t="s">
        <v>404</v>
      </c>
      <c r="E29" s="17" t="s">
        <v>405</v>
      </c>
      <c r="F29" s="17" t="s">
        <v>406</v>
      </c>
      <c r="G29" s="17" t="s">
        <v>407</v>
      </c>
      <c r="H29" s="17" t="s">
        <v>408</v>
      </c>
      <c r="I29" s="18" t="s">
        <v>409</v>
      </c>
    </row>
    <row r="30" spans="1:9" ht="26.25" thickBot="1" x14ac:dyDescent="0.3">
      <c r="A30" s="19">
        <v>1</v>
      </c>
      <c r="B30" s="20" t="s">
        <v>9</v>
      </c>
      <c r="C30" s="21">
        <v>6</v>
      </c>
      <c r="D30" s="22">
        <v>2</v>
      </c>
      <c r="E30" s="23"/>
      <c r="F30" s="13"/>
      <c r="G30" s="24">
        <v>1</v>
      </c>
      <c r="H30" s="25">
        <v>3</v>
      </c>
      <c r="I30" s="26">
        <f>SUM(D30:H30)</f>
        <v>6</v>
      </c>
    </row>
    <row r="31" spans="1:9" ht="29.25" customHeight="1" thickBot="1" x14ac:dyDescent="0.3">
      <c r="A31" s="19">
        <v>2</v>
      </c>
      <c r="B31" s="20" t="s">
        <v>26</v>
      </c>
      <c r="C31" s="21">
        <v>44</v>
      </c>
      <c r="D31" s="22">
        <v>15</v>
      </c>
      <c r="E31" s="23">
        <v>5</v>
      </c>
      <c r="F31" s="27">
        <v>3</v>
      </c>
      <c r="G31" s="24"/>
      <c r="H31" s="25">
        <v>21</v>
      </c>
      <c r="I31" s="26">
        <f>SUM(D31:H31)</f>
        <v>44</v>
      </c>
    </row>
    <row r="32" spans="1:9" ht="26.25" thickBot="1" x14ac:dyDescent="0.3">
      <c r="A32" s="19">
        <v>3</v>
      </c>
      <c r="B32" s="20" t="s">
        <v>203</v>
      </c>
      <c r="C32" s="21">
        <v>4</v>
      </c>
      <c r="D32" s="22"/>
      <c r="E32" s="23">
        <v>1</v>
      </c>
      <c r="F32" s="27"/>
      <c r="G32" s="24"/>
      <c r="H32" s="25">
        <v>3</v>
      </c>
      <c r="I32" s="26">
        <f t="shared" ref="I32:I34" si="0">SUM(D32:H32)</f>
        <v>4</v>
      </c>
    </row>
    <row r="33" spans="1:9" ht="26.25" thickBot="1" x14ac:dyDescent="0.3">
      <c r="A33" s="19">
        <v>4</v>
      </c>
      <c r="B33" s="20" t="s">
        <v>220</v>
      </c>
      <c r="C33" s="21">
        <v>3</v>
      </c>
      <c r="D33" s="22"/>
      <c r="E33" s="23">
        <v>1</v>
      </c>
      <c r="F33" s="13"/>
      <c r="G33" s="24">
        <v>1</v>
      </c>
      <c r="H33" s="25">
        <v>1</v>
      </c>
      <c r="I33" s="26">
        <f t="shared" si="0"/>
        <v>3</v>
      </c>
    </row>
    <row r="34" spans="1:9" ht="26.25" thickBot="1" x14ac:dyDescent="0.3">
      <c r="A34" s="19">
        <v>5</v>
      </c>
      <c r="B34" s="20" t="s">
        <v>410</v>
      </c>
      <c r="C34" s="21">
        <v>4</v>
      </c>
      <c r="D34" s="49"/>
      <c r="E34" s="23">
        <v>1</v>
      </c>
      <c r="F34" s="27"/>
      <c r="G34" s="24"/>
      <c r="H34" s="25">
        <v>3</v>
      </c>
      <c r="I34" s="26">
        <f t="shared" si="0"/>
        <v>4</v>
      </c>
    </row>
    <row r="35" spans="1:9" ht="15.75" thickBot="1" x14ac:dyDescent="0.3">
      <c r="A35" s="741" t="s">
        <v>415</v>
      </c>
      <c r="B35" s="742"/>
      <c r="C35" s="743"/>
      <c r="D35" s="28">
        <f>SUM(D30:D34)</f>
        <v>17</v>
      </c>
      <c r="E35" s="28">
        <f t="shared" ref="E35:G35" si="1">SUM(E30:E34)</f>
        <v>8</v>
      </c>
      <c r="F35" s="28">
        <f t="shared" si="1"/>
        <v>3</v>
      </c>
      <c r="G35" s="28">
        <f t="shared" si="1"/>
        <v>2</v>
      </c>
      <c r="H35" s="28">
        <f>SUM(H30:H34)</f>
        <v>31</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USUARIO</cp:lastModifiedBy>
  <dcterms:created xsi:type="dcterms:W3CDTF">2018-04-05T13:35:29Z</dcterms:created>
  <dcterms:modified xsi:type="dcterms:W3CDTF">2024-05-21T20:22:01Z</dcterms:modified>
</cp:coreProperties>
</file>