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2023\"/>
    </mc:Choice>
  </mc:AlternateContent>
  <xr:revisionPtr revIDLastSave="0" documentId="8_{F8288605-6A4C-43A0-95C4-EF0DE78BD207}" xr6:coauthVersionLast="47" xr6:coauthVersionMax="47" xr10:uidLastSave="{00000000-0000-0000-0000-000000000000}"/>
  <bookViews>
    <workbookView xWindow="20370" yWindow="-120" windowWidth="20730" windowHeight="11160" xr2:uid="{00000000-000D-0000-FFFF-FFFF00000000}"/>
  </bookViews>
  <sheets>
    <sheet name="Matriz" sheetId="1" r:id="rId1"/>
    <sheet name="Avance Total" sheetId="9" r:id="rId2"/>
  </sheets>
  <externalReferences>
    <externalReference r:id="rId3"/>
    <externalReference r:id="rId4"/>
  </externalReferences>
  <definedNames>
    <definedName name="_xlnm._FilterDatabase" localSheetId="0" hidden="1">Matriz!$A$2:$AE$85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I4" i="1" l="1"/>
  <c r="CM13" i="1" l="1"/>
  <c r="CH75" i="1"/>
  <c r="CG75" i="1"/>
  <c r="CH58" i="1"/>
  <c r="CG58" i="1"/>
  <c r="CG18" i="1"/>
  <c r="CH18" i="1"/>
  <c r="CI18" i="1" s="1"/>
  <c r="CG7" i="1"/>
  <c r="CG6" i="1"/>
  <c r="CG5" i="1"/>
  <c r="CH7" i="1"/>
  <c r="CI7" i="1" s="1"/>
  <c r="CH6" i="1"/>
  <c r="CH5" i="1"/>
  <c r="CI5" i="1" s="1"/>
  <c r="CG4" i="1"/>
  <c r="CH4" i="1"/>
  <c r="CE59" i="1"/>
  <c r="CE13" i="1"/>
  <c r="CI58" i="1" l="1"/>
  <c r="CI6" i="1"/>
  <c r="CF40" i="1"/>
  <c r="CF83" i="1"/>
  <c r="CG83" i="1"/>
  <c r="CF48" i="1"/>
  <c r="CH12" i="1"/>
  <c r="CG12" i="1"/>
  <c r="CH65" i="1" l="1"/>
  <c r="CG65" i="1"/>
  <c r="CH21" i="1"/>
  <c r="CG21" i="1"/>
  <c r="CH13" i="1"/>
  <c r="CG13" i="1"/>
  <c r="CG74" i="1" l="1"/>
  <c r="CH74" i="1" s="1"/>
  <c r="CG43" i="1"/>
  <c r="CH42" i="1" l="1"/>
  <c r="CG42" i="1"/>
  <c r="CH48" i="1" l="1"/>
  <c r="CG48" i="1"/>
  <c r="CH40" i="1"/>
  <c r="CG40" i="1"/>
  <c r="CH62" i="1" l="1"/>
  <c r="CG62" i="1"/>
  <c r="CH60" i="1"/>
  <c r="CG60" i="1"/>
  <c r="CH59" i="1"/>
  <c r="CG59" i="1"/>
  <c r="CH37" i="1"/>
  <c r="CG37" i="1"/>
  <c r="CH43" i="1" l="1"/>
  <c r="CG84" i="1"/>
  <c r="CG82" i="1"/>
  <c r="CI12" i="1"/>
  <c r="I31" i="9"/>
  <c r="CF42" i="1"/>
  <c r="CE35" i="1"/>
  <c r="CF4" i="1"/>
  <c r="CH85" i="1"/>
  <c r="CG85" i="1"/>
  <c r="CH84" i="1"/>
  <c r="CH83" i="1"/>
  <c r="CH82" i="1"/>
  <c r="CI74" i="1"/>
  <c r="CI71" i="1"/>
  <c r="CH70" i="1"/>
  <c r="CG70" i="1"/>
  <c r="CH69" i="1"/>
  <c r="CG69" i="1"/>
  <c r="CH68" i="1"/>
  <c r="CG68" i="1"/>
  <c r="CH66" i="1"/>
  <c r="CG66" i="1"/>
  <c r="CI65" i="1"/>
  <c r="CH64" i="1"/>
  <c r="CG64" i="1"/>
  <c r="CI60" i="1"/>
  <c r="CH55" i="1"/>
  <c r="CG55" i="1"/>
  <c r="CH53" i="1"/>
  <c r="CG53" i="1"/>
  <c r="CH51" i="1"/>
  <c r="CG51" i="1"/>
  <c r="CH49" i="1"/>
  <c r="CG49" i="1"/>
  <c r="CI49" i="1" s="1"/>
  <c r="CH46" i="1"/>
  <c r="CG46" i="1"/>
  <c r="CG44" i="1"/>
  <c r="CI44" i="1" s="1"/>
  <c r="CI42" i="1"/>
  <c r="CI41" i="1"/>
  <c r="CI37" i="1"/>
  <c r="CI35" i="1"/>
  <c r="CI34" i="1"/>
  <c r="CH33" i="1"/>
  <c r="CG33" i="1"/>
  <c r="CH31" i="1"/>
  <c r="CG31" i="1"/>
  <c r="CH27" i="1"/>
  <c r="CG27" i="1"/>
  <c r="CG25" i="1"/>
  <c r="CI25" i="1" s="1"/>
  <c r="CI14" i="1"/>
  <c r="H35" i="9"/>
  <c r="B7" i="9" s="1"/>
  <c r="G35" i="9"/>
  <c r="B6" i="9" s="1"/>
  <c r="F35" i="9"/>
  <c r="B5" i="9" s="1"/>
  <c r="E35" i="9"/>
  <c r="D35" i="9"/>
  <c r="B3" i="9" s="1"/>
  <c r="I34" i="9"/>
  <c r="I33" i="9"/>
  <c r="I32" i="9"/>
  <c r="I30" i="9"/>
  <c r="CN85" i="1"/>
  <c r="CF85" i="1"/>
  <c r="CN84" i="1"/>
  <c r="CF84" i="1"/>
  <c r="CN83" i="1"/>
  <c r="CN82" i="1"/>
  <c r="CF82" i="1"/>
  <c r="CN80" i="1"/>
  <c r="CF80" i="1"/>
  <c r="CN79" i="1"/>
  <c r="CF79" i="1"/>
  <c r="CF75" i="1"/>
  <c r="CN71" i="1"/>
  <c r="CN70" i="1"/>
  <c r="CN69" i="1"/>
  <c r="CF69" i="1"/>
  <c r="CN68" i="1"/>
  <c r="CF68" i="1"/>
  <c r="CN66" i="1"/>
  <c r="CF66" i="1"/>
  <c r="CF65" i="1"/>
  <c r="CF61" i="1"/>
  <c r="CF51" i="1"/>
  <c r="CF49" i="1"/>
  <c r="CN42" i="1"/>
  <c r="CN41" i="1"/>
  <c r="CN40" i="1"/>
  <c r="CM35" i="1"/>
  <c r="CN30" i="1"/>
  <c r="CF30" i="1"/>
  <c r="CN26" i="1"/>
  <c r="CF26" i="1"/>
  <c r="CN25" i="1"/>
  <c r="CL13" i="1"/>
  <c r="CN13" i="1" s="1"/>
  <c r="CN8" i="1"/>
  <c r="CN7" i="1"/>
  <c r="CF7" i="1"/>
  <c r="CN6" i="1"/>
  <c r="CF6" i="1"/>
  <c r="CN5" i="1"/>
  <c r="CF5" i="1"/>
  <c r="CN4" i="1"/>
  <c r="CA55" i="1"/>
  <c r="CI33" i="1" l="1"/>
  <c r="CI70" i="1"/>
  <c r="CI82" i="1"/>
  <c r="CF87" i="1"/>
  <c r="CI31" i="1"/>
  <c r="CI53" i="1"/>
  <c r="CI64" i="1"/>
  <c r="CI27" i="1"/>
  <c r="CI43" i="1"/>
  <c r="CI55" i="1"/>
  <c r="CI83" i="1"/>
  <c r="CI68" i="1"/>
  <c r="CI84" i="1"/>
  <c r="CI13" i="1"/>
  <c r="CI48" i="1"/>
  <c r="CI69" i="1"/>
  <c r="CI80" i="1"/>
  <c r="CI46" i="1"/>
  <c r="CI59" i="1"/>
  <c r="CI62" i="1"/>
  <c r="CI85" i="1"/>
  <c r="I35" i="9"/>
  <c r="CN87" i="1"/>
  <c r="CA35" i="1"/>
  <c r="BW35" i="1"/>
  <c r="CI87" i="1" l="1"/>
  <c r="CA53" i="1"/>
  <c r="BY51" i="1"/>
  <c r="BZ49" i="1"/>
  <c r="BY49" i="1"/>
  <c r="BY12" i="1" l="1"/>
  <c r="BX82" i="1"/>
  <c r="BZ51" i="1" l="1"/>
  <c r="BZ43" i="1"/>
  <c r="BY43" i="1"/>
  <c r="CA80" i="1" l="1"/>
  <c r="BZ46" i="1" l="1"/>
  <c r="BY46" i="1"/>
  <c r="BZ69" i="1" l="1"/>
  <c r="BZ70" i="1"/>
  <c r="BY70" i="1"/>
  <c r="BZ68" i="1"/>
  <c r="BZ66" i="1"/>
  <c r="BZ12" i="1" l="1"/>
  <c r="BZ64" i="1" l="1"/>
  <c r="BY64" i="1"/>
  <c r="BZ62" i="1"/>
  <c r="BY62" i="1"/>
  <c r="BZ60" i="1"/>
  <c r="BY60" i="1"/>
  <c r="BZ59" i="1"/>
  <c r="BY59" i="1"/>
  <c r="BZ33" i="1"/>
  <c r="BY33" i="1"/>
  <c r="BZ27" i="1" l="1"/>
  <c r="BY27" i="1"/>
  <c r="BZ5" i="1"/>
  <c r="BY4" i="1"/>
  <c r="BZ85" i="1"/>
  <c r="BY85" i="1"/>
  <c r="BZ58" i="1"/>
  <c r="BY58" i="1"/>
  <c r="BZ37" i="1"/>
  <c r="BY37" i="1"/>
  <c r="CA33" i="1"/>
  <c r="BY13" i="1"/>
  <c r="BZ13" i="1"/>
  <c r="CA84" i="1" l="1"/>
  <c r="CA83" i="1"/>
  <c r="BZ75" i="1"/>
  <c r="BZ74" i="1"/>
  <c r="CA71" i="1"/>
  <c r="CA69" i="1"/>
  <c r="CA68" i="1"/>
  <c r="CA65" i="1"/>
  <c r="CA49" i="1"/>
  <c r="CA48" i="1"/>
  <c r="CA44" i="1"/>
  <c r="CA41" i="1"/>
  <c r="CA27" i="1"/>
  <c r="CA14" i="1"/>
  <c r="CA6" i="1"/>
  <c r="CA4" i="1"/>
  <c r="BX5" i="1"/>
  <c r="CA74" i="1" l="1"/>
  <c r="CA70" i="1"/>
  <c r="BZ21" i="1"/>
  <c r="BY21" i="1"/>
  <c r="BZ82" i="1"/>
  <c r="BY82" i="1"/>
  <c r="CA62" i="1"/>
  <c r="CA59" i="1"/>
  <c r="CA46" i="1"/>
  <c r="BY31" i="1"/>
  <c r="CA31" i="1" s="1"/>
  <c r="BY25" i="1"/>
  <c r="CA25" i="1" s="1"/>
  <c r="BZ18" i="1"/>
  <c r="BY18" i="1"/>
  <c r="BX4" i="1"/>
  <c r="CA82" i="1" l="1"/>
  <c r="CA37" i="1"/>
  <c r="CA12" i="1"/>
  <c r="CA13" i="1"/>
  <c r="CA60" i="1"/>
  <c r="CA64" i="1"/>
  <c r="CA85" i="1"/>
  <c r="B9" i="9"/>
  <c r="BC69" i="1"/>
  <c r="BC68" i="1"/>
  <c r="AO66" i="1"/>
  <c r="AH66" i="1"/>
  <c r="BG18" i="1"/>
  <c r="BB61" i="1"/>
  <c r="AP25" i="1"/>
  <c r="AP24" i="1"/>
  <c r="BX85" i="1"/>
  <c r="BX84" i="1"/>
  <c r="BX80" i="1"/>
  <c r="BX79" i="1"/>
  <c r="BX75" i="1"/>
  <c r="BX69" i="1"/>
  <c r="BX68" i="1"/>
  <c r="BX66" i="1"/>
  <c r="BX65" i="1"/>
  <c r="BX61" i="1"/>
  <c r="BX60" i="1"/>
  <c r="BX51" i="1"/>
  <c r="BX49" i="1"/>
  <c r="BX42" i="1"/>
  <c r="CA42" i="1" s="1"/>
  <c r="CA34" i="1"/>
  <c r="BX30" i="1"/>
  <c r="BX26" i="1"/>
  <c r="BX7" i="1"/>
  <c r="BX6" i="1"/>
  <c r="CA87" i="1" l="1"/>
  <c r="BX87" i="1"/>
  <c r="BQ85" i="1"/>
  <c r="BQ84" i="1"/>
  <c r="BQ80" i="1"/>
  <c r="BQ79" i="1"/>
  <c r="BQ75" i="1"/>
  <c r="BQ69" i="1"/>
  <c r="BQ68" i="1"/>
  <c r="BQ66" i="1"/>
  <c r="BQ65" i="1"/>
  <c r="BQ61" i="1"/>
  <c r="BQ60" i="1"/>
  <c r="BQ51" i="1"/>
  <c r="BQ49" i="1"/>
  <c r="BQ42" i="1"/>
  <c r="BQ36" i="1"/>
  <c r="BP35" i="1"/>
  <c r="BQ35" i="1" s="1"/>
  <c r="BQ34" i="1"/>
  <c r="BQ30" i="1"/>
  <c r="BQ28" i="1"/>
  <c r="BQ27" i="1"/>
  <c r="BQ26" i="1"/>
  <c r="BQ17" i="1"/>
  <c r="BQ16" i="1"/>
  <c r="BQ8" i="1"/>
  <c r="BQ7" i="1"/>
  <c r="BQ6" i="1"/>
  <c r="BQ4" i="1"/>
  <c r="BJ85" i="1" l="1"/>
  <c r="BJ84" i="1"/>
  <c r="BJ80" i="1"/>
  <c r="BJ79" i="1"/>
  <c r="BJ75" i="1"/>
  <c r="BJ70" i="1"/>
  <c r="BJ69" i="1"/>
  <c r="BJ68" i="1"/>
  <c r="BJ66" i="1"/>
  <c r="BI60" i="1"/>
  <c r="BJ60" i="1" s="1"/>
  <c r="BJ53" i="1"/>
  <c r="BJ51" i="1"/>
  <c r="BJ42" i="1"/>
  <c r="BJ40" i="1"/>
  <c r="BJ36" i="1"/>
  <c r="BI35" i="1"/>
  <c r="BJ35" i="1" s="1"/>
  <c r="BJ34" i="1"/>
  <c r="BJ30" i="1"/>
  <c r="BJ28" i="1"/>
  <c r="BJ27" i="1"/>
  <c r="BJ26" i="1"/>
  <c r="BJ8" i="1"/>
  <c r="BJ7" i="1"/>
  <c r="BJ6" i="1"/>
  <c r="BJ5" i="1"/>
  <c r="BJ4" i="1"/>
  <c r="T66" i="1" l="1"/>
  <c r="T68" i="1"/>
  <c r="T69" i="1"/>
  <c r="T75" i="1"/>
  <c r="T79" i="1"/>
  <c r="T80" i="1"/>
  <c r="T84" i="1"/>
  <c r="T85" i="1"/>
  <c r="BC85" i="1"/>
  <c r="AV85" i="1"/>
  <c r="BC84" i="1"/>
  <c r="AV84" i="1"/>
  <c r="BC80" i="1"/>
  <c r="AV80" i="1"/>
  <c r="BC79" i="1"/>
  <c r="AV79" i="1"/>
  <c r="BC75" i="1"/>
  <c r="AV75" i="1"/>
  <c r="AV69" i="1"/>
  <c r="AV68" i="1"/>
  <c r="BC66" i="1"/>
  <c r="AV66" i="1"/>
  <c r="BC65" i="1"/>
  <c r="AV65" i="1"/>
  <c r="BC61" i="1"/>
  <c r="AV61" i="1"/>
  <c r="BC60" i="1"/>
  <c r="AV60" i="1"/>
  <c r="BC51" i="1"/>
  <c r="AV51" i="1"/>
  <c r="BC49" i="1"/>
  <c r="AV49" i="1"/>
  <c r="BC42" i="1"/>
  <c r="AV42" i="1"/>
  <c r="BC36" i="1"/>
  <c r="AV36" i="1"/>
  <c r="BC35" i="1"/>
  <c r="AV35" i="1"/>
  <c r="BC34" i="1"/>
  <c r="AV34" i="1"/>
  <c r="BC30" i="1"/>
  <c r="AV30" i="1"/>
  <c r="BC28" i="1"/>
  <c r="AV28" i="1"/>
  <c r="BC27" i="1"/>
  <c r="AV27" i="1"/>
  <c r="BC26" i="1"/>
  <c r="AV26" i="1"/>
  <c r="BC17" i="1"/>
  <c r="AV17" i="1"/>
  <c r="BC16" i="1"/>
  <c r="AV16" i="1"/>
  <c r="BC8" i="1"/>
  <c r="AV8" i="1"/>
  <c r="BC7" i="1"/>
  <c r="AV7" i="1"/>
  <c r="BC6" i="1"/>
  <c r="AV6" i="1"/>
  <c r="BC4" i="1"/>
  <c r="AV4" i="1"/>
  <c r="AO85" i="1"/>
  <c r="AH85" i="1"/>
  <c r="AO84" i="1"/>
  <c r="AH84" i="1"/>
  <c r="AO80" i="1"/>
  <c r="AH80" i="1"/>
  <c r="AO79" i="1"/>
  <c r="AH79" i="1"/>
  <c r="AO75" i="1"/>
  <c r="AH75" i="1"/>
  <c r="AO69" i="1"/>
  <c r="AH69" i="1"/>
  <c r="AO68" i="1"/>
  <c r="AH68" i="1"/>
  <c r="AO65" i="1"/>
  <c r="AH65" i="1"/>
  <c r="AO61" i="1"/>
  <c r="AH61" i="1"/>
  <c r="AO60" i="1"/>
  <c r="AH60" i="1"/>
  <c r="AO51" i="1"/>
  <c r="AH51" i="1"/>
  <c r="AO49" i="1"/>
  <c r="AH49" i="1"/>
  <c r="AO42" i="1"/>
  <c r="AH42" i="1"/>
  <c r="AO36" i="1"/>
  <c r="AH36" i="1"/>
  <c r="AO35" i="1"/>
  <c r="AH35" i="1"/>
  <c r="AO34" i="1"/>
  <c r="AH34" i="1"/>
  <c r="AO30" i="1"/>
  <c r="AH30" i="1"/>
  <c r="AO28" i="1"/>
  <c r="AH28" i="1"/>
  <c r="AO27" i="1"/>
  <c r="AH27" i="1"/>
  <c r="AO26" i="1"/>
  <c r="AH26" i="1"/>
  <c r="AO17" i="1"/>
  <c r="AH17" i="1"/>
  <c r="AO16" i="1"/>
  <c r="AH16" i="1"/>
  <c r="AO8" i="1"/>
  <c r="AH8" i="1"/>
  <c r="AO7" i="1"/>
  <c r="AH7" i="1"/>
  <c r="AO6" i="1"/>
  <c r="AH6" i="1"/>
  <c r="AO4" i="1"/>
  <c r="AH4" i="1"/>
  <c r="AA85" i="1" l="1"/>
  <c r="AA75" i="1"/>
  <c r="AA69" i="1" l="1"/>
  <c r="AA68" i="1"/>
  <c r="AA66" i="1"/>
  <c r="AA28" i="1"/>
  <c r="AA27" i="1"/>
  <c r="AA17" i="1"/>
  <c r="AA16" i="1"/>
  <c r="AA49" i="1" l="1"/>
  <c r="AA65" i="1"/>
  <c r="AA61" i="1"/>
  <c r="AA60" i="1"/>
  <c r="AA4" i="1"/>
  <c r="AA51" i="1" l="1"/>
  <c r="AA42" i="1" l="1"/>
  <c r="AA35" i="1"/>
  <c r="AA8" i="1" l="1"/>
  <c r="AA36" i="1" l="1"/>
  <c r="AA34" i="1"/>
  <c r="AA30" i="1"/>
  <c r="Q13" i="1" l="1"/>
  <c r="AA26" i="1" l="1"/>
  <c r="AA79" i="1"/>
  <c r="AA80" i="1"/>
  <c r="AA6" i="1"/>
  <c r="AA84" i="1"/>
  <c r="AA7" i="1"/>
  <c r="J13" i="1"/>
  <c r="CI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AUXFAMILIA26</author>
    <author>Indeportes0314</author>
  </authors>
  <commentList>
    <comment ref="CG7" authorId="0" shapeId="0" xr:uid="{00000000-0006-0000-0000-000002000000}">
      <text>
        <r>
          <rPr>
            <b/>
            <sz val="9"/>
            <color indexed="81"/>
            <rFont val="Tahoma"/>
            <family val="2"/>
          </rPr>
          <t>Laura:</t>
        </r>
        <r>
          <rPr>
            <sz val="9"/>
            <color indexed="81"/>
            <rFont val="Tahoma"/>
            <family val="2"/>
          </rPr>
          <t xml:space="preserve">
No es coherente que la meta financiera ejecutada sea mayor a la meta financiera programada, (se gasto mas de lo que se tiene?), se sugiere revisar los datos
LA OBSERVACION APLICA PARA TODAS LAS METAS </t>
        </r>
      </text>
    </comment>
    <comment ref="BA32" authorId="1" shapeId="0" xr:uid="{00000000-0006-0000-0000-000004000000}">
      <text>
        <r>
          <rPr>
            <b/>
            <sz val="9"/>
            <color indexed="81"/>
            <rFont val="Tahoma"/>
            <family val="2"/>
          </rPr>
          <t>AUXFAMILIA26:</t>
        </r>
        <r>
          <rPr>
            <sz val="9"/>
            <color indexed="81"/>
            <rFont val="Tahoma"/>
            <family val="2"/>
          </rPr>
          <t xml:space="preserve">
pendiente respuesta universidades </t>
        </r>
      </text>
    </comment>
    <comment ref="BA49" authorId="1" shapeId="0" xr:uid="{00000000-0006-0000-0000-000009000000}">
      <text>
        <r>
          <rPr>
            <b/>
            <sz val="9"/>
            <color indexed="81"/>
            <rFont val="Tahoma"/>
            <family val="2"/>
          </rPr>
          <t>AUXFAMILIA26:</t>
        </r>
        <r>
          <rPr>
            <sz val="9"/>
            <color indexed="81"/>
            <rFont val="Tahoma"/>
            <family val="2"/>
          </rPr>
          <t xml:space="preserve">
no existen datos sobre la implementación de esta política en el territorio, y tampoco existen reportes sobre la política que haría las veces. Pendiente respuesta Secretaría de Interior</t>
        </r>
      </text>
    </comment>
    <comment ref="BA55" authorId="1" shapeId="0" xr:uid="{00000000-0006-0000-0000-00000B000000}">
      <text>
        <r>
          <rPr>
            <b/>
            <sz val="9"/>
            <color indexed="81"/>
            <rFont val="Tahoma"/>
            <family val="2"/>
          </rPr>
          <t>AUXFAMILIA26:</t>
        </r>
        <r>
          <rPr>
            <sz val="9"/>
            <color indexed="81"/>
            <rFont val="Tahoma"/>
            <family val="2"/>
          </rPr>
          <t xml:space="preserve">
no existen reportes sobre prevalencia del consumo. El último estudio se dio en el 2013</t>
        </r>
      </text>
    </comment>
    <comment ref="BY59" authorId="2" shapeId="0" xr:uid="{00000000-0006-0000-0000-00000C000000}">
      <text>
        <r>
          <rPr>
            <b/>
            <sz val="9"/>
            <color indexed="81"/>
            <rFont val="Tahoma"/>
            <family val="2"/>
          </rPr>
          <t>Indeportes0314:</t>
        </r>
        <r>
          <rPr>
            <sz val="9"/>
            <color indexed="81"/>
            <rFont val="Tahoma"/>
            <family val="2"/>
          </rPr>
          <t xml:space="preserve">
a la deportista maria yuliet perez bedoya le pago todo el ministerio del deporte, indeportes Quindio no genero inversion economica en este evento deportivo.</t>
        </r>
      </text>
    </comment>
    <comment ref="BB74" authorId="1" shapeId="0" xr:uid="{00000000-0006-0000-0000-00000E000000}">
      <text>
        <r>
          <rPr>
            <b/>
            <sz val="9"/>
            <color indexed="81"/>
            <rFont val="Tahoma"/>
            <family val="2"/>
          </rPr>
          <t>AUXFAMILIA26:</t>
        </r>
        <r>
          <rPr>
            <sz val="9"/>
            <color indexed="81"/>
            <rFont val="Tahoma"/>
            <family val="2"/>
          </rPr>
          <t xml:space="preserve">
pendiente respuesta universidades</t>
        </r>
      </text>
    </comment>
    <comment ref="BJ74" authorId="1" shapeId="0" xr:uid="{00000000-0006-0000-0000-00000F000000}">
      <text>
        <r>
          <rPr>
            <b/>
            <sz val="9"/>
            <color rgb="FF000000"/>
            <rFont val="Tahoma"/>
            <family val="2"/>
          </rPr>
          <t>AUXFAMILIA26:</t>
        </r>
        <r>
          <rPr>
            <sz val="9"/>
            <color rgb="FF000000"/>
            <rFont val="Tahoma"/>
            <family val="2"/>
          </rPr>
          <t xml:space="preserve">
</t>
        </r>
        <r>
          <rPr>
            <sz val="9"/>
            <color rgb="FF000000"/>
            <rFont val="Tahoma"/>
            <family val="2"/>
          </rPr>
          <t>pendiente respuesta universidades</t>
        </r>
      </text>
    </comment>
  </commentList>
</comments>
</file>

<file path=xl/sharedStrings.xml><?xml version="1.0" encoding="utf-8"?>
<sst xmlns="http://schemas.openxmlformats.org/spreadsheetml/2006/main" count="2201" uniqueCount="1163">
  <si>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</si>
  <si>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</si>
  <si>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</si>
  <si>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</si>
  <si>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</si>
  <si>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</si>
  <si>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</si>
  <si>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</si>
  <si>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</si>
  <si>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</si>
  <si>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</si>
  <si>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</si>
  <si>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</si>
  <si>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</si>
  <si>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</si>
  <si>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</si>
  <si>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</si>
  <si>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</si>
  <si>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</si>
  <si>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</si>
  <si>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</si>
  <si>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</si>
  <si>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</si>
  <si>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</si>
  <si>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</si>
  <si>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</si>
  <si>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</si>
  <si>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</si>
  <si>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</si>
  <si>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</si>
  <si>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</si>
  <si>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</si>
  <si>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</si>
  <si>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</si>
  <si>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</si>
  <si>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</si>
  <si>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</si>
  <si>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</si>
  <si>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</si>
  <si>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</si>
  <si>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</si>
  <si>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</si>
  <si>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</si>
  <si>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</si>
  <si>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</si>
  <si>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</si>
  <si>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</si>
  <si>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</si>
  <si>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</si>
  <si>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</si>
  <si>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</si>
  <si>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</si>
  <si>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</si>
  <si>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</si>
  <si>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</si>
  <si>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</si>
  <si>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</si>
  <si>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</si>
  <si>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</si>
  <si>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</si>
  <si>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</si>
  <si>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</si>
  <si>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</si>
  <si>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</si>
  <si>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</si>
  <si>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</si>
  <si>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</si>
  <si>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</si>
  <si>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</si>
  <si>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</si>
  <si>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</si>
  <si>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</si>
  <si>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</si>
  <si>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</si>
  <si>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</si>
  <si>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</si>
  <si>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</si>
  <si>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</si>
  <si>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</si>
  <si>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</si>
  <si>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</si>
  <si>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</si>
  <si>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</si>
  <si>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</si>
  <si>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</si>
  <si>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</si>
  <si>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</si>
  <si>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</si>
  <si>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</si>
  <si>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</si>
  <si>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</si>
  <si>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</si>
  <si>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</si>
  <si>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</si>
  <si>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</si>
  <si>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</si>
  <si>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</si>
  <si>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</si>
  <si>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</si>
  <si>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</si>
  <si>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</si>
  <si>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</si>
  <si>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</si>
  <si>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</si>
  <si>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</si>
  <si>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</si>
  <si>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</si>
  <si>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</si>
  <si>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</si>
  <si>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</si>
  <si>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</si>
  <si>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</si>
  <si>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</si>
  <si>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</si>
  <si>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</si>
  <si>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</si>
  <si>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</si>
  <si>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</si>
  <si>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</si>
  <si>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</si>
  <si>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</si>
  <si>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</si>
  <si>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</si>
  <si>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</si>
  <si>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</si>
  <si>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</si>
  <si>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</si>
  <si>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</si>
  <si>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</si>
  <si>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</si>
  <si>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</si>
  <si>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</si>
  <si>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</si>
  <si>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</si>
  <si>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</si>
  <si>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</si>
  <si>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</si>
  <si>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</si>
  <si>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</si>
  <si>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</si>
  <si>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</si>
  <si>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</si>
  <si>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</si>
  <si>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</si>
  <si>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</si>
  <si>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</si>
  <si>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</si>
  <si>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</si>
  <si>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</si>
  <si>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</si>
  <si>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</si>
  <si>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</si>
  <si>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</si>
  <si>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</si>
  <si>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</si>
  <si>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</si>
  <si>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</si>
  <si>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</si>
  <si>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</si>
  <si>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</si>
  <si>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</si>
  <si>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</si>
  <si>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</si>
  <si>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</si>
  <si>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</si>
  <si>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</si>
  <si>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</si>
  <si>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</si>
  <si>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</si>
  <si>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</si>
  <si>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</si>
  <si>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</si>
  <si>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</si>
  <si>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</si>
  <si>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</si>
  <si>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</si>
  <si>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</si>
  <si>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</si>
  <si>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</si>
  <si>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</si>
  <si>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</si>
  <si>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</si>
  <si>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</si>
  <si>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</si>
  <si>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</si>
  <si>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</si>
  <si>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</si>
  <si>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</si>
  <si>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</si>
  <si>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</si>
  <si>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</si>
  <si>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</si>
  <si>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</si>
  <si>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</si>
  <si>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</si>
  <si>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</si>
  <si>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</si>
  <si>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</si>
  <si>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</si>
  <si>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</si>
  <si>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</si>
  <si>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</si>
  <si>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</si>
  <si>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</si>
  <si>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</si>
  <si>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</si>
  <si>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</si>
  <si>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</si>
  <si>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</si>
  <si>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</si>
  <si>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</si>
  <si>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</si>
  <si>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</si>
  <si>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</si>
  <si>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</si>
  <si>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</si>
  <si>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</si>
  <si>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</si>
  <si>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</si>
  <si>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</si>
  <si>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</si>
  <si>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</si>
  <si>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</si>
  <si>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</si>
  <si>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</si>
  <si>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</si>
  <si>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</si>
  <si>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</si>
  <si>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</si>
  <si>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</si>
  <si>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</si>
  <si>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</si>
  <si>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</si>
  <si>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</si>
  <si>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</si>
  <si>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</si>
  <si>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</si>
  <si>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</si>
  <si>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</si>
  <si>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</si>
  <si>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</si>
  <si>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</si>
  <si>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</si>
  <si>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</si>
  <si>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</si>
  <si>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</si>
  <si>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</si>
  <si>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</si>
  <si>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</si>
  <si>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</si>
  <si>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</si>
  <si>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</si>
  <si>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</si>
  <si>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</si>
  <si>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</si>
  <si>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</si>
  <si>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</si>
  <si>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</si>
  <si>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</si>
  <si>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</si>
  <si>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</si>
  <si>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</si>
  <si>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</si>
  <si>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</si>
  <si>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</si>
  <si>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</si>
  <si>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</si>
  <si>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</si>
  <si>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</si>
  <si>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</si>
  <si>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</si>
  <si>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</si>
  <si>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</si>
  <si>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</si>
  <si>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</si>
  <si>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</si>
  <si>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</si>
  <si>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</si>
  <si>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</si>
  <si>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</si>
  <si>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</si>
  <si>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</si>
  <si>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</si>
  <si>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</si>
  <si>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</si>
  <si>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</si>
  <si>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</si>
  <si>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</si>
  <si>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</si>
  <si>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</si>
  <si>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</si>
  <si>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</si>
  <si>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</si>
  <si>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</si>
  <si>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</si>
  <si>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</si>
  <si>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</si>
  <si>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</si>
  <si>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</si>
  <si>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</si>
  <si>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</si>
  <si>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</si>
  <si>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</si>
  <si>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</si>
  <si>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</si>
  <si>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</si>
  <si>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</si>
  <si>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</si>
  <si>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</si>
  <si>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</si>
  <si>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</si>
  <si>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</si>
  <si>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</si>
  <si>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</si>
  <si>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</si>
  <si>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</si>
  <si>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</si>
  <si>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</si>
  <si>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</si>
  <si>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</si>
  <si>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</si>
  <si>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</si>
  <si>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</si>
  <si>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</si>
  <si>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</si>
  <si>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</si>
  <si>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</si>
  <si>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</si>
  <si>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</si>
  <si>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</si>
  <si>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</si>
  <si>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</si>
  <si>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</si>
  <si>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</si>
  <si>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</si>
  <si>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</si>
  <si>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</si>
  <si>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</si>
  <si>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</si>
  <si>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</si>
  <si>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</si>
  <si>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</si>
  <si>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</si>
  <si>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</si>
  <si>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</si>
  <si>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</si>
  <si>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</si>
  <si>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</si>
  <si>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</si>
  <si>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</si>
  <si>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</si>
  <si>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</si>
  <si>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</si>
  <si>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</si>
  <si>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</si>
  <si>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</si>
  <si>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</si>
  <si>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</si>
  <si>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</si>
  <si>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</si>
  <si>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</si>
  <si>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</si>
  <si>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</si>
  <si>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</si>
  <si>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</si>
  <si>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</si>
  <si>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</si>
  <si>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</si>
  <si>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</si>
  <si>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</si>
  <si>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</si>
  <si>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</si>
  <si>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</si>
  <si>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</si>
  <si>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</si>
  <si>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</si>
  <si>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</si>
  <si>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</si>
  <si>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</si>
  <si>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</si>
  <si>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</si>
  <si>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</si>
  <si>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</si>
  <si>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</si>
  <si>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</si>
  <si>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</si>
  <si>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</si>
  <si>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</si>
  <si>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</si>
  <si>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</si>
  <si>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</si>
  <si>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</si>
  <si>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</si>
  <si>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</si>
  <si>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</si>
  <si>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</si>
  <si>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</si>
  <si>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</si>
  <si>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</si>
  <si>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</si>
  <si>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</si>
  <si>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4.64%%</t>
  </si>
  <si>
    <t>1</t>
  </si>
  <si>
    <t>16.5%</t>
  </si>
  <si>
    <t>CRITICO</t>
  </si>
  <si>
    <t>BAJO</t>
  </si>
  <si>
    <t>MEDIO</t>
  </si>
  <si>
    <t>SATISFACTORIO</t>
  </si>
  <si>
    <t>SOBRESALIENTE</t>
  </si>
  <si>
    <t>TOTAL</t>
  </si>
  <si>
    <t>PARTICIPCION Y MOVIIZACION</t>
  </si>
  <si>
    <t>CRÍTICO</t>
  </si>
  <si>
    <t>5.3%</t>
  </si>
  <si>
    <t>LINEAS</t>
  </si>
  <si>
    <t>EJES ESTRATÉGICOS</t>
  </si>
  <si>
    <t>TOTAL, INDICADORES</t>
  </si>
  <si>
    <t>por debajo de la tasa nacional ( 5,81 %)</t>
  </si>
  <si>
    <t>por debajo de la tasa nacional (13,94)</t>
  </si>
  <si>
    <t>por debajo de la tasa nacional ( 24,05%)</t>
  </si>
  <si>
    <t>por debajo de la prevalencia nacional (3,6 %)</t>
  </si>
  <si>
    <t>por debajo de la prevalencia nacional (473647/ 32 dptos = 14801)</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</si>
  <si>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</si>
  <si>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</si>
  <si>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</si>
  <si>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</si>
  <si>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</si>
  <si>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</si>
  <si>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</si>
  <si>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</si>
  <si>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</si>
  <si>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</si>
  <si>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</si>
  <si>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</si>
  <si>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</si>
  <si>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</si>
  <si>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</si>
  <si>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</si>
  <si>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</si>
  <si>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</si>
  <si>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</si>
  <si>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</si>
  <si>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</si>
  <si>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</si>
  <si>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</si>
  <si>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</si>
  <si>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</si>
  <si>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</si>
  <si>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</si>
  <si>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Número de alianzas para la promoción del turismo establecidas para Jóvenes</t>
  </si>
  <si>
    <t>Número de proyectos artísticos y culturales apoyados y ejecutados.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</si>
  <si>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</si>
  <si>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</si>
  <si>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</si>
  <si>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</si>
  <si>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</si>
  <si>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Ejecución del Plan Departamental para la Reducción del Consumo de Sustancias Sicoactivas</t>
  </si>
  <si>
    <t>Participación de  las y los Jóvenes ante la  Red Departamental de Emprendimiento.</t>
  </si>
  <si>
    <t>1,1,1</t>
  </si>
  <si>
    <t>Responsable: SENA
Meta 31/ Responsable: Secretaría de Agricultura</t>
  </si>
  <si>
    <t>$ 382,688,000</t>
  </si>
  <si>
    <t>$ 11.540.000
$ 8.655.000</t>
  </si>
  <si>
    <t>$ 0
$ 11.540.000</t>
  </si>
  <si>
    <t>PROGRAMADO 
(Meta al 2022)</t>
  </si>
  <si>
    <t>20.3%</t>
  </si>
  <si>
    <r>
      <t xml:space="preserve">
</t>
    </r>
    <r>
      <rPr>
        <b/>
        <sz val="10"/>
        <rFont val="Calibri"/>
        <family val="2"/>
        <scheme val="minor"/>
      </rPr>
      <t xml:space="preserve">Alcaldía de Buenavista: </t>
    </r>
    <r>
      <rPr>
        <sz val="10"/>
        <rFont val="Calibri"/>
        <family val="2"/>
        <scheme val="minor"/>
      </rPr>
      <t xml:space="preserve">1 Asamblea juvenil realizada en el mes de junio. En la cual quedó pendiente la convocatoria para la creación de la comisión de concertación y decisión.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cumple con la realización de las dos asambleas juveniles anuales establecidas en el estatuto de ciudadanía juvenil no obstante, en el primer trimestre 2022 no se ha realizado ya que se tiene planteado hacer la primera asamblea el próximo 26 de abril del año en curso. 
</t>
    </r>
    <r>
      <rPr>
        <b/>
        <sz val="10"/>
        <rFont val="Calibri"/>
        <family val="2"/>
        <scheme val="minor"/>
      </rPr>
      <t>Alcaldía de Córdoba:</t>
    </r>
    <r>
      <rPr>
        <sz val="10"/>
        <rFont val="Calibri"/>
        <family val="2"/>
        <scheme val="minor"/>
      </rPr>
      <t xml:space="preserve"> La realización de las asambleas juveniles está programada para realizar en el primer semestre del 2022. 
</t>
    </r>
    <r>
      <rPr>
        <b/>
        <sz val="10"/>
        <rFont val="Calibri"/>
        <family val="2"/>
        <scheme val="minor"/>
      </rPr>
      <t>Alcaldía de Calarcá:</t>
    </r>
    <r>
      <rPr>
        <sz val="10"/>
        <rFont val="Calibri"/>
        <family val="2"/>
        <scheme val="minor"/>
      </rPr>
      <t xml:space="preserve"> Desde la Secretaría de Servicios sociales y  Salud se  realizó la primera Asambleas de Juventudes el 18 de febrero de 2022. </t>
    </r>
    <r>
      <rPr>
        <b/>
        <sz val="10"/>
        <rFont val="Calibri"/>
        <family val="2"/>
        <scheme val="minor"/>
      </rPr>
      <t xml:space="preserve">
Alcaldía de la Tebaida: </t>
    </r>
    <r>
      <rPr>
        <sz val="10"/>
        <rFont val="Calibri"/>
        <family val="2"/>
        <scheme val="minor"/>
      </rPr>
      <t xml:space="preserve">el 17 de marzo se realizó la primera asamblea de juventud dándole cumplimiento a la ley 1622 en donde se construyó con los asistentes la agenda de juventud para la vigencia 2022
</t>
    </r>
    <r>
      <rPr>
        <b/>
        <sz val="10"/>
        <rFont val="Calibri"/>
        <family val="2"/>
        <scheme val="minor"/>
      </rPr>
      <t>Alcaldía Armenia:</t>
    </r>
    <r>
      <rPr>
        <sz val="10"/>
        <rFont val="Calibri"/>
        <family val="2"/>
        <scheme val="minor"/>
      </rPr>
      <t xml:space="preserve"> 1 asamblea juvenil realizada en el mes de marzo, pero se realizan dos al año la próxima será el día 27 de julio de 2022 
</t>
    </r>
    <r>
      <rPr>
        <b/>
        <sz val="10"/>
        <rFont val="Calibri"/>
        <family val="2"/>
        <scheme val="minor"/>
      </rPr>
      <t xml:space="preserve">Alcaldía de Filandia: </t>
    </r>
    <r>
      <rPr>
        <sz val="10"/>
        <rFont val="Calibri"/>
        <family val="2"/>
        <scheme val="minor"/>
      </rPr>
      <t xml:space="preserve">para este trimestre no se ha realizado asamblea. </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Alcaldía de Circasia:</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Reporta que diez de los doce municipios del Quindío, han realizado las asambleas juveniles en el primer semestre 2022, a excepción de los municipios de Quimbaya y Filandia. </t>
    </r>
  </si>
  <si>
    <t>$8.900.000
$29.095.000</t>
  </si>
  <si>
    <t>6675000
$14.670.000</t>
  </si>
  <si>
    <t xml:space="preserve">130,000,000
</t>
  </si>
  <si>
    <t xml:space="preserve">
$ 183,000,000
$214.688.145</t>
  </si>
  <si>
    <t xml:space="preserve"> 
$ 183,000,000
$0</t>
  </si>
  <si>
    <t>$ 1,121,944
$ 147.152.160</t>
  </si>
  <si>
    <t>1012000000
$ 1.500.000
$ 9.993.786
$ 11,540,000</t>
  </si>
  <si>
    <t>$ 2. 885.000
$ 1.500.000
$ 9.993.786</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</si>
  <si>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</si>
  <si>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$ 139.800.000
$ 50.000.000
$ 59,993,786</t>
  </si>
  <si>
    <t>$ 39.975.000
$ 50.000.000</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</si>
  <si>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</si>
  <si>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$ 54.000.000
$ 7.600.000
$ 11,540,000</t>
  </si>
  <si>
    <t>$ 6.850.000
$ 7.600.000</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</si>
  <si>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</si>
  <si>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</si>
  <si>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</si>
  <si>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</si>
  <si>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</si>
  <si>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</si>
  <si>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</si>
  <si>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</si>
  <si>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</si>
  <si>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</si>
  <si>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</si>
  <si>
    <t xml:space="preserve">
$ 28,850,000</t>
  </si>
  <si>
    <t xml:space="preserve">
$ 34,620,000</t>
  </si>
  <si>
    <t>INFORMACIÓN MATRIZ PPJ</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</si>
  <si>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</si>
  <si>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</si>
  <si>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</si>
  <si>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</si>
  <si>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</si>
  <si>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</si>
  <si>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</si>
  <si>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Proyecto 47: 89,951,168</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</si>
  <si>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</si>
  <si>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PROGRAMADO 
(Meta al 2020)</t>
  </si>
  <si>
    <t xml:space="preserve">
$6.400.000
</t>
  </si>
  <si>
    <r>
      <rPr>
        <b/>
        <sz val="10"/>
        <color theme="1"/>
        <rFont val="Calibri"/>
        <family val="2"/>
        <scheme val="minor"/>
      </rPr>
      <t xml:space="preserve">Alcaldía de Circasia : </t>
    </r>
    <r>
      <rPr>
        <sz val="10"/>
        <color theme="1"/>
        <rFont val="Calibri"/>
        <family val="2"/>
        <scheme val="minor"/>
      </rPr>
      <t xml:space="preserve"> Cuenta con el Acuerdo Municipal 011 del 29 de mayo de 2015, que expide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expide la Política Pública de Juventud Municipal "Salento para la Juventud" 2017-2027
</t>
    </r>
    <r>
      <rPr>
        <b/>
        <sz val="10"/>
        <color theme="1"/>
        <rFont val="Calibri"/>
        <family val="2"/>
        <scheme val="minor"/>
      </rPr>
      <t xml:space="preserve">Alcadía de Quimbaya: </t>
    </r>
    <r>
      <rPr>
        <sz val="10"/>
        <color theme="1"/>
        <rFont val="Calibri"/>
        <family val="2"/>
        <scheme val="minor"/>
      </rPr>
      <t>Socializacion y difucion de la politica publica municipal de quimbaya, capacitacion de jovenes en prevencion de embarazos y ruta de atencion de violencia de genero, Capacitacion en relacion familiar y comunicacion asertiva entre padres e hijos. y apoyo como enlace a jovenes en accion.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La Tebaida: </t>
    </r>
    <r>
      <rPr>
        <sz val="10"/>
        <color theme="1"/>
        <rFont val="Calibri"/>
        <family val="2"/>
        <scheme val="minor"/>
      </rPr>
      <t xml:space="preserve">Politica publica formalada desde el 2019, actualmente se encuentra en ejecucion
</t>
    </r>
    <r>
      <rPr>
        <b/>
        <sz val="10"/>
        <color theme="1"/>
        <rFont val="Calibri"/>
        <family val="2"/>
        <scheme val="minor"/>
      </rPr>
      <t xml:space="preserve">Alcaldía de Armenia: </t>
    </r>
    <r>
      <rPr>
        <sz val="10"/>
        <color theme="1"/>
        <rFont val="Calibri"/>
        <family val="2"/>
        <scheme val="minor"/>
      </rPr>
      <t xml:space="preserve"> Revisión de la Política Publica de Juventud para la creación del plan de acción  del cuatrienio. (Secretaria de Desarrollo Social-Enlaces de Juventud Alcaldía Municipal Armenia)
1.   Realización del plan de acción de la Política Publica (cuatrenio) en concertación con la Plataforma Municipal de Juventudes.                               
</t>
    </r>
    <r>
      <rPr>
        <b/>
        <sz val="10"/>
        <color theme="1"/>
        <rFont val="Calibri"/>
        <family val="2"/>
        <scheme val="minor"/>
      </rPr>
      <t xml:space="preserve">Alcaldía de Montenegro: </t>
    </r>
    <r>
      <rPr>
        <sz val="10"/>
        <color theme="1"/>
        <rFont val="Calibri"/>
        <family val="2"/>
        <scheme val="minor"/>
      </rPr>
      <t xml:space="preserve">Se incluyo en el plan de Desarrollo "ACTIVOS POR MONTENEGRO" la formulacion e implementacion de la politica publica de juventud del municipio como linea estartegica del mismo. Tambien se realizan alianzas estrategicas con el semillero de investigacion de la universidad la gran colombia para la formulacion de la misma.
</t>
    </r>
    <r>
      <rPr>
        <b/>
        <sz val="10"/>
        <color theme="1"/>
        <rFont val="Calibri"/>
        <family val="2"/>
        <scheme val="minor"/>
      </rPr>
      <t>Alcaldia de Filandia</t>
    </r>
    <r>
      <rPr>
        <sz val="10"/>
        <color theme="1"/>
        <rFont val="Calibri"/>
        <family val="2"/>
        <scheme val="minor"/>
      </rPr>
      <t xml:space="preserve">:  Se obtuvo la primera asistencia técnica el día viernes 12 de marzo  por parte de la contratista de la Gobernación del Quindío, María Camila Moncada Herrera. La segunda asistencia por parte de la misma representante de la Gobernación no se ha establecido fecha. 
</t>
    </r>
    <r>
      <rPr>
        <b/>
        <sz val="10"/>
        <color theme="1"/>
        <rFont val="Calibri"/>
        <family val="2"/>
        <scheme val="minor"/>
      </rPr>
      <t>Alcaldia de Pijao:</t>
    </r>
    <r>
      <rPr>
        <sz val="10"/>
        <color theme="1"/>
        <rFont val="Calibri"/>
        <family val="2"/>
        <scheme val="minor"/>
      </rPr>
      <t xml:space="preserve"> la politica se encuentra en formulacion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politica publica de Juventud no se encuentra adoptada por el momento, esta en proceso de formulacion, el municipio se encuentra en el proceso de la formulacion e implementacion de la Politica Pública de Juventud..
</t>
    </r>
    <r>
      <rPr>
        <b/>
        <sz val="10"/>
        <color theme="1"/>
        <rFont val="Calibri"/>
        <family val="2"/>
        <scheme val="minor"/>
      </rPr>
      <t>Alcaldía Calarcá:</t>
    </r>
    <r>
      <rPr>
        <sz val="10"/>
        <color theme="1"/>
        <rFont val="Calibri"/>
        <family val="2"/>
        <scheme val="minor"/>
      </rPr>
      <t xml:space="preserve"> Se Cuenta con una politica publica la cual ya esta siendo implmentada desde enero de 2020,la politica se consolido durante los años de 2017 y 2018 ,siendo aprobada por el acuerdo 019 del 26 de septiembre de 2018,dicha politica cuenta con la participacion en su ejecucion de diferentes de la administracion y en articulacion con otras instituciones con el fin de dar respuesta oportunia e incluyente a las diverdsas necesidades de la poblacion,interes que se tuvo desde su constitucion la cual conto con el acompañamiento de la gobernacion en mesas tematicas que recogieran diversas necesidades en los diferente sectores.
</t>
    </r>
    <r>
      <rPr>
        <b/>
        <sz val="10"/>
        <color theme="1"/>
        <rFont val="Calibri"/>
        <family val="2"/>
        <scheme val="minor"/>
      </rPr>
      <t xml:space="preserve">Secretaría de familia: </t>
    </r>
    <r>
      <rPr>
        <sz val="10"/>
        <color theme="1"/>
        <rFont val="Calibri"/>
        <family val="2"/>
        <scheme val="minor"/>
      </rPr>
      <t xml:space="preserve"> se cuenta con la politica pública de juventud departamental aprobada mediante ordenanza 036 del 2014. </t>
    </r>
  </si>
  <si>
    <r>
      <t xml:space="preserve">$3,600,600
</t>
    </r>
    <r>
      <rPr>
        <b/>
        <sz val="10"/>
        <color theme="1"/>
        <rFont val="Calibri"/>
        <family val="2"/>
        <scheme val="minor"/>
      </rPr>
      <t/>
    </r>
  </si>
  <si>
    <r>
      <rPr>
        <b/>
        <sz val="10"/>
        <color theme="1"/>
        <rFont val="Calibri"/>
        <family val="2"/>
        <scheme val="minor"/>
      </rPr>
      <t xml:space="preserve">$ </t>
    </r>
    <r>
      <rPr>
        <sz val="10"/>
        <color theme="1"/>
        <rFont val="Calibri"/>
        <family val="2"/>
        <scheme val="minor"/>
      </rPr>
      <t>3,600,600</t>
    </r>
  </si>
  <si>
    <r>
      <rPr>
        <b/>
        <sz val="10"/>
        <color theme="1"/>
        <rFont val="Calibri"/>
        <family val="2"/>
        <scheme val="minor"/>
      </rPr>
      <t xml:space="preserve">Alcaldía de Salento: </t>
    </r>
    <r>
      <rPr>
        <sz val="10"/>
        <color theme="1"/>
        <rFont val="Calibri"/>
        <family val="2"/>
        <scheme val="minor"/>
      </rPr>
      <t>En el municipio de Salento, la dependencia responsable del sistema municipal de juventud es la Subsecretaría de Cultura y Deporte. Acompaña el proceso las Secretarías de Gobierno, Administrativa y TICs y la Secretaría de Turismo y Desarrollo Económico, en asuntos de su competencia y con relación en los temas de juventud</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Alcaldía Calarcá:</t>
    </r>
    <r>
      <rPr>
        <sz val="10"/>
        <color theme="1"/>
        <rFont val="Calibri"/>
        <family val="2"/>
        <scheme val="minor"/>
      </rPr>
      <t xml:space="preserve"> Se cuenta con un programa que cobija la poblacion juvenil el programa es el de Primera infancia, infancia, adolescencia y juventud,adscrito a la secretaria de servicios sociales y salud de la alcaldia municipal,alli se llevan a cabo las acciones que dan cumplimiento a la politica publica de juventud,asi como los espacios,democraticos y participativos como la mesa de comicion y concertacion,las asambleas de juventud municipal,apoyo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formulacion de la politica publica de juventud 
</t>
    </r>
    <r>
      <rPr>
        <b/>
        <sz val="10"/>
        <color theme="1"/>
        <rFont val="Calibri"/>
        <family val="2"/>
        <scheme val="minor"/>
      </rPr>
      <t xml:space="preserve">Alcaldía de La Tebaida: </t>
    </r>
    <r>
      <rPr>
        <sz val="10"/>
        <color theme="1"/>
        <rFont val="Calibri"/>
        <family val="2"/>
        <scheme val="minor"/>
      </rPr>
      <t xml:space="preserve">Se  encuentra la dirección administrativa de servicios sociales la cual cuenta con una profesional de población vulnerable la cual se encarga del sistema de juventud de acuerdo a la ley 1622 del 2013 y la 1885 del 2018. Cuenta con rubro para juventud.
</t>
    </r>
    <r>
      <rPr>
        <b/>
        <sz val="10"/>
        <color theme="1"/>
        <rFont val="Calibri"/>
        <family val="2"/>
        <scheme val="minor"/>
      </rPr>
      <t>Alcaldía de Pijao:</t>
    </r>
    <r>
      <rPr>
        <sz val="10"/>
        <color theme="1"/>
        <rFont val="Calibri"/>
        <family val="2"/>
        <scheme val="minor"/>
      </rPr>
      <t xml:space="preserve"> Cuenta con la plataforma de juventud, se actualiza el 03 de diciembre de 2020
</t>
    </r>
    <r>
      <rPr>
        <b/>
        <sz val="10"/>
        <color theme="1"/>
        <rFont val="Calibri"/>
        <family val="2"/>
        <scheme val="minor"/>
      </rPr>
      <t xml:space="preserve">Alcaldia de Filandía: </t>
    </r>
    <r>
      <rPr>
        <sz val="10"/>
        <color theme="1"/>
        <rFont val="Calibri"/>
        <family val="2"/>
        <scheme val="minor"/>
      </rPr>
      <t xml:space="preserve">Contratación por prestación de servicios de la Trabajadora Social, Luz Angela Castro Arias, quien desde el 05de abril y hasta el 04 de junio se desempeñará como Enlace Municipal de Juventud de la Alcaldía de Filandia
</t>
    </r>
    <r>
      <rPr>
        <b/>
        <sz val="10"/>
        <color theme="1"/>
        <rFont val="Calibri"/>
        <family val="2"/>
        <scheme val="minor"/>
      </rPr>
      <t xml:space="preserve">Alcaldía de Armenia: </t>
    </r>
    <r>
      <rPr>
        <sz val="10"/>
        <color theme="1"/>
        <rFont val="Calibri"/>
        <family val="2"/>
        <scheme val="minor"/>
      </rPr>
      <t xml:space="preserve">Se tiene previsto la creación de la oficina de secretaria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La administracion departamental cuenta con una jefatura de juventud  adscrita a la Secretaría de Familia con capacidad técnica y financiera</t>
    </r>
  </si>
  <si>
    <r>
      <t xml:space="preserve">
</t>
    </r>
    <r>
      <rPr>
        <b/>
        <sz val="10"/>
        <color theme="1"/>
        <rFont val="Calibri"/>
        <family val="2"/>
        <scheme val="minor"/>
      </rPr>
      <t xml:space="preserve">Alcaldía de Circasia: </t>
    </r>
    <r>
      <rPr>
        <sz val="10"/>
        <color theme="1"/>
        <rFont val="Calibri"/>
        <family val="2"/>
        <scheme val="minor"/>
      </rPr>
      <t xml:space="preserve">La Política Pública de Juventud Municipal está articulada con la Política de Juventud Departamental, en este trimestre se encunetra en actulaizacion la PPJM Circasia cuales se contextulizo los planes de accion de cada poblacion, se esta realizando el acto administrativo para dar valides a estas reunion segun la ley 1622 del 2013
</t>
    </r>
    <r>
      <rPr>
        <b/>
        <sz val="10"/>
        <color theme="1"/>
        <rFont val="Calibri"/>
        <family val="2"/>
        <scheme val="minor"/>
      </rPr>
      <t xml:space="preserve">Alcaldía de Salento: </t>
    </r>
    <r>
      <rPr>
        <sz val="10"/>
        <color theme="1"/>
        <rFont val="Calibri"/>
        <family val="2"/>
        <scheme val="minor"/>
      </rPr>
      <t xml:space="preserve">La Política Pública de Juventud Municipal está articulada con la Política de Juventud Departamental y con la normativa juvenil vigente.
</t>
    </r>
    <r>
      <rPr>
        <b/>
        <sz val="10"/>
        <color theme="1"/>
        <rFont val="Calibri"/>
        <family val="2"/>
        <scheme val="minor"/>
      </rPr>
      <t xml:space="preserve">Alcaldía de La Tebaida: </t>
    </r>
    <r>
      <rPr>
        <sz val="10"/>
        <color theme="1"/>
        <rFont val="Calibri"/>
        <family val="2"/>
        <scheme val="minor"/>
      </rPr>
      <t xml:space="preserve">En este trimestre se realizo un consejo de politica social y un consejo extraordinario en los cuales se contextulizo los planes de accion de cada poblacion, la matriz de seguimiento de la politica publica de juventud.  
</t>
    </r>
    <r>
      <rPr>
        <b/>
        <sz val="10"/>
        <color theme="1"/>
        <rFont val="Calibri"/>
        <family val="2"/>
        <scheme val="minor"/>
      </rPr>
      <t xml:space="preserve">Alcaldía de Armenia: </t>
    </r>
    <r>
      <rPr>
        <sz val="10"/>
        <color theme="1"/>
        <rFont val="Calibri"/>
        <family val="2"/>
        <scheme val="minor"/>
      </rPr>
      <t xml:space="preserve">DEBIDO A LA CONTIGENCIA PRESENTADA POR EL COVID-19 NO SE PUDO PROGRAMAR REUNION DE CONSEJO DE POLITICA SOCIAL.
</t>
    </r>
    <r>
      <rPr>
        <b/>
        <sz val="10"/>
        <color theme="1"/>
        <rFont val="Calibri"/>
        <family val="2"/>
        <scheme val="minor"/>
      </rPr>
      <t>Alcaldía Montenegro:</t>
    </r>
    <r>
      <rPr>
        <sz val="10"/>
        <color theme="1"/>
        <rFont val="Calibri"/>
        <family val="2"/>
        <scheme val="minor"/>
      </rPr>
      <t xml:space="preserve"> se esta trabajando en la formulacion de la PPJ la cual se esta armonizando con la PPJ departamental 
</t>
    </r>
    <r>
      <rPr>
        <b/>
        <sz val="10"/>
        <color theme="1"/>
        <rFont val="Calibri"/>
        <family val="2"/>
        <scheme val="minor"/>
      </rPr>
      <t>Alcaldía Calarcá:</t>
    </r>
    <r>
      <rPr>
        <sz val="10"/>
        <color theme="1"/>
        <rFont val="Calibri"/>
        <family val="2"/>
        <scheme val="minor"/>
      </rPr>
      <t xml:space="preserve"> El municipio de calarca cuenta a la fecha con un plan de trabajo de politica publica en el cual se rrelacioan los ejes estrategicos,lineas de accion y las acciones y dependencias desde sus programas que daran cumplimiento a la politica de juventud,al plan de accion se le realiza seguimiento trimestral o cuatrimeestral y cuenta con acciones articuladas y claras segun lo consolidado en la politica publica.
</t>
    </r>
    <r>
      <rPr>
        <b/>
        <sz val="10"/>
        <color theme="1"/>
        <rFont val="Calibri"/>
        <family val="2"/>
        <scheme val="minor"/>
      </rPr>
      <t xml:space="preserve">Secretaría de familia: </t>
    </r>
    <r>
      <rPr>
        <sz val="10"/>
        <color theme="1"/>
        <rFont val="Calibri"/>
        <family val="2"/>
        <scheme val="minor"/>
      </rPr>
      <t>la politica pública de juventud departamental se encuentra armonizada.</t>
    </r>
  </si>
  <si>
    <r>
      <rPr>
        <b/>
        <sz val="10"/>
        <color theme="1"/>
        <rFont val="Calibri"/>
        <family val="2"/>
        <scheme val="minor"/>
      </rPr>
      <t xml:space="preserve">Alcaldía dePijao: </t>
    </r>
    <r>
      <rPr>
        <sz val="10"/>
        <color theme="1"/>
        <rFont val="Calibri"/>
        <family val="2"/>
        <scheme val="minor"/>
      </rPr>
      <t xml:space="preserve">El Municipio de pijao, cuenta con plataforma de Juventudes. Por reacctivarla, en la conformacion del 2020 se vincularon 16 jovenes
</t>
    </r>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realizacion de las asambleas juveniles, se tiene CCYD reglamentada resolucion 1548 del 2018
</t>
    </r>
    <r>
      <rPr>
        <b/>
        <sz val="10"/>
        <color theme="1"/>
        <rFont val="Calibri"/>
        <family val="2"/>
        <scheme val="minor"/>
      </rPr>
      <t xml:space="preserve">Alcaldia de Circasia: </t>
    </r>
    <r>
      <rPr>
        <sz val="10"/>
        <color theme="1"/>
        <rFont val="Calibri"/>
        <family val="2"/>
        <scheme val="minor"/>
      </rPr>
      <t xml:space="preserve">Esta en proceso el acto administrativo para las  Comisión de Concertación y Decisión Juvenil que canaliza la gestión municipal en materia de juventud, platafroma de juvnentud y asambleas
</t>
    </r>
    <r>
      <rPr>
        <b/>
        <sz val="10"/>
        <color theme="1"/>
        <rFont val="Calibri"/>
        <family val="2"/>
        <scheme val="minor"/>
      </rPr>
      <t xml:space="preserve">Alcaldía La Tebaida: </t>
    </r>
    <r>
      <rPr>
        <sz val="10"/>
        <color theme="1"/>
        <rFont val="Calibri"/>
        <family val="2"/>
        <scheme val="minor"/>
      </rPr>
      <t xml:space="preserve">se encuentra en funcionamiento la platafortma municpal de juventud. Se activo el comité de concertacion y decisión Y se aprobó la agenda de juventud. 
</t>
    </r>
    <r>
      <rPr>
        <b/>
        <sz val="10"/>
        <color theme="1"/>
        <rFont val="Calibri"/>
        <family val="2"/>
        <scheme val="minor"/>
      </rPr>
      <t xml:space="preserve">Alcaldía de Armenia: </t>
    </r>
    <r>
      <rPr>
        <sz val="10"/>
        <color theme="1"/>
        <rFont val="Calibri"/>
        <family val="2"/>
        <scheme val="minor"/>
      </rPr>
      <t xml:space="preserve">Se realizó el decreto para la creación del sistema municipal de juventudes. fase de creación el decreto está en proceso de revisión desde el área jurídica de la secretaria de desarrollo social y posteriormente a la aprobación y firma del alcalde.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defamilia: </t>
    </r>
    <r>
      <rPr>
        <sz val="10"/>
        <color theme="1"/>
        <rFont val="Calibri"/>
        <family val="2"/>
        <scheme val="minor"/>
      </rPr>
      <t xml:space="preserve"> Se cuenta con un sistema departamental de juventud conformado y operando.</t>
    </r>
  </si>
  <si>
    <r>
      <rPr>
        <b/>
        <sz val="10"/>
        <color theme="1"/>
        <rFont val="Calibri"/>
        <family val="2"/>
        <scheme val="minor"/>
      </rPr>
      <t xml:space="preserve">SecretarÍa de Turismo Industria y Comercio: </t>
    </r>
    <r>
      <rPr>
        <sz val="10"/>
        <color theme="1"/>
        <rFont val="Calibri"/>
        <family val="2"/>
        <scheme val="minor"/>
      </rPr>
      <t xml:space="preserve">No Reportó información.
</t>
    </r>
    <r>
      <rPr>
        <b/>
        <sz val="10"/>
        <color theme="1"/>
        <rFont val="Calibri"/>
        <family val="2"/>
        <scheme val="minor"/>
      </rPr>
      <t xml:space="preserve">
Secretaría TICS:</t>
    </r>
    <r>
      <rPr>
        <sz val="10"/>
        <color theme="1"/>
        <rFont val="Calibri"/>
        <family val="2"/>
        <scheme val="minor"/>
      </rPr>
      <t xml:space="preserve"> No Reportó información.
</t>
    </r>
    <r>
      <rPr>
        <b/>
        <sz val="10"/>
        <color theme="1"/>
        <rFont val="Calibri"/>
        <family val="2"/>
        <scheme val="minor"/>
      </rPr>
      <t xml:space="preserve">SENA:  </t>
    </r>
    <r>
      <rPr>
        <sz val="10"/>
        <color theme="1"/>
        <rFont val="Calibri"/>
        <family val="2"/>
        <scheme val="minor"/>
      </rPr>
      <t>No Reportó información.</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</si>
  <si>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 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SecretarÍa de Turismo Industria y Comercio:</t>
    </r>
    <r>
      <rPr>
        <sz val="10"/>
        <color theme="1"/>
        <rFont val="Calibri"/>
        <family val="2"/>
        <scheme val="minor"/>
      </rPr>
      <t xml:space="preserve"> No Reportó información.</t>
    </r>
  </si>
  <si>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SecretarÍa de Turismo Industria y Comercio</t>
    </r>
    <r>
      <rPr>
        <sz val="10"/>
        <color theme="1"/>
        <rFont val="Calibri"/>
        <family val="2"/>
        <scheme val="minor"/>
      </rPr>
      <t xml:space="preserve">: No Reportó información.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Secretaría de Agricultura :</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No Reportó información.</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</si>
  <si>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</si>
  <si>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t>Responsables: Cajas de compensación familiar/Mintrabajo/Alcaldías</t>
  </si>
  <si>
    <r>
      <rPr>
        <b/>
        <sz val="10"/>
        <color theme="1"/>
        <rFont val="Calibri"/>
        <family val="2"/>
        <scheme val="minor"/>
      </rPr>
      <t xml:space="preserve">
SecretarÍa de Turismo Industria y Comercio:</t>
    </r>
    <r>
      <rPr>
        <sz val="10"/>
        <color theme="1"/>
        <rFont val="Calibri"/>
        <family val="2"/>
        <scheme val="minor"/>
      </rPr>
      <t xml:space="preserve"> No Reportó información.</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</si>
  <si>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t xml:space="preserve">
$1.980.000</t>
  </si>
  <si>
    <r>
      <t xml:space="preserve">OBSERVACIONES: </t>
    </r>
    <r>
      <rPr>
        <sz val="10"/>
        <color theme="1"/>
        <rFont val="Calibri"/>
        <family val="2"/>
        <scheme val="minor"/>
      </rPr>
      <t>El ultimo reportepor el SIRITI es del 2019 según lo reportado en el DANE, por lo cual la información reportada no corresponde al año 2020</t>
    </r>
  </si>
  <si>
    <t>Meta 31/ Responsable: Secretaría de Agricultura
Responsable: SENA</t>
  </si>
  <si>
    <r>
      <t xml:space="preserve">
</t>
    </r>
    <r>
      <rPr>
        <b/>
        <sz val="10"/>
        <color theme="1"/>
        <rFont val="Calibri"/>
        <family val="2"/>
        <scheme val="minor"/>
      </rPr>
      <t xml:space="preserve">Sena: </t>
    </r>
    <r>
      <rPr>
        <sz val="10"/>
        <color theme="1"/>
        <rFont val="Calibri"/>
        <family val="2"/>
        <scheme val="minor"/>
      </rPr>
      <t xml:space="preserve">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Secretaría de Agricultura:  </t>
    </r>
    <r>
      <rPr>
        <sz val="10"/>
        <color theme="1"/>
        <rFont val="Calibri"/>
        <family val="2"/>
        <scheme val="minor"/>
      </rPr>
      <t xml:space="preserve">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Jovenes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 xml:space="preserve">
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reporta información de la secretaría de agricultura por que en la propuesta de ajuste se le asigno competencia en el indicador asociado.</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</si>
  <si>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No Reportó información.</t>
    </r>
  </si>
  <si>
    <r>
      <t>SecretarÍa de Turismo Industria y Comercio:</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</si>
  <si>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</si>
  <si>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No Reportó información.</t>
    </r>
  </si>
  <si>
    <r>
      <t>Observación:</t>
    </r>
    <r>
      <rPr>
        <sz val="10"/>
        <color theme="1"/>
        <rFont val="Calibri"/>
        <family val="2"/>
        <scheme val="minor"/>
      </rPr>
      <t xml:space="preserve"> Se verifica en la pagina del ministerio de educación nacional 8 metodologías flexibles.</t>
    </r>
    <r>
      <rPr>
        <b/>
        <sz val="10"/>
        <color theme="1"/>
        <rFont val="Calibri"/>
        <family val="2"/>
        <scheme val="minor"/>
      </rPr>
      <t xml:space="preserve">
SecretarÍa de Educación:</t>
    </r>
    <r>
      <rPr>
        <sz val="10"/>
        <color theme="1"/>
        <rFont val="Calibri"/>
        <family val="2"/>
        <scheme val="minor"/>
      </rPr>
      <t xml:space="preserve"> No Reportó información.</t>
    </r>
  </si>
  <si>
    <t xml:space="preserve">
183,000,000</t>
  </si>
  <si>
    <t xml:space="preserve"> 183,000,000</t>
  </si>
  <si>
    <r>
      <t xml:space="preserve">Universidad San Buenaventura: </t>
    </r>
    <r>
      <rPr>
        <sz val="10"/>
        <color theme="1"/>
        <rFont val="Calibri"/>
        <family val="2"/>
        <scheme val="minor"/>
      </rPr>
      <t>Programa de Becas y/o descuentos: La Universidad de San Buenaventura cuenta con el programa de Becas y/o descuentos donde se otorga descuentos a estudiantes de bachillerato que cumplen con los requisitos exigidos por la Resolución de Rectoria 129 del 6 de dicembre de 2019. Además se cuenta con convenios especifico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t>
    </r>
    <r>
      <rPr>
        <b/>
        <sz val="10"/>
        <color theme="1"/>
        <rFont val="Calibri"/>
        <family val="2"/>
        <scheme val="minor"/>
      </rPr>
      <t xml:space="preserve">
EAM: </t>
    </r>
    <r>
      <rPr>
        <sz val="10"/>
        <color theme="1"/>
        <rFont val="Calibri"/>
        <family val="2"/>
        <scheme val="minor"/>
      </rPr>
      <t>Para el cuato trimestre del 2020 la EAM otorgo incentivo del 30% en la matricula para estudiantes nuevos.</t>
    </r>
  </si>
  <si>
    <r>
      <rPr>
        <b/>
        <sz val="10"/>
        <color theme="1"/>
        <rFont val="Calibri"/>
        <family val="2"/>
        <scheme val="minor"/>
      </rPr>
      <t>Observación</t>
    </r>
    <r>
      <rPr>
        <sz val="10"/>
        <color theme="1"/>
        <rFont val="Calibri"/>
        <family val="2"/>
        <scheme val="minor"/>
      </rPr>
      <t xml:space="preserve">: Se verifica en la pagina del ministerio de educación y se encuentran datos correspondeintes al año 2009 los cuales estan por encima de la meta establecida.
</t>
    </r>
    <r>
      <rPr>
        <b/>
        <sz val="10"/>
        <color theme="1"/>
        <rFont val="Calibri"/>
        <family val="2"/>
        <scheme val="minor"/>
      </rPr>
      <t xml:space="preserve">SecretarÍa de Educación: </t>
    </r>
    <r>
      <rPr>
        <sz val="10"/>
        <color theme="1"/>
        <rFont val="Calibri"/>
        <family val="2"/>
        <scheme val="minor"/>
      </rPr>
      <t xml:space="preserve">No Reportó información.
</t>
    </r>
  </si>
  <si>
    <t>6,700,000</t>
  </si>
  <si>
    <r>
      <rPr>
        <b/>
        <sz val="10"/>
        <color theme="1"/>
        <rFont val="Calibri"/>
        <family val="2"/>
        <scheme val="minor"/>
      </rPr>
      <t>EAM:</t>
    </r>
    <r>
      <rPr>
        <sz val="10"/>
        <color theme="1"/>
        <rFont val="Calibri"/>
        <family val="2"/>
        <scheme val="minor"/>
      </rPr>
      <t xml:space="preserve"> 6.3%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</si>
  <si>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Escuela de Administración y mercadotecnia del Quindío:</t>
    </r>
    <r>
      <rPr>
        <sz val="10"/>
        <color theme="1"/>
        <rFont val="Calibri"/>
        <family val="2"/>
        <scheme val="minor"/>
      </rPr>
      <t xml:space="preserve"> Actulmente no se cuenta con la informacion solicitada ya que no se maneja directamente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</si>
  <si>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t xml:space="preserve">
$900,000</t>
  </si>
  <si>
    <r>
      <rPr>
        <b/>
        <sz val="10"/>
        <color theme="1"/>
        <rFont val="Calibri"/>
        <family val="2"/>
        <scheme val="minor"/>
      </rPr>
      <t>Alcaldía de Cordoba:</t>
    </r>
    <r>
      <rPr>
        <sz val="10"/>
        <color theme="1"/>
        <rFont val="Calibri"/>
        <family val="2"/>
        <scheme val="minor"/>
      </rPr>
      <t xml:space="preserve"> El hospital san roque e.s.e. cuenta con el programa de Control del Joven y la Planificación Familiar para la etención a los jovenes del municipio; la Administracion municipal cuenta con los servicios amigables para los jovenes encuanto al Plan de Accion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continua con el proceso de atención a los jóvenes, a través del programa de Servicios Amigables.</t>
    </r>
    <r>
      <rPr>
        <b/>
        <sz val="10"/>
        <color theme="1"/>
        <rFont val="Calibri"/>
        <family val="2"/>
        <scheme val="minor"/>
      </rPr>
      <t xml:space="preserve">
Alcaldía de Quimbaya: </t>
    </r>
    <r>
      <rPr>
        <sz val="10"/>
        <color theme="1"/>
        <rFont val="Calibri"/>
        <family val="2"/>
        <scheme val="minor"/>
      </rPr>
      <t>HOSPITAL SAGRADO CORAZON DE JESUS: Proceso atencion  a los jovenesdel programa programa de adulto joven, y planificaccion familiar A traves del programa Servicios Amigables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Alcaldia de Montenegro:</t>
    </r>
    <r>
      <rPr>
        <sz val="10"/>
        <color theme="1"/>
        <rFont val="Calibri"/>
        <family val="2"/>
        <scheme val="minor"/>
      </rPr>
      <t xml:space="preserve"> no se presta este servicio en el municipio 
</t>
    </r>
    <r>
      <rPr>
        <b/>
        <sz val="10"/>
        <color theme="1"/>
        <rFont val="Calibri"/>
        <family val="2"/>
        <scheme val="minor"/>
      </rPr>
      <t>Alcaldía Calarcá:</t>
    </r>
    <r>
      <rPr>
        <sz val="10"/>
        <color theme="1"/>
        <rFont val="Calibri"/>
        <family val="2"/>
        <scheme val="minor"/>
      </rPr>
      <t xml:space="preserve">  Los servicios amigables se implementan desde el hospital la misericordia como oficina,desde la secretaria de salud se ejercen acciones y estrategias para la salud sexual y reproductiva,se cuenta a la fecha con estrategia de prevencion del embrazo. Se promueve el aseguramiento en salud de la población juvenil en el Municipio mediante 2 jornadas al año de afiliación a salud y sensibilización de deberes y derechos en salud. ademas de li anterior, se han realizado 2751 planificacion familiar; 8 examen de mama-578 toma de citologias-257 valoracion por psioclogia y 492 de valoracion integral ( el valor depende la contratcion por la EAPB ).
</t>
    </r>
    <r>
      <rPr>
        <b/>
        <sz val="10"/>
        <color theme="1"/>
        <rFont val="Calibri"/>
        <family val="2"/>
        <scheme val="minor"/>
      </rPr>
      <t xml:space="preserve">Secretaría de Salud: </t>
    </r>
    <r>
      <rPr>
        <sz val="10"/>
        <color theme="1"/>
        <rFont val="Calibri"/>
        <family val="2"/>
        <scheme val="minor"/>
      </rPr>
      <t>No reportó información.</t>
    </r>
  </si>
  <si>
    <r>
      <rPr>
        <b/>
        <sz val="10"/>
        <color theme="1"/>
        <rFont val="Calibri"/>
        <family val="2"/>
        <scheme val="minor"/>
      </rPr>
      <t xml:space="preserve">Alcaldíade Salento: </t>
    </r>
    <r>
      <rPr>
        <sz val="10"/>
        <color theme="1"/>
        <rFont val="Calibri"/>
        <family val="2"/>
        <scheme val="minor"/>
      </rPr>
      <t xml:space="preserve">SEGUIMIENTO A LAS POLÍTICAS DE SALUD DADAS POR EL CONSEJO MUNICIPAL DE POLÍTICA SOCIAL (COMPOS)
</t>
    </r>
    <r>
      <rPr>
        <b/>
        <sz val="10"/>
        <color theme="1"/>
        <rFont val="Calibri"/>
        <family val="2"/>
        <scheme val="minor"/>
      </rPr>
      <t>Alcaldia de Montenegro:</t>
    </r>
    <r>
      <rPr>
        <sz val="10"/>
        <color theme="1"/>
        <rFont val="Calibri"/>
        <family val="2"/>
        <scheme val="minor"/>
      </rPr>
      <t xml:space="preserve"> No se cuenta con la informacion solicitada
</t>
    </r>
    <r>
      <rPr>
        <b/>
        <sz val="10"/>
        <color theme="1"/>
        <rFont val="Calibri"/>
        <family val="2"/>
        <scheme val="minor"/>
      </rPr>
      <t xml:space="preserve">
Alcaldia de Pijao: </t>
    </r>
    <r>
      <rPr>
        <sz val="10"/>
        <color theme="1"/>
        <rFont val="Calibri"/>
        <family val="2"/>
        <scheme val="minor"/>
      </rPr>
      <t xml:space="preserve">Los representantes de los jovenes son miembros activos y participan en el comitè de salud municipal.
</t>
    </r>
    <r>
      <rPr>
        <b/>
        <sz val="10"/>
        <color theme="1"/>
        <rFont val="Calibri"/>
        <family val="2"/>
        <scheme val="minor"/>
      </rPr>
      <t>Alcaldía Calarcá</t>
    </r>
    <r>
      <rPr>
        <sz val="10"/>
        <color theme="1"/>
        <rFont val="Calibri"/>
        <family val="2"/>
        <scheme val="minor"/>
      </rPr>
      <t xml:space="preserve">: SE REFIERE AL ASEGURAMIENTO EN REGIMEN SUBSIDIADO D ELOS JÓVENES QUE CUMPLEN CON LOS REQUISITOS.  Cada tres meses se deben realizar encuestas a los jóvenes en calidad del servicio, cabe mencionar que de forma mensual se realizan 150 encuentras en la poblacion calarqueña.
</t>
    </r>
    <r>
      <rPr>
        <b/>
        <sz val="10"/>
        <color theme="1"/>
        <rFont val="Calibri"/>
        <family val="2"/>
        <scheme val="minor"/>
      </rPr>
      <t>Observación:</t>
    </r>
    <r>
      <rPr>
        <sz val="10"/>
        <color theme="1"/>
        <rFont val="Calibri"/>
        <family val="2"/>
        <scheme val="minor"/>
      </rPr>
      <t xml:space="preserve"> No se cuenta con información para verificar el cumplimineto de indcador, por consiguiente se conservaigual a reporte de trimestres anteriores.
</t>
    </r>
    <r>
      <rPr>
        <b/>
        <sz val="10"/>
        <color theme="1"/>
        <rFont val="Calibri"/>
        <family val="2"/>
        <scheme val="minor"/>
      </rPr>
      <t>Secretaría de Salud:</t>
    </r>
    <r>
      <rPr>
        <sz val="10"/>
        <color theme="1"/>
        <rFont val="Calibri"/>
        <family val="2"/>
        <scheme val="minor"/>
      </rPr>
      <t xml:space="preserve"> No reportó información</t>
    </r>
  </si>
  <si>
    <t xml:space="preserve">
$5.400.000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</si>
  <si>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t>
    </r>
  </si>
  <si>
    <r>
      <rPr>
        <b/>
        <sz val="10"/>
        <color theme="1"/>
        <rFont val="Calibri"/>
        <family val="2"/>
        <scheme val="minor"/>
      </rPr>
      <t xml:space="preserve">Alcaldía Filandia: </t>
    </r>
    <r>
      <rPr>
        <sz val="10"/>
        <color theme="1"/>
        <rFont val="Calibri"/>
        <family val="2"/>
        <scheme val="minor"/>
      </rPr>
      <t xml:space="preserve">Fomento del uso del Centro de Integración Ciudadana, en el cual un instructor de deportes realiza una clase de actividad física dirigida musicalizada
</t>
    </r>
    <r>
      <rPr>
        <b/>
        <sz val="10"/>
        <color theme="1"/>
        <rFont val="Calibri"/>
        <family val="2"/>
        <scheme val="minor"/>
      </rPr>
      <t>Alcaldía Circasia:</t>
    </r>
    <r>
      <rPr>
        <sz val="10"/>
        <color theme="1"/>
        <rFont val="Calibri"/>
        <family val="2"/>
        <scheme val="minor"/>
      </rPr>
      <t xml:space="preserve"> En la secretaria de gobierno y desarrollo social,con el coordinador de deportes se atendieron 900 mil jovenes, durante estos dos ultimos tres meses en los siguientes progremas: Voleibol-fulbol, torneo de voleibol, ciclimo y fulbol de salon garantizando los espacios de recreacion para la juventud.
</t>
    </r>
    <r>
      <rPr>
        <b/>
        <sz val="10"/>
        <color theme="1"/>
        <rFont val="Calibri"/>
        <family val="2"/>
        <scheme val="minor"/>
      </rPr>
      <t>Alcaldía Salento</t>
    </r>
    <r>
      <rPr>
        <sz val="10"/>
        <color theme="1"/>
        <rFont val="Calibri"/>
        <family val="2"/>
        <scheme val="minor"/>
      </rPr>
      <t xml:space="preserve">: La Subsecretaría de Cultura y Deporte reactivo las Escuelas de Formación Culturales y Deportivas a partir del mes de Septiembre de 2020.
</t>
    </r>
    <r>
      <rPr>
        <b/>
        <sz val="10"/>
        <color theme="1"/>
        <rFont val="Calibri"/>
        <family val="2"/>
        <scheme val="minor"/>
      </rPr>
      <t xml:space="preserve">Alcaldia de cordoba: </t>
    </r>
    <r>
      <rPr>
        <sz val="10"/>
        <color theme="1"/>
        <rFont val="Calibri"/>
        <family val="2"/>
        <scheme val="minor"/>
      </rPr>
      <t xml:space="preserve">se encuentran participando 20 jovenes en la modalidad de patinaje y 110 que participan en actividades fisicas como son: rumba terapia, musculación, aerobicos, gimnasia aeróbica,  participaron 33 jovenes en la modalidad de actividad fisica; ejecutando ejercicios aerobicos, musculacion, cardio y funcionales y 276 jovenes participaron en la modalidad de patinaje, ciclismo, natacion, microfutbol y futbol. 
</t>
    </r>
    <r>
      <rPr>
        <b/>
        <sz val="10"/>
        <color theme="1"/>
        <rFont val="Calibri"/>
        <family val="2"/>
        <scheme val="minor"/>
      </rPr>
      <t>Alcaldía de La Tebaida:</t>
    </r>
    <r>
      <rPr>
        <sz val="10"/>
        <color theme="1"/>
        <rFont val="Calibri"/>
        <family val="2"/>
        <scheme val="minor"/>
      </rPr>
      <t xml:space="preserve"> Para habitos de vida saludable se realizo talleres de motivacion en 5 barrios del municipio, tambiense realizaron presentaciones en danza y musica en el tetro y recorrido en los barrios. 
</t>
    </r>
    <r>
      <rPr>
        <b/>
        <sz val="10"/>
        <color theme="1"/>
        <rFont val="Calibri"/>
        <family val="2"/>
        <scheme val="minor"/>
      </rPr>
      <t>Alcaldía Quimbaya:</t>
    </r>
    <r>
      <rPr>
        <sz val="10"/>
        <color theme="1"/>
        <rFont val="Calibri"/>
        <family val="2"/>
        <scheme val="minor"/>
      </rPr>
      <t xml:space="preserve"> MONITORIA DE ACTIVIDAD FISICA PARA JOVENES Y MONITORIA DE RECREACION PARA JOVENES.
</t>
    </r>
    <r>
      <rPr>
        <b/>
        <sz val="10"/>
        <color theme="1"/>
        <rFont val="Calibri"/>
        <family val="2"/>
        <scheme val="minor"/>
      </rPr>
      <t>Alcaldía Montenegro</t>
    </r>
    <r>
      <rPr>
        <sz val="10"/>
        <color theme="1"/>
        <rFont val="Calibri"/>
        <family val="2"/>
        <scheme val="minor"/>
      </rPr>
      <t xml:space="preserve">: Se implementa por temas de pandemia la estrategia cuadras activas fortaleciendo los hevs.
</t>
    </r>
    <r>
      <rPr>
        <b/>
        <sz val="10"/>
        <color theme="1"/>
        <rFont val="Calibri"/>
        <family val="2"/>
        <scheme val="minor"/>
      </rPr>
      <t>Alcaldia de Pijao:</t>
    </r>
    <r>
      <rPr>
        <sz val="10"/>
        <color theme="1"/>
        <rFont val="Calibri"/>
        <family val="2"/>
        <scheme val="minor"/>
      </rPr>
      <t xml:space="preserve">  Implementacion y desarrollo del proyecto HABITOS Y ESTILOS DE VIDA SALUDABLES PARA EL BUEN USO DEL TIEMPO LIBRE con el acompañamiento del equipo interdisciplinario, con escuelas o clases de formacion, en Patinaje, futbol, basquetball, natacion.
</t>
    </r>
    <r>
      <rPr>
        <b/>
        <sz val="10"/>
        <color theme="1"/>
        <rFont val="Calibri"/>
        <family val="2"/>
        <scheme val="minor"/>
      </rPr>
      <t>Alcaldía Calarcá:</t>
    </r>
    <r>
      <rPr>
        <sz val="10"/>
        <color theme="1"/>
        <rFont val="Calibri"/>
        <family val="2"/>
        <scheme val="minor"/>
      </rPr>
      <t xml:space="preserve">  lo anterior se realiza mediante el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 xml:space="preserve">
Indeprotes</t>
    </r>
    <r>
      <rPr>
        <sz val="10"/>
        <color theme="1"/>
        <rFont val="Calibri"/>
        <family val="2"/>
        <scheme val="minor"/>
      </rPr>
      <t xml:space="preserve">: No Reportó información información asociada.
</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</si>
  <si>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
</t>
    </r>
    <r>
      <rPr>
        <b/>
        <sz val="10"/>
        <color theme="1"/>
        <rFont val="Calibri"/>
        <family val="2"/>
        <scheme val="minor"/>
      </rPr>
      <t xml:space="preserve">Secretaría deFamilia: </t>
    </r>
    <r>
      <rPr>
        <sz val="10"/>
        <color theme="1"/>
        <rFont val="Calibri"/>
        <family val="2"/>
        <scheme val="minor"/>
      </rPr>
      <t>No reportó información.</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</si>
  <si>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t>
    </r>
  </si>
  <si>
    <r>
      <t xml:space="preserve">
</t>
    </r>
    <r>
      <rPr>
        <b/>
        <sz val="10"/>
        <color theme="1"/>
        <rFont val="Calibri"/>
        <family val="2"/>
        <scheme val="minor"/>
      </rPr>
      <t xml:space="preserve">Secretaría del Interior: </t>
    </r>
    <r>
      <rPr>
        <sz val="10"/>
        <color theme="1"/>
        <rFont val="Calibri"/>
        <family val="2"/>
        <scheme val="minor"/>
      </rPr>
      <t xml:space="preserve">Se actualizó e implementó el Plan Integral de Seguridad y Convivencia Ciudadana (PISCC).
 </t>
    </r>
  </si>
  <si>
    <r>
      <rPr>
        <b/>
        <sz val="10"/>
        <color theme="1"/>
        <rFont val="Calibri"/>
        <family val="2"/>
        <scheme val="minor"/>
      </rPr>
      <t xml:space="preserve">Secretaría del Interior: </t>
    </r>
    <r>
      <rPr>
        <sz val="10"/>
        <color theme="1"/>
        <rFont val="Calibri"/>
        <family val="2"/>
        <scheme val="minor"/>
      </rPr>
      <t>Se brindó Asistencia a las Instituciones del orden municipal, como Inspecciones Municipales y comisarías de Familia (Operadores de Servicios de Justicia), en total fueron ocho (08) Municipios asistidos (Calarcá, Quimbaya, Filandia, Tebaida, Génova, Pijao, Córdoba y Buenavista).</t>
    </r>
  </si>
  <si>
    <r>
      <rPr>
        <b/>
        <sz val="10"/>
        <color theme="1"/>
        <rFont val="Calibri"/>
        <family val="2"/>
        <scheme val="minor"/>
      </rPr>
      <t>Secretaría del Interior:</t>
    </r>
    <r>
      <rPr>
        <sz val="10"/>
        <color theme="1"/>
        <rFont val="Calibri"/>
        <family val="2"/>
        <scheme val="minor"/>
      </rPr>
      <t xml:space="preserve">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t>
    </r>
    <r>
      <rPr>
        <b/>
        <sz val="10"/>
        <color theme="1"/>
        <rFont val="Calibri"/>
        <family val="2"/>
        <scheme val="minor"/>
      </rPr>
      <t>Observación</t>
    </r>
    <r>
      <rPr>
        <sz val="10"/>
        <color theme="1"/>
        <rFont val="Calibri"/>
        <family val="2"/>
        <scheme val="minor"/>
      </rPr>
      <t>: en la pagina de Forensis de medicina legal se reportan datos solamente hasta el 2019. SE PONE EL INDICADOR EN CERO POR QUE LA TASA ESTA POR ENCIMA DE LA MEDIA NACIONAL</t>
    </r>
  </si>
  <si>
    <r>
      <t xml:space="preserve">
</t>
    </r>
    <r>
      <rPr>
        <b/>
        <sz val="10"/>
        <color theme="1"/>
        <rFont val="Calibri"/>
        <family val="2"/>
        <scheme val="minor"/>
      </rPr>
      <t xml:space="preserve">Instituto departamental de Tránsito Quindío "IDTQ":  </t>
    </r>
    <r>
      <rPr>
        <sz val="10"/>
        <color theme="1"/>
        <rFont val="Calibri"/>
        <family val="2"/>
        <scheme val="minor"/>
      </rPr>
      <t xml:space="preserve">Se formuló un programa de señalización y demarcación en la vigencia 2020 basado en un diagnostico y aforo de la demarcacion y señalizacion en el departamento en las vias de jurisdiccion del IDTQ con el ánimo de reducir la siniestralidad de tránsito y las muertes de jóvenes por esta causa. Asi mismo se adelantaron acciones de demarcación, control del transito y educación vial.
</t>
    </r>
    <r>
      <rPr>
        <b/>
        <sz val="10"/>
        <color theme="1"/>
        <rFont val="Calibri"/>
        <family val="2"/>
        <scheme val="minor"/>
      </rPr>
      <t>Secretaria de Transito  y Transporte de Armenia "SETTA"</t>
    </r>
    <r>
      <rPr>
        <sz val="10"/>
        <color theme="1"/>
        <rFont val="Calibri"/>
        <family val="2"/>
        <scheme val="minor"/>
      </rPr>
      <t xml:space="preserve">:  en contribucion a  disminuir la accidentalidad en el Municipio de Armenia ha desarrollado las siguientes actividadesentre el 1 de enero y el 31 de Diciembre de 2020  (se anexa informe detallado) . En su programa de cultura vial y Educacion Ciudadana ha realizado 245 intervenciones que han beneficiado a 45063 personas (peatones, motociclistas, conductores de vehiculos,, ciclistas, estudiantes y pasajeros) del Municipio de Armenia..  En su programa de Operativos realizados por los Agentes de Transito se han realizado 477 operativos relacionados con documentos, piques ilegales, transporte informal, estacionamiento, servicio publico escolar y fuera de horario. En cuanto al programa de señalizacion se han señalizado  aproximadamente 1610 metros cuadrados  en : Barrio Galan, calle 50 desde la glorieta puerto espejo hasta la fachada, Sector Parque Valencia, Sector Fudanza, entre otros.  En todas las actividades se recomiendan las medidas de bioseguridad que se deben tener en cuenta para  contrarestar la expansion del COVID-19.   Cabe anotar que estas mismas actividades contribuyen  a la Potica Publica Publica Juventud de Armenia "jovenes construyendo ciudad 2014-2023" del Municipio de Armenia.
</t>
    </r>
    <r>
      <rPr>
        <b/>
        <sz val="10"/>
        <color theme="1"/>
        <rFont val="Calibri"/>
        <family val="2"/>
        <scheme val="minor"/>
      </rPr>
      <t xml:space="preserve">
Observación: </t>
    </r>
    <r>
      <rPr>
        <sz val="10"/>
        <color theme="1"/>
        <rFont val="Calibri"/>
        <family val="2"/>
        <scheme val="minor"/>
      </rPr>
      <t xml:space="preserve">en la pagina de Forensis de medicina legal se reportan datos solamente hasta el 2019. SE PONE EL INDICADOR EN CERO POR QUE LA TASA ESTA POR ENCIMA DE LA MEDIA NACIONAL
</t>
    </r>
  </si>
  <si>
    <r>
      <rPr>
        <b/>
        <sz val="10"/>
        <color theme="1"/>
        <rFont val="Calibri"/>
        <family val="2"/>
        <scheme val="minor"/>
      </rPr>
      <t>Secretaría del Interior:</t>
    </r>
    <r>
      <rPr>
        <sz val="10"/>
        <color theme="1"/>
        <rFont val="Calibri"/>
        <family val="2"/>
        <scheme val="minor"/>
      </rPr>
      <t xml:space="preserve"> No Reportó información.
Observación: en la pagina de Forensis de medicina legal se reportan datos solamente hasta el 2019. SE PONE EL INDICADOR EN CERO POR QUE LA TASA ESTA POR ENCIMA DE LA MEDIA NACIONAL</t>
    </r>
  </si>
  <si>
    <t>0 %</t>
  </si>
  <si>
    <r>
      <rPr>
        <b/>
        <sz val="10"/>
        <color theme="1"/>
        <rFont val="Calibri"/>
        <family val="2"/>
        <scheme val="minor"/>
      </rPr>
      <t xml:space="preserve">Observación: </t>
    </r>
    <r>
      <rPr>
        <sz val="10"/>
        <color theme="1"/>
        <rFont val="Calibri"/>
        <family val="2"/>
        <scheme val="minor"/>
      </rPr>
      <t xml:space="preserve">La secretaria de familia no reporto información al respecto, ademas la política HAZ PAZ ya no esta vigente.
</t>
    </r>
    <r>
      <rPr>
        <b/>
        <sz val="10"/>
        <color theme="1"/>
        <rFont val="Calibri"/>
        <family val="2"/>
        <scheme val="minor"/>
      </rPr>
      <t>Secretaría deFamilia:</t>
    </r>
    <r>
      <rPr>
        <sz val="10"/>
        <color theme="1"/>
        <rFont val="Calibri"/>
        <family val="2"/>
        <scheme val="minor"/>
      </rPr>
      <t xml:space="preserve"> No reportó información.</t>
    </r>
  </si>
  <si>
    <r>
      <rPr>
        <b/>
        <sz val="10"/>
        <color theme="1"/>
        <rFont val="Calibri"/>
        <family val="2"/>
        <scheme val="minor"/>
      </rPr>
      <t xml:space="preserve">Secretaría del Interior: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verfica en Forensis que el indicador esta por debajo de la media nacional, por tanto el indicador se cumple.</t>
    </r>
  </si>
  <si>
    <r>
      <rPr>
        <b/>
        <sz val="10"/>
        <color theme="1"/>
        <rFont val="Calibri"/>
        <family val="2"/>
        <scheme val="minor"/>
      </rPr>
      <t xml:space="preserve">Secretaría de Salud: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La secretaría de educación no entrego el reporte correspondiente al segundo semestre de 2020</t>
    </r>
  </si>
  <si>
    <r>
      <rPr>
        <b/>
        <sz val="10"/>
        <color theme="1"/>
        <rFont val="Calibri"/>
        <family val="2"/>
        <scheme val="minor"/>
      </rPr>
      <t>Observación:</t>
    </r>
    <r>
      <rPr>
        <sz val="10"/>
        <color theme="1"/>
        <rFont val="Calibri"/>
        <family val="2"/>
        <scheme val="minor"/>
      </rPr>
      <t xml:space="preserve"> Según el observatorio de Drogas los ultimos datos corresponden al año 2013 y el quindio se situa por encima de la media nacional.
</t>
    </r>
    <r>
      <rPr>
        <b/>
        <sz val="10"/>
        <color theme="1"/>
        <rFont val="Calibri"/>
        <family val="2"/>
        <scheme val="minor"/>
      </rPr>
      <t xml:space="preserve">
Secretaría del Familia:</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xml:space="preserve"> No Reportó información.</t>
    </r>
  </si>
  <si>
    <r>
      <t xml:space="preserve">Secretaría de Salud: </t>
    </r>
    <r>
      <rPr>
        <sz val="10"/>
        <color theme="1"/>
        <rFont val="Calibri"/>
        <family val="2"/>
        <scheme val="minor"/>
      </rPr>
      <t>No Reportó información.</t>
    </r>
    <r>
      <rPr>
        <b/>
        <sz val="10"/>
        <color theme="1"/>
        <rFont val="Calibri"/>
        <family val="2"/>
        <scheme val="minor"/>
      </rPr>
      <t xml:space="preserve">
Secretaría Familia: </t>
    </r>
    <r>
      <rPr>
        <sz val="10"/>
        <color theme="1"/>
        <rFont val="Calibri"/>
        <family val="2"/>
        <scheme val="minor"/>
      </rPr>
      <t>No Reportó información.</t>
    </r>
    <r>
      <rPr>
        <b/>
        <sz val="10"/>
        <color theme="1"/>
        <rFont val="Calibri"/>
        <family val="2"/>
        <scheme val="minor"/>
      </rPr>
      <t xml:space="preserve">
Observación: </t>
    </r>
    <r>
      <rPr>
        <sz val="10"/>
        <color theme="1"/>
        <rFont val="Calibri"/>
        <family val="2"/>
        <scheme val="minor"/>
      </rPr>
      <t>Se verifica en la plataforma JUACO los datos correspondientes al año 2017 y se observa al quindio por debajo de la media nacional.</t>
    </r>
  </si>
  <si>
    <t xml:space="preserve">
$17.050.000
 $4.000.000
$87.000.000
</t>
  </si>
  <si>
    <t xml:space="preserve">
 $10.125.000
 $87.000.000</t>
  </si>
  <si>
    <r>
      <rPr>
        <b/>
        <sz val="10"/>
        <color theme="1"/>
        <rFont val="Calibri"/>
        <family val="2"/>
        <scheme val="minor"/>
      </rPr>
      <t xml:space="preserve">Alcaldía de La Tebaida: </t>
    </r>
    <r>
      <rPr>
        <sz val="10"/>
        <color theme="1"/>
        <rFont val="Calibri"/>
        <family val="2"/>
        <scheme val="minor"/>
      </rPr>
      <t xml:space="preserve">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Alcaldia de Montenegro:</t>
    </r>
    <r>
      <rPr>
        <sz val="10"/>
        <color theme="1"/>
        <rFont val="Calibri"/>
        <family val="2"/>
        <scheme val="minor"/>
      </rPr>
      <t xml:space="preserve"> se han realizado campeonatos de futbol sala, baloncesto y patinaje 
</t>
    </r>
    <r>
      <rPr>
        <b/>
        <sz val="10"/>
        <color theme="1"/>
        <rFont val="Calibri"/>
        <family val="2"/>
        <scheme val="minor"/>
      </rPr>
      <t xml:space="preserve">
Alcaldía de Circasia:</t>
    </r>
    <r>
      <rPr>
        <sz val="10"/>
        <color theme="1"/>
        <rFont val="Calibri"/>
        <family val="2"/>
        <scheme val="minor"/>
      </rPr>
      <t xml:space="preserve"> En el momento en la administracion Municipal se encuentra en procesos de planificacion y armonizacion del plan de desarrollo 
</t>
    </r>
    <r>
      <rPr>
        <b/>
        <sz val="10"/>
        <color theme="1"/>
        <rFont val="Calibri"/>
        <family val="2"/>
        <scheme val="minor"/>
      </rPr>
      <t xml:space="preserve">
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 xml:space="preserve">
Alcaldía Filandia: </t>
    </r>
    <r>
      <rPr>
        <sz val="10"/>
        <color theme="1"/>
        <rFont val="Calibri"/>
        <family val="2"/>
        <scheme val="minor"/>
      </rPr>
      <t xml:space="preserve">Realización de torneos deportivos que iniciaron en el mes de marzo pero que, debido a la emergencia sanitaria, debieron ser postergados
</t>
    </r>
    <r>
      <rPr>
        <b/>
        <sz val="10"/>
        <color theme="1"/>
        <rFont val="Calibri"/>
        <family val="2"/>
        <scheme val="minor"/>
      </rPr>
      <t xml:space="preserve">Alcaldía Quimbaya: </t>
    </r>
    <r>
      <rPr>
        <sz val="10"/>
        <color theme="1"/>
        <rFont val="Calibri"/>
        <family val="2"/>
        <scheme val="minor"/>
      </rPr>
      <t xml:space="preserve">MONITORIA DE ACTIVIDAD FISICA Y MONITORIA ATLETISMO AL IGUAL QUE EL ACOMPAÑAMIENTO DE LA GOBERNACION POR CAMPAMENTOS JUVENILES 
</t>
    </r>
    <r>
      <rPr>
        <b/>
        <sz val="10"/>
        <color theme="1"/>
        <rFont val="Calibri"/>
        <family val="2"/>
        <scheme val="minor"/>
      </rPr>
      <t xml:space="preserve">Alcaldía de Armenia: </t>
    </r>
    <r>
      <rPr>
        <sz val="10"/>
        <color theme="1"/>
        <rFont val="Calibri"/>
        <family val="2"/>
        <scheme val="minor"/>
      </rPr>
      <t xml:space="preserve">EN RELACION A LOS JUEGOS INTERCOLEGIADOS SE REALIZO DE MANERA VIRTUAL LA FASE MUNICIPAL TENIENDO UNA PARTICIPACION DE 387 JOVENES .  EN CUANTO A LOS JUEGOS COMUNALES COMUNITARIOS Y VEREDALES SE LLEVARON A CABO EN LOS BARRIOS DE LAS DIFERENTES COMUNAS DE ARMENIA EN CADA CASA DONDE LAS PERSONAS DESDE EL JARDIN PARTICIPARON DE LAS ACTIVIDADES RECREODEPORTIVAS Y DESDE EL MES DE NOVIEMBRE SE REALIZARON ADEMAS EN LAS PLACAS DEPORTIVAS, PRUEBAS DE HABILIDADES DEPORTIVAS EN BALONCESTO, VOLEIBOL Y FUTBOL CON LAS MEDIDAS DE BIOSEGURIDAD, SE  ATENDIERON 522 JOVENES.
SE OBSERVA QUE NO HAY UNA COHERENCIA ENTRE LAS COLUMNAS DENOMINADAS: ACCIONES RECOMENDADAS - INDICADORES Y LA META PUES NO CORRESPONDE EL UNO CON EL OTRO, SUGERIMOS DESDE EL IMDERA QUE SE DEBE REESTRUCTURAR ESTE PLAN DE ACCION PARA QUE SE DE LA CORRELACION ENTRE LAS COLUMNAS MENCIONADAS.  SIN EMBARGO LES ENVIAMOS LA INFORMACION QUE DESDE EL INSTITUTO TENEMOS PARA ESAS ACCIONES.
</t>
    </r>
    <r>
      <rPr>
        <b/>
        <sz val="10"/>
        <color theme="1"/>
        <rFont val="Calibri"/>
        <family val="2"/>
        <scheme val="minor"/>
      </rPr>
      <t xml:space="preserve">Alcaldia de Córdoba: </t>
    </r>
    <r>
      <rPr>
        <sz val="10"/>
        <color theme="1"/>
        <rFont val="Calibri"/>
        <family val="2"/>
        <scheme val="minor"/>
      </rPr>
      <t xml:space="preserve">no realizo eventos deportivos o festivales debido a la actual pandemia que sobrepasa el mundo y el pais el virus COVID-1;  La Administracion municipal no realizo torneos, olimpiadas y encuentros deportivos con los jovenes debido a la emergencia sanirtaria COVID-19. Mas sinembargo se realizaron entrenamientos y practica deportiva mediante las escuelas de formacion.  
</t>
    </r>
    <r>
      <rPr>
        <b/>
        <sz val="10"/>
        <color theme="1"/>
        <rFont val="Calibri"/>
        <family val="2"/>
        <scheme val="minor"/>
      </rPr>
      <t xml:space="preserve">
Indeportes: </t>
    </r>
    <r>
      <rPr>
        <sz val="10"/>
        <color theme="1"/>
        <rFont val="Calibri"/>
        <family val="2"/>
        <scheme val="minor"/>
      </rPr>
      <t>No Reportó información.</t>
    </r>
    <r>
      <rPr>
        <b/>
        <sz val="10"/>
        <color theme="1"/>
        <rFont val="Calibri"/>
        <family val="2"/>
        <scheme val="minor"/>
      </rPr>
      <t xml:space="preserve">
Observación:</t>
    </r>
    <r>
      <rPr>
        <sz val="10"/>
        <color theme="1"/>
        <rFont val="Calibri"/>
        <family val="2"/>
        <scheme val="minor"/>
      </rPr>
      <t xml:space="preserve"> No se puede determinar el porcentaje de avance del indicador por que no tiene meta para el 2020.</t>
    </r>
  </si>
  <si>
    <t xml:space="preserve">
 $80.000.000
</t>
  </si>
  <si>
    <t>$1,817,200</t>
  </si>
  <si>
    <r>
      <rPr>
        <b/>
        <sz val="10"/>
        <color theme="1"/>
        <rFont val="Calibri"/>
        <family val="2"/>
        <scheme val="minor"/>
      </rPr>
      <t>Alcaldía de La Tebaida:</t>
    </r>
    <r>
      <rPr>
        <sz val="10"/>
        <color theme="1"/>
        <rFont val="Calibri"/>
        <family val="2"/>
        <scheme val="minor"/>
      </rPr>
      <t xml:space="preserve"> Alcaldía de La Tebaida: se contó con dos representantes en  zonal Nacional en simultanea virtual de pesas en categoría pre juvenil. Se han apoyado 35 deportistas entre nadadores, tenis de campo, levantamiento de pesas, bádminton y hapquido. Con apoyo en infraestructura deportiva.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Alcaldia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elaboracion del plan deportivo para  la comunidad.
</t>
    </r>
    <r>
      <rPr>
        <b/>
        <sz val="10"/>
        <color theme="1"/>
        <rFont val="Calibri"/>
        <family val="2"/>
        <scheme val="minor"/>
      </rPr>
      <t>Alcaldía de Pijao:</t>
    </r>
    <r>
      <rPr>
        <sz val="10"/>
        <color theme="1"/>
        <rFont val="Calibri"/>
        <family val="2"/>
        <scheme val="minor"/>
      </rPr>
      <t xml:space="preserve"> 2 deportistas de alto rendimiento apoyados.
</t>
    </r>
    <r>
      <rPr>
        <b/>
        <sz val="10"/>
        <color theme="1"/>
        <rFont val="Calibri"/>
        <family val="2"/>
        <scheme val="minor"/>
      </rPr>
      <t xml:space="preserve">Alcaldía Filandia: </t>
    </r>
    <r>
      <rPr>
        <sz val="10"/>
        <color theme="1"/>
        <rFont val="Calibri"/>
        <family val="2"/>
        <scheme val="minor"/>
      </rPr>
      <t xml:space="preserve">Se ha promovido el apoyo con transporte a deportistas de alto renndimiento
</t>
    </r>
    <r>
      <rPr>
        <b/>
        <sz val="10"/>
        <color theme="1"/>
        <rFont val="Calibri"/>
        <family val="2"/>
        <scheme val="minor"/>
      </rPr>
      <t>Alcaldía Quimbaya:</t>
    </r>
    <r>
      <rPr>
        <sz val="10"/>
        <color theme="1"/>
        <rFont val="Calibri"/>
        <family val="2"/>
        <scheme val="minor"/>
      </rPr>
      <t xml:space="preserve"> ESTA EN PROCESO DE COMPRA DE IMPLEMENTOS PARA DEPORTISTAS DE ALTO RENDIMIENTO QUE SE ENCUENTRAN PREPARANDOSE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ASOCIACION CON LA LIGA DE FUTBOL DEL QUINDIO, ACORD Y LA LIGA DE VOLEIBOL DEL QUINDIO PARA APOYOS ECONOMICOS, CON LO CUAL SE HAN BENEFICIADO APROXIMADAMENTEV90 DEPORTISTAS  DE ESTOS ENTES PARA LA PARTICIPACION EN DIFERENTES TORNEOS Y COMPETENCIAS Y EVENTOS.  Este año ha sido complejo el apoyo a los clubes deportivos por la situacion de salud que vive el pais, ya que el deporte competitivo aun no se ha reactivado completamente.
</t>
    </r>
    <r>
      <rPr>
        <b/>
        <sz val="10"/>
        <color theme="1"/>
        <rFont val="Calibri"/>
        <family val="2"/>
        <scheme val="minor"/>
      </rPr>
      <t>Indeportes:</t>
    </r>
    <r>
      <rPr>
        <sz val="10"/>
        <color theme="1"/>
        <rFont val="Calibri"/>
        <family val="2"/>
        <scheme val="minor"/>
      </rPr>
      <t xml:space="preserve"> No Reportó información.</t>
    </r>
  </si>
  <si>
    <r>
      <rPr>
        <b/>
        <sz val="10"/>
        <color theme="1"/>
        <rFont val="Calibri"/>
        <family val="2"/>
        <scheme val="minor"/>
      </rPr>
      <t xml:space="preserve">Indeportes: </t>
    </r>
    <r>
      <rPr>
        <sz val="10"/>
        <color theme="1"/>
        <rFont val="Calibri"/>
        <family val="2"/>
        <scheme val="minor"/>
      </rPr>
      <t>No Reportó información.</t>
    </r>
  </si>
  <si>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
</t>
    </r>
    <r>
      <rPr>
        <b/>
        <sz val="10"/>
        <color theme="1"/>
        <rFont val="Calibri"/>
        <family val="2"/>
        <scheme val="minor"/>
      </rPr>
      <t xml:space="preserve">
Alcaldía Salento: </t>
    </r>
    <r>
      <rPr>
        <sz val="10"/>
        <color theme="1"/>
        <rFont val="Calibri"/>
        <family val="2"/>
        <scheme val="minor"/>
      </rPr>
      <t xml:space="preserve">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minimo 60 minutos de actividad fisica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delos cuales realizan baloncesto, patinaje y aeróbicos en los barrios nueva tebiada, Anapoima, cantarito, pisamos coliseo. Impactando a la población infantil y juvenil de estas áreas. Además, se articuló con Indeportes Quindío se llevó a sectores como la Silvia, nueva tebaida segunda etapa y al sector rural.
</t>
    </r>
    <r>
      <rPr>
        <b/>
        <sz val="10"/>
        <color theme="1"/>
        <rFont val="Calibri"/>
        <family val="2"/>
        <scheme val="minor"/>
      </rPr>
      <t xml:space="preserve">Alcaldía Quimbaya: </t>
    </r>
    <r>
      <rPr>
        <sz val="10"/>
        <color theme="1"/>
        <rFont val="Calibri"/>
        <family val="2"/>
        <scheme val="minor"/>
      </rPr>
      <t xml:space="preserve"> CONTAMOS CON APOYO DE LA GOBERNACION CON EL PROGRAMA DEPORTE SOCIAL COMUNITARIO . CON UN MONITOR QUE REALIZA LAS ACTIVIDADES.
</t>
    </r>
    <r>
      <rPr>
        <b/>
        <sz val="10"/>
        <color theme="1"/>
        <rFont val="Calibri"/>
        <family val="2"/>
        <scheme val="minor"/>
      </rPr>
      <t xml:space="preserve">Alcaldía Córdoba: </t>
    </r>
    <r>
      <rPr>
        <sz val="10"/>
        <color theme="1"/>
        <rFont val="Calibri"/>
        <family val="2"/>
        <scheme val="minor"/>
      </rPr>
      <t xml:space="preserve">se reporta 60 niños menores de edad que intervienen como minimo 60 minutos diarios de actividad fisica de intensidad moderada a vigorosa; participaron 276 niños que practican actividad fisica y deporte en el municipio mediante las escuelas de formacion.  
</t>
    </r>
    <r>
      <rPr>
        <b/>
        <sz val="10"/>
        <color theme="1"/>
        <rFont val="Calibri"/>
        <family val="2"/>
        <scheme val="minor"/>
      </rPr>
      <t xml:space="preserve">
Alcaldía de Calarca:</t>
    </r>
    <r>
      <rPr>
        <sz val="10"/>
        <color theme="1"/>
        <rFont val="Calibri"/>
        <family val="2"/>
        <scheme val="minor"/>
      </rPr>
      <t xml:space="preserve">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</si>
  <si>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realizo atencion comuntaria con una participacion de 139 personas y escuelas depòrtivas con 115 personas. 
</t>
    </r>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ciclismo y futbol de salon garantizando los espacios de recreacion para la juventud,domingo activo.
</t>
    </r>
    <r>
      <rPr>
        <b/>
        <sz val="10"/>
        <color theme="1"/>
        <rFont val="Calibri"/>
        <family val="2"/>
        <scheme val="minor"/>
      </rPr>
      <t>Alcaldía de Armenia:</t>
    </r>
    <r>
      <rPr>
        <sz val="10"/>
        <color theme="1"/>
        <rFont val="Calibri"/>
        <family val="2"/>
        <scheme val="minor"/>
      </rPr>
      <t xml:space="preserve"> EN CUANTO A LA EJECUCION DE LAS ACCIONES, HASTA EL MES DE AGOSTO LAS ACCIONES SE LLEVARON A CABO DE MANERA VIRTUAL EN DONDE LOS ENTRENADORES DE CADA DISCIPLINA ENVIABAN VIDEOS O HACIAN CLASES EN VIVO CON LAS ACTIVIDADES A LOS GRUPOS QUE SE TIENEN CONSOLIDADOS POR MEDIO DE WHATSAPP Y ASI MISMO SE  PUBLICARON SEMANALMENTE VIDEOS CON ACTIVIDADES DEPORTIVAS EN EL FACEBOOK DEL IMDERA.  LO ANTERIOR DEBIDO A LA SITUACION DE SALUD QUE HA VIVIDO EL PAIS,  TAN PRONTO EL GOBIERNO HA AUTORIZADO LA PRACTICA DEPORTIVA, SE HAN IDO MODIFICANDO LAS ACCIONES CONTINUANDO SOLO EN LO VIRTUAL PARA LOS DEPORTISTAS EN SITUACION EN DISCAPACIDAD, LO CONVENCIONAL YA SE ESTA  DESARROLLANDO  DE MANERA PRESENCIAL CON LOS PARAMETROS ESTABLECIDOS, EN ESTE CASO YA DESDE EL MES DE SEPTIEMBRE SE RETOMARON LAS CLASES PRESENCIALES CON TODAS LAS MEDIDAS DE BIOSEGURIDAD Y SIGUIENDO LOS PROTOCOLOS DETERMINADOS POR EL GOBIERNO.  HASTA EL MES DE DICIEMBRE EL IMDERA ATENDIO 700  JOVENES EN ESCUELAS DEPORTIVAS CONTANDO CON 18 DISCIPLINAS DEPORTIVAS.
31 entrenadores contratados
</t>
    </r>
    <r>
      <rPr>
        <b/>
        <sz val="10"/>
        <color theme="1"/>
        <rFont val="Calibri"/>
        <family val="2"/>
        <scheme val="minor"/>
      </rPr>
      <t>Alcaldía Pijao:</t>
    </r>
    <r>
      <rPr>
        <sz val="10"/>
        <color theme="1"/>
        <rFont val="Calibri"/>
        <family val="2"/>
        <scheme val="minor"/>
      </rPr>
      <t xml:space="preserve"> 25  practican juegos no convencionales con el acompañamiento monitorial.
</t>
    </r>
    <r>
      <rPr>
        <b/>
        <sz val="10"/>
        <color theme="1"/>
        <rFont val="Calibri"/>
        <family val="2"/>
        <scheme val="minor"/>
      </rPr>
      <t xml:space="preserve">Alcaldía Quimbaya: </t>
    </r>
    <r>
      <rPr>
        <sz val="10"/>
        <color theme="1"/>
        <rFont val="Calibri"/>
        <family val="2"/>
        <scheme val="minor"/>
      </rPr>
      <t xml:space="preserve">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Alcaldia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Indeportes: </t>
    </r>
    <r>
      <rPr>
        <sz val="10"/>
        <color theme="1"/>
        <rFont val="Calibri"/>
        <family val="2"/>
        <scheme val="minor"/>
      </rPr>
      <t>No Reportó información.</t>
    </r>
  </si>
  <si>
    <r>
      <t xml:space="preserve">Secretaria de turismo, industria y comercio: </t>
    </r>
    <r>
      <rPr>
        <sz val="10"/>
        <color theme="1"/>
        <rFont val="Calibri"/>
        <family val="2"/>
        <scheme val="minor"/>
      </rPr>
      <t>No Reportó información</t>
    </r>
  </si>
  <si>
    <r>
      <t xml:space="preserve">Secretaría de Cultura: </t>
    </r>
    <r>
      <rPr>
        <sz val="10"/>
        <color theme="1"/>
        <rFont val="Calibri"/>
        <family val="2"/>
        <scheme val="minor"/>
      </rPr>
      <t xml:space="preserve"> Se realizo la convocatoria de estimulos 2020, en cual se logro entregar dos estimulos a jovenes y se logro impactar  5 jovenes. 
</t>
    </r>
    <r>
      <rPr>
        <b/>
        <sz val="10"/>
        <color theme="1"/>
        <rFont val="Calibri"/>
        <family val="2"/>
        <scheme val="minor"/>
      </rPr>
      <t xml:space="preserve">
</t>
    </r>
  </si>
  <si>
    <r>
      <t xml:space="preserve">Secretaría de Cultura:  </t>
    </r>
    <r>
      <rPr>
        <sz val="10"/>
        <color theme="1"/>
        <rFont val="Calibri"/>
        <family val="2"/>
        <scheme val="minor"/>
      </rPr>
      <t xml:space="preserve">54 Organizaciónes participaron y desarrollaron susu proyectos dentro de la convocaoria de concertacion departamental 2020, de los cuales, el  porcetaje total de participacion de jovenes  fue de un 27%    </t>
    </r>
  </si>
  <si>
    <r>
      <t xml:space="preserve">Secretaría de Cultura: * </t>
    </r>
    <r>
      <rPr>
        <sz val="10"/>
        <color theme="1"/>
        <rFont val="Calibri"/>
        <family val="2"/>
        <scheme val="minor"/>
      </rPr>
      <t>Se elimino ese indicador</t>
    </r>
    <r>
      <rPr>
        <b/>
        <sz val="10"/>
        <color theme="1"/>
        <rFont val="Calibri"/>
        <family val="2"/>
        <scheme val="minor"/>
      </rPr>
      <t xml:space="preserve">
</t>
    </r>
  </si>
  <si>
    <r>
      <t xml:space="preserve">Secretaría de Cultura:  </t>
    </r>
    <r>
      <rPr>
        <sz val="10"/>
        <color theme="1"/>
        <rFont val="Calibri"/>
        <family val="2"/>
        <scheme val="minor"/>
      </rPr>
      <t xml:space="preserve">Se apoyo la ONG semillitas para el fortalecimiento de la poblacion infantil  diferencial con un impacto a 300 jovenes  con el  "Festival 12 concetados con el arte especial   en condicion especial" </t>
    </r>
  </si>
  <si>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 xml:space="preserve">Secretaría de Comunicaciones: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</si>
  <si>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rPr>
        <b/>
        <sz val="10"/>
        <color theme="1"/>
        <rFont val="Calibri"/>
        <family val="2"/>
        <scheme val="minor"/>
      </rPr>
      <t>EAM:</t>
    </r>
    <r>
      <rPr>
        <sz val="10"/>
        <color theme="1"/>
        <rFont val="Calibri"/>
        <family val="2"/>
        <scheme val="minor"/>
      </rPr>
      <t xml:space="preserve"> actualmente no se hay semilleros que manejen la tematica de juventudes.
</t>
    </r>
    <r>
      <rPr>
        <b/>
        <sz val="10"/>
        <color theme="1"/>
        <rFont val="Calibri"/>
        <family val="2"/>
        <scheme val="minor"/>
      </rPr>
      <t>Secretaría Educación</t>
    </r>
    <r>
      <rPr>
        <sz val="10"/>
        <color theme="1"/>
        <rFont val="Calibri"/>
        <family val="2"/>
        <scheme val="minor"/>
      </rPr>
      <t xml:space="preserve">: No Reportó información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</si>
  <si>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t xml:space="preserve">EAM: </t>
    </r>
    <r>
      <rPr>
        <sz val="10"/>
        <color theme="1"/>
        <rFont val="Calibri"/>
        <family val="2"/>
        <scheme val="minor"/>
      </rPr>
      <t xml:space="preserve">hay una profesionalizacion en software y se ofrece una maestria en planeacion estrategica </t>
    </r>
    <r>
      <rPr>
        <b/>
        <sz val="10"/>
        <color theme="1"/>
        <rFont val="Calibri"/>
        <family val="2"/>
        <scheme val="minor"/>
      </rPr>
      <t xml:space="preserve">
Secretaría Educación: </t>
    </r>
    <r>
      <rPr>
        <sz val="10"/>
        <color theme="1"/>
        <rFont val="Calibri"/>
        <family val="2"/>
        <scheme val="minor"/>
      </rPr>
      <t xml:space="preserve">No Reportó información
</t>
    </r>
  </si>
  <si>
    <t>0</t>
  </si>
  <si>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
</t>
    </r>
  </si>
  <si>
    <r>
      <rPr>
        <b/>
        <sz val="10"/>
        <color theme="1"/>
        <rFont val="Calibri"/>
        <family val="2"/>
        <scheme val="minor"/>
      </rPr>
      <t>Secretaría de Familia:</t>
    </r>
    <r>
      <rPr>
        <sz val="10"/>
        <color theme="1"/>
        <rFont val="Calibri"/>
        <family val="2"/>
        <scheme val="minor"/>
      </rPr>
      <t xml:space="preserve"> No Reportó información.</t>
    </r>
  </si>
  <si>
    <r>
      <rPr>
        <b/>
        <sz val="10"/>
        <color theme="1"/>
        <rFont val="Calibri"/>
        <family val="2"/>
        <scheme val="minor"/>
      </rPr>
      <t xml:space="preserve">Alcaldía de Circasia: </t>
    </r>
    <r>
      <rPr>
        <sz val="10"/>
        <color theme="1"/>
        <rFont val="Calibri"/>
        <family val="2"/>
        <scheme val="minor"/>
      </rPr>
      <t>Desde la administracion municipal se implementa la politica publica de juventud del municipio de Circasia,y estamos en porceso de actualizacion con apoyo d ela gobernacion del Quindio,la secretaria de Familia y Colombia Joven.</t>
    </r>
    <r>
      <rPr>
        <b/>
        <sz val="10"/>
        <color theme="1"/>
        <rFont val="Calibri"/>
        <family val="2"/>
        <scheme val="minor"/>
      </rPr>
      <t xml:space="preserve">
Alcaldía de Quimbaya: S</t>
    </r>
    <r>
      <rPr>
        <sz val="10"/>
        <color theme="1"/>
        <rFont val="Calibri"/>
        <family val="2"/>
        <scheme val="minor"/>
      </rPr>
      <t xml:space="preserve">e encuetra ejecutando e inplementando acciones de politica y no se han realizado procesos de rendicion publica de cuentas de ejecucion de la plotica publica municipal de juventud . </t>
    </r>
    <r>
      <rPr>
        <b/>
        <sz val="10"/>
        <color theme="1"/>
        <rFont val="Calibri"/>
        <family val="2"/>
        <scheme val="minor"/>
      </rPr>
      <t xml:space="preserve">
Alcaldía Pijao:</t>
    </r>
    <r>
      <rPr>
        <sz val="10"/>
        <color theme="1"/>
        <rFont val="Calibri"/>
        <family val="2"/>
        <scheme val="minor"/>
      </rPr>
      <t xml:space="preserve"> Aun no tiene rendición pública.
</t>
    </r>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dePlaneación: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No se cuenta con información para determinar el procentaje de avance del indicador.</t>
    </r>
    <r>
      <rPr>
        <b/>
        <sz val="10"/>
        <color theme="1"/>
        <rFont val="Calibri"/>
        <family val="2"/>
        <scheme val="minor"/>
      </rPr>
      <t xml:space="preserve">
</t>
    </r>
  </si>
  <si>
    <r>
      <rPr>
        <b/>
        <sz val="10"/>
        <color theme="1"/>
        <rFont val="Calibri"/>
        <family val="2"/>
        <scheme val="minor"/>
      </rPr>
      <t xml:space="preserve">Alcaldía de Salento: </t>
    </r>
    <r>
      <rPr>
        <sz val="10"/>
        <color theme="1"/>
        <rFont val="Calibri"/>
        <family val="2"/>
        <scheme val="minor"/>
      </rPr>
      <t xml:space="preserve">Actualmente la Casa de la Juventud se encuentra la oficina de la Plataforma Municipal de Juventud y del grupo juvenil Re Evolución Salento. Se utiliza para eventos y actividades educativas, deportivas y culturales. Se espera que durante el cuatremio 2020-2023 se realicen inversiones en adecuación y dotación de la Casa de la Juventud, con el fin de optimizar su funcionamiento.
</t>
    </r>
    <r>
      <rPr>
        <b/>
        <sz val="10"/>
        <color theme="1"/>
        <rFont val="Calibri"/>
        <family val="2"/>
        <scheme val="minor"/>
      </rPr>
      <t xml:space="preserve">Alcaldía de La Tebaida: </t>
    </r>
    <r>
      <rPr>
        <sz val="10"/>
        <color theme="1"/>
        <rFont val="Calibri"/>
        <family val="2"/>
        <scheme val="minor"/>
      </rPr>
      <t xml:space="preserve">se cambio todo el cabliado para una mayort cobertura de internet dentro de la casa, la cual se pondra en uso una vez levantada la pandemia.
</t>
    </r>
    <r>
      <rPr>
        <b/>
        <sz val="10"/>
        <color theme="1"/>
        <rFont val="Calibri"/>
        <family val="2"/>
        <scheme val="minor"/>
      </rPr>
      <t xml:space="preserve">
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Calarcá:</t>
    </r>
    <r>
      <rPr>
        <sz val="10"/>
        <color theme="1"/>
        <rFont val="Calibri"/>
        <family val="2"/>
        <scheme val="minor"/>
      </rPr>
      <t xml:space="preserve"> se realiza actualizacion de politica publica .
</t>
    </r>
    <r>
      <rPr>
        <b/>
        <sz val="10"/>
        <color theme="1"/>
        <rFont val="Calibri"/>
        <family val="2"/>
        <scheme val="minor"/>
      </rPr>
      <t xml:space="preserve">Alcaldía de Armenia: </t>
    </r>
    <r>
      <rPr>
        <sz val="10"/>
        <color theme="1"/>
        <rFont val="Calibri"/>
        <family val="2"/>
        <scheme val="minor"/>
      </rPr>
      <t xml:space="preserve">se viene adelantando a traves d ela consejeria presidencial para la juventud la adecuacion d ela casa de la juventud para convertirse en centro sacudete.
</t>
    </r>
    <r>
      <rPr>
        <b/>
        <sz val="10"/>
        <color theme="1"/>
        <rFont val="Calibri"/>
        <family val="2"/>
        <scheme val="minor"/>
      </rPr>
      <t xml:space="preserve">
Alcaldía Montenegro:</t>
    </r>
    <r>
      <rPr>
        <sz val="10"/>
        <color theme="1"/>
        <rFont val="Calibri"/>
        <family val="2"/>
        <scheme val="minor"/>
      </rPr>
      <t xml:space="preserve"> la casa de la juventud actualmente esta articulada con el proyecto cultivarte.
</t>
    </r>
    <r>
      <rPr>
        <b/>
        <sz val="10"/>
        <color theme="1"/>
        <rFont val="Calibri"/>
        <family val="2"/>
        <scheme val="minor"/>
      </rPr>
      <t xml:space="preserve">
Alcaldía de Córdoba: </t>
    </r>
    <r>
      <rPr>
        <sz val="10"/>
        <color theme="1"/>
        <rFont val="Calibri"/>
        <family val="2"/>
        <scheme val="minor"/>
      </rPr>
      <t>Actualmento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  Actualmente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municipio, Gimnasio y en las escuelas de formacion del municipio.</t>
    </r>
  </si>
  <si>
    <r>
      <t xml:space="preserve">$1,400,000.
</t>
    </r>
    <r>
      <rPr>
        <b/>
        <sz val="10"/>
        <color theme="1"/>
        <rFont val="Calibri"/>
        <family val="2"/>
        <scheme val="minor"/>
      </rPr>
      <t/>
    </r>
  </si>
  <si>
    <t>$1,400,000</t>
  </si>
  <si>
    <r>
      <rPr>
        <b/>
        <sz val="10"/>
        <color theme="1"/>
        <rFont val="Calibri"/>
        <family val="2"/>
        <scheme val="minor"/>
      </rPr>
      <t xml:space="preserve">Alcaldía de Filandía: </t>
    </r>
    <r>
      <rPr>
        <sz val="10"/>
        <color theme="1"/>
        <rFont val="Calibri"/>
        <family val="2"/>
        <scheme val="minor"/>
      </rPr>
      <t xml:space="preserve">Realización de curso virtual “Participación Política de Jóvenes” con énfasis en “Estatuto de Ciudadanía Juvenil” del Ministerio del Interior con jóvenes del Municipio de Filandia; Reactivacion del Programa Ángeles Guardianes
</t>
    </r>
    <r>
      <rPr>
        <b/>
        <sz val="10"/>
        <color theme="1"/>
        <rFont val="Calibri"/>
        <family val="2"/>
        <scheme val="minor"/>
      </rPr>
      <t>Alcaldía Circasia:</t>
    </r>
    <r>
      <rPr>
        <sz val="10"/>
        <color theme="1"/>
        <rFont val="Calibri"/>
        <family val="2"/>
        <scheme val="minor"/>
      </rPr>
      <t xml:space="preserve">  Gracias a la gestion  de la secretaria de gobierno y desarrollo social se getsiono un poryecto para la platafoma juvenil  se ejecuto un diplomado en el que se dotaron a los jovenes de herramientas de mecanimos de participacion ciudada y la ley 1622 del 2013 y la importancia de los espacioss de partcipancion en su territorio  donde se capacitaron 16 y se le entragaron los reconocientos a los jovenes que termieron el proceso.Proyecto Sensibilizacion de los mecanismo de participacion ciudada.</t>
    </r>
    <r>
      <rPr>
        <b/>
        <sz val="10"/>
        <color theme="1"/>
        <rFont val="Calibri"/>
        <family val="2"/>
        <scheme val="minor"/>
      </rPr>
      <t xml:space="preserve">
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LIDERACION DE LIDERAZGO E INSIDENCIA A CONCEJEROS DE JUVENTUD.
</t>
    </r>
    <r>
      <rPr>
        <b/>
        <sz val="10"/>
        <color theme="1"/>
        <rFont val="Calibri"/>
        <family val="2"/>
        <scheme val="minor"/>
      </rPr>
      <t xml:space="preserve">Alcaldía Calarcá: </t>
    </r>
    <r>
      <rPr>
        <sz val="10"/>
        <color theme="1"/>
        <rFont val="Calibri"/>
        <family val="2"/>
        <scheme val="minor"/>
      </rPr>
      <t xml:space="preserve">14 Talleres de socializacion de la ley estatutaria de juventudes con las modificaciones del año 2018, para promover la participacion de los jovenes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socializacion y concertacion para la creaciòn de l Consejo Municipal de Juventud.
</t>
    </r>
    <r>
      <rPr>
        <b/>
        <sz val="10"/>
        <color theme="1"/>
        <rFont val="Calibri"/>
        <family val="2"/>
        <scheme val="minor"/>
      </rPr>
      <t xml:space="preserve">Alcaldía de La Tebaida: </t>
    </r>
    <r>
      <rPr>
        <sz val="10"/>
        <color theme="1"/>
        <rFont val="Calibri"/>
        <family val="2"/>
        <scheme val="minor"/>
      </rPr>
      <t xml:space="preserve"> Consejo de juventud:
o Se realizó el 13 de agosto grabación de entrevista  video informativo de consejo de juventud.
o Se realizaron videos de información sobre los consejos de juventud con el fin de publicarlo en redes sociales.  https://www.facebook.com/103073824395836/videos/318679292516814/?__so__=channel_tab&amp;__rv__=all_videos_card
o Se realizó el 27 de agosto entrevista y socialización en la emisora municipal sobre los consejos juveniles.
</t>
    </r>
    <r>
      <rPr>
        <b/>
        <sz val="10"/>
        <color theme="1"/>
        <rFont val="Calibri"/>
        <family val="2"/>
        <scheme val="minor"/>
      </rPr>
      <t xml:space="preserve">
Alcaldía Montenegro:</t>
    </r>
    <r>
      <rPr>
        <sz val="10"/>
        <color theme="1"/>
        <rFont val="Calibri"/>
        <family val="2"/>
        <scheme val="minor"/>
      </rPr>
      <t xml:space="preserve"> no se han realizado las eleccione por pandemia.
</t>
    </r>
    <r>
      <rPr>
        <b/>
        <sz val="10"/>
        <color theme="1"/>
        <rFont val="Calibri"/>
        <family val="2"/>
        <scheme val="minor"/>
      </rPr>
      <t>Alcaldía de Córdoba</t>
    </r>
    <r>
      <rPr>
        <sz val="10"/>
        <color theme="1"/>
        <rFont val="Calibri"/>
        <family val="2"/>
        <scheme val="minor"/>
      </rPr>
      <t xml:space="preserve">: no se realizarón debido a la calamidada que presenta el pais por causa del virus COVID-19, la cual quedo aplasada y esta en espera.
</t>
    </r>
    <r>
      <rPr>
        <b/>
        <sz val="10"/>
        <color theme="1"/>
        <rFont val="Calibri"/>
        <family val="2"/>
        <scheme val="minor"/>
      </rPr>
      <t xml:space="preserve">Registraduria Nacional del Estado Civil: </t>
    </r>
    <r>
      <rPr>
        <sz val="10"/>
        <color theme="1"/>
        <rFont val="Calibri"/>
        <family val="2"/>
        <scheme val="minor"/>
      </rPr>
      <t xml:space="preserve">Registraduria Nacional del Estado Civil: La Registraduria Nacional del Estado Civil, en vigencia de la Resolucion N° 1074 del 04/02/2020 por medio de la cual se estableció la fecha de realización de las elecciones de Consejos Municipales y Locales  de Juventud , modificada por la Resolución N° 2031 del 27/02/2020 y por la 2563 del del 11/03/2020, adelanto varias de las actividades  descritas en el calendario electoral como certificacion de Divipole, certificacion poblacional, expedida por cada uno de los Alcaldes municipales y la creacion en cada uno de los municipios de los Comites Organizadores de las Elecciones de los Consejos de Juventud. Teniendo en cuenta que la Organización Mundial de la Salud OMS, declaró la enfermedad por Coronavirus COVID 19 como pandemia, por consecuente el Ministro de Salud y Protección Social mediante resolucion N° 385 del 12/03/2020 declara el estado de emergencia sanitaria en todo el territorio nacional. Como Consecuencia de lo anteriormente expuesto,  el Registrador Nacional del Estado Civil, doctor Alexander Vega Rocha , expide la Resolucion N° 4008 del 03/06/2020, por medio de la cual deja sin efectos la resolución N° 3473 de 2020, teniéndose que la realización de la elección de Consejos Municipales y Locales de Juventud, se remomará una vez se tenga la certeza de la normalización de las condiciones de salud publica en todo el país.
</t>
    </r>
    <r>
      <rPr>
        <b/>
        <sz val="10"/>
        <color theme="1"/>
        <rFont val="Calibri"/>
        <family val="2"/>
        <scheme val="minor"/>
      </rPr>
      <t>Secretaría de Familia:</t>
    </r>
    <r>
      <rPr>
        <sz val="10"/>
        <color theme="1"/>
        <rFont val="Calibri"/>
        <family val="2"/>
        <scheme val="minor"/>
      </rPr>
      <t xml:space="preserve"> No Reportó información.</t>
    </r>
  </si>
  <si>
    <t xml:space="preserve">$1,700,000
</t>
  </si>
  <si>
    <t>$ 1,700,000</t>
  </si>
  <si>
    <r>
      <rPr>
        <b/>
        <sz val="10"/>
        <color theme="1"/>
        <rFont val="Calibri"/>
        <family val="2"/>
        <scheme val="minor"/>
      </rPr>
      <t xml:space="preserve">Alcaldía Filandia:  </t>
    </r>
    <r>
      <rPr>
        <sz val="10"/>
        <color theme="1"/>
        <rFont val="Calibri"/>
        <family val="2"/>
        <scheme val="minor"/>
      </rPr>
      <t>Consulta de información de grupos, expresiones y organizaciones juveniles activos del Municipio de Filandia</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Salento: </t>
    </r>
    <r>
      <rPr>
        <sz val="10"/>
        <color theme="1"/>
        <rFont val="Calibri"/>
        <family val="2"/>
        <scheme val="minor"/>
      </rPr>
      <t xml:space="preserve">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esta reacctivando.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oprenado.          
</t>
    </r>
    <r>
      <rPr>
        <b/>
        <sz val="10"/>
        <color theme="1"/>
        <rFont val="Calibri"/>
        <family val="2"/>
        <scheme val="minor"/>
      </rPr>
      <t xml:space="preserve">
Alcaldía Calarcá:</t>
    </r>
    <r>
      <rPr>
        <sz val="10"/>
        <color theme="1"/>
        <rFont val="Calibri"/>
        <family val="2"/>
        <scheme val="minor"/>
      </rPr>
      <t xml:space="preserve"> acompañamiento a la elaboracion del plan de trabajo de la plataforma de juventudes,  acompañamiento a las sesiones o actividades de la plataforma de juventud, acompañamiento y apoyo en la organización  a la plataforma de juventud en actividades del plan de trabajo, Estimulos de reconocimiento en el marco de la semana de la juventud(Agenda, lapicero, usb), Realización de comisión concertación y decisión de juventudes( invitaciones, presentación, acta de reunión)
</t>
    </r>
    <r>
      <rPr>
        <b/>
        <sz val="10"/>
        <color theme="1"/>
        <rFont val="Calibri"/>
        <family val="2"/>
        <scheme val="minor"/>
      </rPr>
      <t xml:space="preserve">Alcaldía de La Tebaida: • </t>
    </r>
    <r>
      <rPr>
        <sz val="10"/>
        <color theme="1"/>
        <rFont val="Calibri"/>
        <family val="2"/>
        <scheme val="minor"/>
      </rPr>
      <t>Apoyo a plataforma municipal en las sessiones y prestamo de la casa de la juventud para llevar a cabo sus reuniones.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REUNIONES DE ACOMPAÑAMIENTO A LAS REUNIONES DE LA PLATAFORMA JUVENIL,                                                      
 2. ACOMPAÑAMIENTO Y APOYO AL PLAN DE ACCIÓN DE LA PLATAFORMA EN EL TERCER  TRISMETRE DEL AÑO 2020       
</t>
    </r>
    <r>
      <rPr>
        <b/>
        <sz val="10"/>
        <color theme="1"/>
        <rFont val="Calibri"/>
        <family val="2"/>
        <scheme val="minor"/>
      </rPr>
      <t>Secretaría de Familia:</t>
    </r>
    <r>
      <rPr>
        <sz val="10"/>
        <color theme="1"/>
        <rFont val="Calibri"/>
        <family val="2"/>
        <scheme val="minor"/>
      </rPr>
      <t xml:space="preserve"> No Reportó información.
</t>
    </r>
  </si>
  <si>
    <t xml:space="preserve">$ 400,000
</t>
  </si>
  <si>
    <r>
      <rPr>
        <b/>
        <sz val="10"/>
        <color theme="1"/>
        <rFont val="Calibri"/>
        <family val="2"/>
        <scheme val="minor"/>
      </rPr>
      <t xml:space="preserve">Alcaldía de Salento: </t>
    </r>
    <r>
      <rPr>
        <sz val="10"/>
        <color theme="1"/>
        <rFont val="Calibri"/>
        <family val="2"/>
        <scheme val="minor"/>
      </rPr>
      <t xml:space="preserve">Hasta el momento se ha realizado el 13 de Febrero de 2020 la primera Asamblea Municipal de Juventud en el municipio de Salento.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linea sbases y jovenes d ela comunidad 
</t>
    </r>
    <r>
      <rPr>
        <b/>
        <sz val="10"/>
        <color theme="1"/>
        <rFont val="Calibri"/>
        <family val="2"/>
        <scheme val="minor"/>
      </rPr>
      <t xml:space="preserve">Alcaldía de Montenegro: </t>
    </r>
    <r>
      <rPr>
        <sz val="10"/>
        <color theme="1"/>
        <rFont val="Calibri"/>
        <family val="2"/>
        <scheme val="minor"/>
      </rPr>
      <t xml:space="preserve">A la fecha  se cumple con las 2 asambleas anuales propuestas por la ley estatutaria  2020.
</t>
    </r>
    <r>
      <rPr>
        <b/>
        <sz val="10"/>
        <color theme="1"/>
        <rFont val="Calibri"/>
        <family val="2"/>
        <scheme val="minor"/>
      </rPr>
      <t xml:space="preserve">Alcaldía de La Tebaida: </t>
    </r>
    <r>
      <rPr>
        <sz val="10"/>
        <color theme="1"/>
        <rFont val="Calibri"/>
        <family val="2"/>
        <scheme val="minor"/>
      </rPr>
      <t xml:space="preserve">se realizo la segunda asamblea de juventud el dia 31 de julio por medio de facebook life con la intencion de darle cumplimiento a la ley.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REALIZACION DE 2 ASAMBLEAS JUVENILES, EL 29 DE ENERO DEL AÑO 2020 Y EL 6 DE AGOSTO DE 2020.
</t>
    </r>
    <r>
      <rPr>
        <b/>
        <sz val="10"/>
        <color theme="1"/>
        <rFont val="Calibri"/>
        <family val="2"/>
        <scheme val="minor"/>
      </rPr>
      <t xml:space="preserve">
Alcaldía Pijao:</t>
    </r>
    <r>
      <rPr>
        <sz val="10"/>
        <color theme="1"/>
        <rFont val="Calibri"/>
        <family val="2"/>
        <scheme val="minor"/>
      </rPr>
      <t xml:space="preserve"> No se ha convocado a asamblea.
</t>
    </r>
    <r>
      <rPr>
        <b/>
        <sz val="10"/>
        <color theme="1"/>
        <rFont val="Calibri"/>
        <family val="2"/>
        <scheme val="minor"/>
      </rPr>
      <t>Alcaldía Filandia:</t>
    </r>
    <r>
      <rPr>
        <sz val="10"/>
        <color theme="1"/>
        <rFont val="Calibri"/>
        <family val="2"/>
        <scheme val="minor"/>
      </rPr>
      <t xml:space="preserve">  La primera asamblea juvenil se realizará el día 05 mayo 2021  debido a que ha sido aplazada por temas de salud pública (Covid19).
</t>
    </r>
    <r>
      <rPr>
        <b/>
        <sz val="10"/>
        <color theme="1"/>
        <rFont val="Calibri"/>
        <family val="2"/>
        <scheme val="minor"/>
      </rPr>
      <t xml:space="preserve">Alcaldía Quimbaya: </t>
    </r>
    <r>
      <rPr>
        <sz val="10"/>
        <color theme="1"/>
        <rFont val="Calibri"/>
        <family val="2"/>
        <scheme val="minor"/>
      </rPr>
      <t xml:space="preserve">APOYO Y ACOMPAÑAMIENTO A LA PLATAFORMA MUNICIPAL DE JUVENTUD. SI, SE HA HECHO FORMACION DE LIDERAZGO , Y MOTIVACON PARA FORTALECER LA PLATAFORMA MUNICIPAL DE JUVENTUD.
</t>
    </r>
    <r>
      <rPr>
        <b/>
        <sz val="10"/>
        <color theme="1"/>
        <rFont val="Calibri"/>
        <family val="2"/>
        <scheme val="minor"/>
      </rPr>
      <t xml:space="preserve">Alcaldía de Córdoba: </t>
    </r>
    <r>
      <rPr>
        <sz val="10"/>
        <color theme="1"/>
        <rFont val="Calibri"/>
        <family val="2"/>
        <scheme val="minor"/>
      </rPr>
      <t xml:space="preserve">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AGOSTO(DE MANERA VIRTUAL).
</t>
    </r>
    <r>
      <rPr>
        <b/>
        <sz val="10"/>
        <color theme="1"/>
        <rFont val="Calibri"/>
        <family val="2"/>
        <scheme val="minor"/>
      </rPr>
      <t xml:space="preserve">Secretaria de Familia: </t>
    </r>
    <r>
      <rPr>
        <sz val="10"/>
        <color theme="1"/>
        <rFont val="Calibri"/>
        <family val="2"/>
        <scheme val="minor"/>
      </rPr>
      <t>Se realizó una asamblea juvenil en el primer semestre 2020.</t>
    </r>
  </si>
  <si>
    <t>PROGRAMADO 
(Meta al 2021)</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</si>
  <si>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</si>
  <si>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</si>
  <si>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</si>
  <si>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</si>
  <si>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</si>
  <si>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t>$ 4,569,228
$ 12,800,000
$ 4,926,921</t>
  </si>
  <si>
    <t>$ 1,142,307
$ 3,284,614
$ 6,569,228</t>
  </si>
  <si>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</si>
  <si>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</si>
  <si>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$ 8.655.000
$ 1.142.307
$ 3,284,614</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</si>
  <si>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</si>
  <si>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t>$ 4.569.228
$ 4.926.921</t>
  </si>
  <si>
    <t>$ 1.142.307
$ 6.569.228</t>
  </si>
  <si>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</si>
  <si>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</si>
  <si>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</si>
  <si>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t xml:space="preserve">$ 8.655.000
$ 32,355,000
$ 52.735.000
$ 88.229.666
</t>
  </si>
  <si>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</si>
  <si>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t xml:space="preserve">$ 226,000,000
$ 2,284,614
</t>
  </si>
  <si>
    <t>$ 85.655.000
$ 4,569,228</t>
  </si>
  <si>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</si>
  <si>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</si>
  <si>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</si>
  <si>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</si>
  <si>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Observación:</t>
    </r>
    <r>
      <rPr>
        <sz val="10"/>
        <rFont val="Calibri"/>
        <family val="2"/>
        <scheme val="minor"/>
      </rPr>
      <t xml:space="preserve"> Se verifica en la página del Ministerio de Educación Nacional ocho (8) metodologías flexibles.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</si>
  <si>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</si>
  <si>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</si>
  <si>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</si>
  <si>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</si>
  <si>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</si>
  <si>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</si>
  <si>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t xml:space="preserve">$ 18,555,000
$ 58,575,000
$77.410.300
$ 143.411.000
$ 150.000.000 </t>
  </si>
  <si>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</si>
  <si>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</si>
  <si>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t>$ 3,300,000
$ 13,200,000</t>
  </si>
  <si>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</si>
  <si>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t xml:space="preserve">$ 8,513,000
</t>
  </si>
  <si>
    <r>
      <rPr>
        <b/>
        <sz val="10"/>
        <rFont val="Calibri"/>
        <family val="2"/>
        <scheme val="minor"/>
      </rPr>
      <t>Secretaría del Interior:</t>
    </r>
    <r>
      <rPr>
        <sz val="10"/>
        <rFont val="Calibri"/>
        <family val="2"/>
        <scheme val="minor"/>
      </rPr>
      <t xml:space="preserve"> No reportó información correspondiente a este indicador en este trimestre.</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</si>
  <si>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</si>
  <si>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</si>
  <si>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</si>
  <si>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</si>
  <si>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</si>
  <si>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</si>
  <si>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</si>
  <si>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</si>
  <si>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t xml:space="preserve">$ 19,494,000
$ 12,540,000
$27,950,000
$ 42.833.333
$ 150.000.000 </t>
  </si>
  <si>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</si>
  <si>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t xml:space="preserve">$ 540.000.00
$ 71.274.000
$ 132.200.000
$ 150.000.000 </t>
  </si>
  <si>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</si>
  <si>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</si>
  <si>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t xml:space="preserve">$ 43,00,000
$ 99,224,000
$ 58,575,000
 $77.410.300
$ 382,688,000
$ 150.000.000 </t>
  </si>
  <si>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</si>
  <si>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t xml:space="preserve">$ 110,000,000
$ 319,965,000
$ 392. 186.440
$ 130.000.000
$ 150.000.000 </t>
  </si>
  <si>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</si>
  <si>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</si>
  <si>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t>1012000000
$ 1.500.000
$ 9.993.786</t>
  </si>
  <si>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</si>
  <si>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t>$ 139.800.000
$ 50.000.000</t>
  </si>
  <si>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</si>
  <si>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</si>
  <si>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t>$ 54.000.000
$ 7.600.000</t>
  </si>
  <si>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</si>
  <si>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</si>
  <si>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</si>
  <si>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</si>
  <si>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</si>
  <si>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</si>
  <si>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</si>
  <si>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</si>
  <si>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</si>
  <si>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</si>
  <si>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</si>
  <si>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PROGRAMADO 
(Meta al 2019)</t>
  </si>
  <si>
    <t>PROGRAMADO 
(Meta al 2018)</t>
  </si>
  <si>
    <t>PROGRAMADO 
(Meta al 2017)</t>
  </si>
  <si>
    <t>PROGRAMADO 
(Meta al 2016)</t>
  </si>
  <si>
    <t>PROGRAMADO 
(Meta al 2015)</t>
  </si>
  <si>
    <t>PROGRAMADO 
(Meta al 2014</t>
  </si>
  <si>
    <t>EC</t>
  </si>
  <si>
    <t>nd</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</si>
  <si>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</si>
  <si>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</si>
  <si>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</si>
  <si>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</si>
  <si>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</si>
  <si>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</si>
  <si>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</si>
  <si>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</si>
  <si>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</si>
  <si>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</si>
  <si>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</si>
  <si>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</si>
  <si>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</si>
  <si>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</si>
  <si>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</si>
  <si>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</si>
  <si>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</si>
  <si>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</si>
  <si>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</si>
  <si>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</si>
  <si>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</si>
  <si>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</si>
  <si>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</si>
  <si>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</si>
  <si>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</si>
  <si>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</si>
  <si>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</si>
  <si>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</si>
  <si>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0.5 PP x encima de la linea producida</t>
  </si>
  <si>
    <t>&lt;305</t>
  </si>
  <si>
    <t>1 Prog Implem</t>
  </si>
  <si>
    <t>22,724,975</t>
  </si>
  <si>
    <t>8,212,963</t>
  </si>
  <si>
    <t>7,500,000</t>
  </si>
  <si>
    <t>5,250,000</t>
  </si>
  <si>
    <t>50,000,000
280,000,000</t>
  </si>
  <si>
    <t>27,750,000
231,270,386</t>
  </si>
  <si>
    <t>_</t>
  </si>
  <si>
    <t>1,097,002,022</t>
  </si>
  <si>
    <t>974,131,283</t>
  </si>
  <si>
    <t>25,000,000</t>
  </si>
  <si>
    <t>14,667,000</t>
  </si>
  <si>
    <t>41,876,800</t>
  </si>
  <si>
    <t>37,053,553</t>
  </si>
  <si>
    <t>45,000,000</t>
  </si>
  <si>
    <t>12,650,000</t>
  </si>
  <si>
    <t>65,000,000</t>
  </si>
  <si>
    <t>44,750,000</t>
  </si>
  <si>
    <t>_
2,000,000</t>
  </si>
  <si>
    <t>39,945,583</t>
  </si>
  <si>
    <t>39,902,249</t>
  </si>
  <si>
    <t>50,000,000</t>
  </si>
  <si>
    <t>47,157,475</t>
  </si>
  <si>
    <t>168,592,000</t>
  </si>
  <si>
    <t>68,343,000</t>
  </si>
  <si>
    <t xml:space="preserve">13,400,000
51,750,000
</t>
  </si>
  <si>
    <t xml:space="preserve">4,983,333
51,750,000
</t>
  </si>
  <si>
    <t>216,263,553</t>
  </si>
  <si>
    <t>121,396,000</t>
  </si>
  <si>
    <t>339,202,922</t>
  </si>
  <si>
    <t>20,000,000</t>
  </si>
  <si>
    <t>18,980,000</t>
  </si>
  <si>
    <t>1,122,790,002</t>
  </si>
  <si>
    <t>498,866,578</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</si>
  <si>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</si>
  <si>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</si>
  <si>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</si>
  <si>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</si>
  <si>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</si>
  <si>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</si>
  <si>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</si>
  <si>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</si>
  <si>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</si>
  <si>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</si>
  <si>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</si>
  <si>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</si>
  <si>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 xml:space="preserve">
Según reporte del SENA (Unidad de emprendimiento) se han apoyado financieramente un total de 30 ideas de negocio con un monto de inversión total de $2.338.933.220</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</si>
  <si>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</si>
  <si>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</si>
  <si>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</si>
  <si>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</si>
  <si>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Según reporte de Secretaría de Educación, la tasa de absorción de bachilleres, en cuanto al consolidado de las 54 IE públicas del Dpto es de 2454 estudiantes, lo que equivale al 19% del total que se encuentran inscritos en media vocacional</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</si>
  <si>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</si>
  <si>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</si>
  <si>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</si>
  <si>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</si>
  <si>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</si>
  <si>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</si>
  <si>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 xml:space="preserve">Todos los municipios del Departamento han sido asistidos técnicamente por la Secretaría de Salud para la inclusión del componente de Salud Mental en los planes territoriales de salud. </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</si>
  <si>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</si>
  <si>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Para el año 2016 Medicina Legal reporta un total de 30 muertes de jóvenes por causa externa en la modalidad de accidentes de tránsito.</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</si>
  <si>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</si>
  <si>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</si>
  <si>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</si>
  <si>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</si>
  <si>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</si>
  <si>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</si>
  <si>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</si>
  <si>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INDEPORTES Quindío reporta el apoyo a 20 deportistas en nivel talento, en proyección y de altos logros con el programa de incentivos económicos de acuerdo con su rendimiento deportivo para fases preparatorias y competitivas</t>
  </si>
  <si>
    <t xml:space="preserve">Se desarrolló el programa de actividad física, el cual tiene como objetivo crear estilos de vida saludables, alimentación saludable, un mínimo de 150 minutos de actividad física semanal y espacios libres de humo. </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</si>
  <si>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</si>
  <si>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</si>
  <si>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</si>
  <si>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</si>
  <si>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Se realizó visita a todos los municipios con el fin de socializar los componentes estratégicos de la política pública de juventud con las plataformas juveniles y jóvenes en general para desarrollar agendas juveniles e implementar la política pública</t>
  </si>
  <si>
    <t xml:space="preserve">La Universidad Alexander Von Humboldt reporta para el cumplimiento de este indicador un total de : 16 trabajos de grado, 6 semilleros de investigación y 8 proyectos de pasantía, alrededor de la investigación sobre dinámicas juveniles. </t>
  </si>
  <si>
    <t>Se realizaron cuatro encuentros departamentales, dos de plataformas juveniles y dos de personeros estudiantiles, con el fin de capacitar sobre dinámicas juveniles y desarrollo de agendas juveniles, para la implementación de planes de trabajo y oferta pública</t>
  </si>
  <si>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</si>
  <si>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</si>
  <si>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t>Se realizaron reportes trimestrales de ejecución de política pública y plan de desarrollo, lo cual se constituye en seguimiento a la implementación de la oferta pública dispuesta para los jóvenes desde el ente departamental</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</si>
  <si>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</si>
  <si>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</si>
  <si>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</si>
  <si>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 xml:space="preserve">Se ha realizado una asamblea departamental de juventud, y tres municipales, en Armenia, La Tebaida, Quimbaya y Salento respectivamente. </t>
  </si>
  <si>
    <t>&gt;85%</t>
  </si>
  <si>
    <t>&gt;40%</t>
  </si>
  <si>
    <t>MM</t>
  </si>
  <si>
    <t>24,350,000</t>
  </si>
  <si>
    <t>12,000,000</t>
  </si>
  <si>
    <t>12,175,000</t>
  </si>
  <si>
    <t>6,000,000</t>
  </si>
  <si>
    <t>75,800,000
77.140.000</t>
  </si>
  <si>
    <t>17340000
65.760.000</t>
  </si>
  <si>
    <t>75,800,000</t>
  </si>
  <si>
    <t>1,500,000</t>
  </si>
  <si>
    <t>194,460,000
321,400,000</t>
  </si>
  <si>
    <t>57.920.000
152.180.000</t>
  </si>
  <si>
    <t>28,500,000</t>
  </si>
  <si>
    <t xml:space="preserve">15,000,000
50.000.000
28.600.000
</t>
  </si>
  <si>
    <t>33.610.000
25.860.000</t>
  </si>
  <si>
    <t>139,500,000</t>
  </si>
  <si>
    <t>54,000,000</t>
  </si>
  <si>
    <t>96,950,000</t>
  </si>
  <si>
    <t>18,000,000</t>
  </si>
  <si>
    <t>82,000,000</t>
  </si>
  <si>
    <t>6,570,000</t>
  </si>
  <si>
    <t>250,400,000</t>
  </si>
  <si>
    <t>95,900,000</t>
  </si>
  <si>
    <t>25,750,000</t>
  </si>
  <si>
    <t xml:space="preserve">
25,750,000
104,000,000
</t>
  </si>
  <si>
    <t>6.970.000
26.340.000</t>
  </si>
  <si>
    <t>160000000
405.652.392</t>
  </si>
  <si>
    <t>65320127
222.770.997</t>
  </si>
  <si>
    <t>596252550
160000000</t>
  </si>
  <si>
    <t>398442300
65320127</t>
  </si>
  <si>
    <t>138,799,054</t>
  </si>
  <si>
    <t>1,359,830,870</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</si>
  <si>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</si>
  <si>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</si>
  <si>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</si>
  <si>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</si>
  <si>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</si>
  <si>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</si>
  <si>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</si>
  <si>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</si>
  <si>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</si>
  <si>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</si>
  <si>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</si>
  <si>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</si>
  <si>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</si>
  <si>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</si>
  <si>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</si>
  <si>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</si>
  <si>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</si>
  <si>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</si>
  <si>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</si>
  <si>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</si>
  <si>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</si>
  <si>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</si>
  <si>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</si>
  <si>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</si>
  <si>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</si>
  <si>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</si>
  <si>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</si>
  <si>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</si>
  <si>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</si>
  <si>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</si>
  <si>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</si>
  <si>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</si>
  <si>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 xml:space="preserve">La promotora de vivienda del Quindío, reporta cumplimiento del apoyo a deportes no convencionales como el skateboarding y el BMX a través de la construcción y mantenimiento del skatepark del municipio de Córdoba, Quindío. </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</si>
  <si>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</si>
  <si>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</si>
  <si>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</si>
  <si>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</si>
  <si>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</si>
  <si>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</si>
  <si>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</si>
  <si>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</si>
  <si>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</si>
  <si>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</si>
  <si>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</si>
  <si>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Se ha realizado un total de 10 Asambleas Juveniles, al momento, una Departamental y nueve en los municipios de Armenia, Calarcá, Córdoba, Filandia, La Tebaida, Montenegro, Quimbaya y Salento, respectivamente.</t>
  </si>
  <si>
    <t xml:space="preserve">$                 - </t>
  </si>
  <si>
    <t>$                           -</t>
  </si>
  <si>
    <t>$70.000.000
$38.000.000</t>
  </si>
  <si>
    <t>$0
$35.601.442</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</si>
  <si>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</si>
  <si>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Los municipios de La Tebaida, Quimbaya, Montenegro, Armenia, Salento, Calarcá, Filandia y Circasia cuentan con personal, el cual funge como enlaces de juventud con capacidad política y técnica.</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</si>
  <si>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</si>
  <si>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</si>
  <si>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 xml:space="preserve">Los municipios del departamento cuentan con personal idóneo para liderar los procesos juveniles municipales.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</si>
  <si>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</si>
  <si>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</si>
  <si>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</si>
  <si>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</si>
  <si>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</si>
  <si>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</si>
  <si>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</si>
  <si>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</si>
  <si>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</si>
  <si>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</si>
  <si>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</si>
  <si>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</si>
  <si>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A crecer
Aceleración del Aprendizaje
Caminar por Secundaria
Escuela Nueva
Media Rural
Modalidad Virtual Asistida UCN
Pensar
Post Primaria
Programa para Jóvenes en Extraedad y Adultos</t>
  </si>
  <si>
    <t>Reporte del ministerio de educación nacional Lista de Informes departamentales de Educación Superior, extraido 22/11/2018 https://www.mineducacion.gov.co/sistemasdeinformacion/1735/w3-article-212352.html</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</si>
  <si>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</si>
  <si>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</si>
  <si>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</si>
  <si>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</si>
  <si>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</si>
  <si>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</si>
  <si>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</si>
  <si>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</si>
  <si>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</si>
  <si>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</si>
  <si>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</si>
  <si>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</si>
  <si>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</si>
  <si>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</si>
  <si>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</si>
  <si>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</si>
  <si>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</si>
  <si>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</si>
  <si>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</si>
  <si>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</si>
  <si>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Se brindó apoyo económico a veinte dos deportistas de las siguientes disciplinas: bolo convencional y  discapacidad, triatlón, pesas, BMX, atletismo convencional , atletismo discapacidad, tenis de campo discapacidad y bádmington.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</si>
  <si>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</si>
  <si>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</si>
  <si>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Contratos de Prestacion de Servicios, suministro, enfocados a la planificacion de planes, programas y proyectos de vivienda, infraestructura y equipamiento colectivo y comunitario</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</si>
  <si>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</si>
  <si>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</si>
  <si>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</si>
  <si>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</si>
  <si>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</si>
  <si>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</si>
  <si>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</si>
  <si>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</si>
  <si>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</si>
  <si>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</si>
  <si>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</si>
  <si>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</si>
  <si>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</si>
  <si>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0.8</t>
  </si>
  <si>
    <t>6.5</t>
  </si>
  <si>
    <t>22.5</t>
  </si>
  <si>
    <t>0.9</t>
  </si>
  <si>
    <t>8.7%</t>
  </si>
  <si>
    <t>7.5</t>
  </si>
  <si>
    <t xml:space="preserve">164.200.000  / aportado por sec de industia y comercio  / 415.120.588  aportado por la sec de agricultura </t>
  </si>
  <si>
    <t xml:space="preserve">139.334.000 ejecutados por sec de industria y comercio  / 170.583.776 aportado por la sec de agricultura </t>
  </si>
  <si>
    <t>meta 65: $6.437.930.092
meta 66: $11.013.055.420.24
meta 67: $1.300.000.000</t>
  </si>
  <si>
    <t>meta 65: $2.690.516.005
meta 66: $7.974.450.790
meta 67: 0</t>
  </si>
  <si>
    <t>Meta 68: $25.000.000
Meta 69: $5.000.000
Meta 72: $5.000.000
Meta 73: $15.080.000</t>
  </si>
  <si>
    <t>Meta 68:  $4.405.000
Meta 69: $4.400.000
Meta 72: 0
Meta 73: $15.900.000</t>
  </si>
  <si>
    <t>actividades realizadas con presupuesto propio de las universidades</t>
  </si>
  <si>
    <t>n/A</t>
  </si>
  <si>
    <t>84 millones</t>
  </si>
  <si>
    <t xml:space="preserve">84 millones </t>
  </si>
  <si>
    <t>En la actualidad el departamento del Quindío cuenta con 7 políticas públicas, las cuales son: el municipio de Armenia, Calarca,  Filandia,  Circasia, Salento, Buenavista y el departamento del Quindío. Los municipios de Quimbaya, Montenegro, Calarcá,  La Tebaida y Córdoba se encuentran en proceso de construcción del diagnostico social situacional para lograr formular la política y su posterior adopción.</t>
  </si>
  <si>
    <t>Actualmente la matriz estratégica de planificación de la política pública de juventud se encuentra 100% armonizada con el plan de desarrollo en defensa del bien común 2016-2019, por otro lado se socializo  ante el consejo de política social los avances del proceso de implementación de la política en septiembre de la presente vigencia. Ademas se socilizo y valido el documento de ajuste a politica publica.</t>
  </si>
  <si>
    <t>Actualmente la secretaría de familia a través de la oficina de juventud lidera el sistema departamental de juventud el cual está conformado por  12 plataformas, Asamble de Juventud finalmente la oficina de juventud con el propósito de dar cumplimiento a la ley 1885 conformó la plataforma departamental de juventud y reglamento la comisión de concertación y decisión</t>
  </si>
  <si>
    <t>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</si>
  <si>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
El reporte de 2018 fue una tasa de 21%, sin embargo 2019 aun no ha arrojado ningun reporte.
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catación, charlas y degustaciones, actividades marketing digital y construcción de la página web del clúster de cafés especiales.
* Ruta de Cueros de Alta Gama (Ärtemis):
- Se apoyaron 5 empresarios de la ruta competitiva de cueros a través de la participación en la Feria del cuero, o el International Footwear and Leather Show, evento que reune a los empresarios más importantes de la industria y que se constituye en la vitrina más importante del sector de cueros en el país.
Meta 39:
Desde el año 2016 se vienen acompañando las iniciativas clúster de TICs, Construcción y Turismo de Salud y Bienestar, las cuales requieren acompañamiento permanente de la Secretaría con el objetivo de apoyar su fortalecimiento y consolidación.
* Actualmento los clusters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clústers Quindío Destino Vital (Salud y Bienestar) y Quindío Construye Verde (Construcción), esto gracias al trabajo articulado con los empresarios de estos 2 sectores estrátegicos de la economía del Departamento.  38 empresas del Departamento beneficiadas con este reconocimiento.
* Se acompañó la rueda de relacionamiento del Clúster Quindío Destino Vital, con la cual las empresas de este clúster pudieron dar a conocer sus servicios y productos, además de promocionar su nuevo sitio web www.quindiodestinovital.com, con el cual inician proceso de ventas en linea de los servicios de estas empresas.
* Se apoyo la realización de OFETIC, evento liderado por el Cluster de TICs, en el cual las empresas pudieron realizar una feria comercial con el fin de dar a conocer sus servicios en tecnologia, adicionalmente en el marco de este evento se desarrolló una agenda con foros y talleres sobre la Transformación Digital, el evento tuvo el acompañamiento del Colombia Productiva.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 En el marco del convenio 009 de 2019, el Centro Gran Colombiano del PCC, en la primera fase de ejecución, realizó un proceso para determinar el estado de los atrbutos y valores del PCC en los municipios del Quindío, esto con el fin de validar el estado real de la declaratoria y establecer las acciones emprendidas por los gobiernos municipales y departamental frente al fortalecimiento de la declaratoria.  Actualmente se viene ejecutando la segunda fase, la cual esta orientada al desarrollo de los instrumentos de planificación territorial a partir de la información recopilada en la primera fase.
Meta 42:
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</si>
  <si>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2.1.2: observacion: 4 unidades apoyadas por sec   de agricultura y 2.5 apoyadas por sec de industria y comercio </t>
  </si>
  <si>
    <t xml:space="preserve">
2.1.3: observacion 2.5  unidades apoyadas por sec de industria y comercio  y 20 unidades apoyadas por sec de agricultura </t>
  </si>
  <si>
    <t xml:space="preserve">*Elaboración y aprobación del Convenio 004 de 2019 entre el Departamento del Quindío y COFINCAFE para la implementación del Programa de Gestión Financiera "SOLIDIARIO".
* En total se desembolsaron $591.00.000 de pesos, beneficiando a 253 micros y pequeños empresarios de 11 municipios del Departamento del Quindío, otorgando crédito fácil y a bajo interes para la capitalización de sus unidades productivas, distribuidos así: 
Armenia 96 beneficiarios.   Quimbaya 35 beneficiarios.  Tebaida 30.   Filandia 28.   Calarcá 24.   Montenegro 16.   Circasia 14.   Buenavista 4.   Salento, Córdoba y Pijao 2 beneficiarios cada uno. </t>
  </si>
  <si>
    <t>Se realizo capacitación a 200  jóvenes y mujeres rurales en actividades agrícolas y no agrícolas  como asociatividad, emprendimiento, Matrices de costos de producción, finanzas y aseguramiento de la calidad, Elaboración de estrategias y alternativas de fortalecimiento organizacional en el área administrativa, Educación financiera, Escala de precios de productos, importancia de la asociatividad, “¿Un sector agropecuario en el Quindío, es posible?”, aumentando así su competitividad . Calarca 80, Tebaida 86, Armenia 34.</t>
  </si>
  <si>
    <t>Para el apoyo de las unidades de emprendimiento de jóvenes emprendedores, se implementan cuatro (4) módulos: 1- Modelo de negocios.  2- Mercadeo y Costos.  3- Herramientas Digitales y 4- Planeación Estrategica.  Para el año 2019 se vienen acompañando las siguientes unidades de emprendimiento:
* La Crespita (Diana María Acevedo): Diagnóstico empresarial, modelo CANVAS, mapa de empatía, herramientas digitales (Fan page FAcebbok, Instagram, Whatsapp Bussines, manejo de bases de datos y mailship, participación en feria comercial.
* Guaduarte (Laura Catalina Arteaga): Diagnóntico empresarial, planeación estrategica, herramientas digitales (Fan page FAcebbok, Instagram, Whatsapp Bussines, manejo de bases de datos y mailship.
* Sanciara( Lida Raquel Cuello): Diagnóntico empresarial, planeación estrategica, herramientas digitales (Fan page Facebbok, Instagram, Whatsapp Bussines y plataforma vendes fácil, costeo de productos y estructura financiera.
* Apoyo en la participación de 31 empresarios del sector artesanal en la feria "Exposisción Artesanal de Armenia".
* Realización de Festival al Parque con la participación de 238 emprendedores de todo el Departamento.</t>
  </si>
  <si>
    <t>El Ecosistema se encuentra diseñado desde el 2016, a través de este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 Capaticaciones:
   - Quimbaya 11 personas capacitadas en temas de empleo y emprendimiento.
   - Calarcá 11 personas capacitadas en temas de empleo y emprendimiento.
   -Génova 17 personas capacitadas en temas de empleo y emprendimiento.
*Consolidado Centro de Empleo (30/09/2019)
   - 2024 personas colocadas
   - 1558 personas registrada
* Realización del 2do Congreso Latinoamericano de Emprendimiento - EmprendeLAC 2019:
   - 7023 asistentes.
   - Rueda de negocios con ventas de 362.000.000
   - Participación de 15 emprendedeores en muestra empresarial.</t>
  </si>
  <si>
    <t xml:space="preserve">META 65:Se  viene Implementando el programa que permite garantizar el acceso y la permanencia de niños, niñas y jóvenes en  las 54  Instituciones Educativas oficiales de los 11 municipios no certificados del Departamento del Quindio, con la prestacion del servicio de  seguridad y el servicio del aseo   en sus instalaciones.  La cobertura educativa es de  39.688 estudiantes.    Información extraida del  Sistema de Información de Matriculas -SIMAT-
META 66: Se viene Implementando  el Programa de Alimentación Escolar (PAE), beneficiando a   28.493 estudiantes en  las 54  Instituciones Educativas oficiales de los 11 municipios no certificados del Departamento del Quindio,  Entregándose:
- Almuerzo preparados en sitio  315.392
- Complemento preparado en sitio 122.439
-   Industrializado 310.670
META 67: No se ha implementado el programa de Transporte Escolar,   toda vez que los municipios se encuentran en el proceso de envío de informes de cierre de la vigencia anterior. Así mismo está en proceso la justificación de la necesidad por cada municipio y el envío de los soportes documentales para el desarrollo de la minuta de los convenios de transferencia.
</t>
  </si>
  <si>
    <t>Durante el I Trimestre del año 2018, la Secretaría de Educación Departamental viene atendiendo la pobvlación estudiantil mediante 8 modelos flexibles:
Programa para jóvenes en extraedad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extraida del  Sistema de Información de Matriculas -SIMAT-
69:Se viene implementando la estrategia que ha permitido disminuír la tasa de analfabetismo en los municipios del Departamento, La secretaria de educacion se encuentra en el proceso de consolidacion de matricula y busqueda de adultos.
72:Se han atendido un total de 199 menores y/o adultos que se encuentran en riesgo social en conflicto con la ley penal,  vinculandose academicxamente asi: 
* 72 jovenes en la sede educatiiva la primavera (privados de la libertad), de Montenegro, en cada uno de los niveles en que se encunetran, SRPA . 
*  18  jovenes matriculados con  medida no privativa en el Instituto Calarca y  77   niñas, niños, adolescentes y jovenes en  proteccion. 
* 32 niñas en el programa de proteccion en la I.E San Vicente de Paul  de Genova.
Se realizo capacitacion en la estartegia pedagogiica al grupo de docentes y se esta organizando el sisitema de evaluacion. 
73:Se continua con el apoyo en la asistencia tecnica, seguimiento y control de los procesos desarrollados en la atencion  de los estudiantes de los establecimientos Educativos  no certificados, que reportan Discapacidad,  capacidades  y talentos excepcionales. Se han realizado asesoria y orientaciones a docentes de aula frente a la actual normatividad 1421 y sus lineamientos, en estrategias del DUA (Diseño Universal del Aprendizaje) y en la eecucion del PIAR (Plan de Ajustes Razonables).
Se continua con la contratacion de 31  profesionales de apoyo pedagogico para 27 isntituciones educativas oficiales del departamento, 7 apoyos pedagogicos para estudiantes sordos de primaria con perfil de  modelos linguisticos a 7 instituciones educativas, 6 apoyos pedagogicos para estudiantes sordos de secundaria con perfil de  interpretes de LSC a 6 instituciones educativas,  1 un tiflologo para el apoyo pedagogico de estudiantes con discapacida visual, 1 un psicologo itinerante para la identificacion de posibles estudiantes con discapacidad, capacidades y talentos excepcionales, 2 docente bilingues biculturales para la enseñanza de las dos lenguas el casteñano y la lengua de señas colombiana (LSC).
Se realizo un evento artistico cultural en el municipio de montenegro, en el cual se realizo presentaciones artisticas de tos estudiantes que presentan discapacidad, capacidades y talentos excepcionales</t>
  </si>
  <si>
    <t xml:space="preserve"> universidad del quindio 1877 /  corporacion universitaria Alexander Vond Humbolt  312:    total 2189 ESTUDIANTES INGRESADOS A LA EDUCACION SUPERIOR
A la fecha no se tiene el dato de número  de estudiantes que ingresarón a la educación superior, sin embargo el gobierno Departamental 2016 - 2019 "Quindío Si para Ti", viene contribuyendo al acceso y permanencia de los estudiantes egresados de las instituciones Educativas Oficiales del Departamento Así:
META 105: Se continua  fortaleciendo el proceso de Articulacion en las cuarenta  y nueve (49) instituciones educativas con el programa de articulación con el SENA y las catorce (14) Instituciones Educativas que  están articuladas con el Instituto de educación técnica Profesional de Roldanillo - INTEP por medio del cual están matriculados en el tercer semestre del ciclo tecnico profesional  Trescientos setenta  (370) estudiantes de educación media en programas de nivel técnico profesional.
CALARCÁ:  Instituto Tecnologico,  Baudilio Montoya,  San Jose, Instituto Calarca, Jesus Maria Morales, Segundo Henao, Robledo,  General Santander, Rafael Uribe Uribe, Antonio Nariño, San Bernardo, San Rafael, Roman María Valencia
CIRCASIA: Libre, Luis Eduardo Calvo Cano, San José, IMET
GÉNOVA: San Vicente de Paul, Instituto Génova
LA TEBAIDA: Gabriela Mistral, Inst. Tebaida, La Popa, Santa Teresita, Antonio Nariño, Luis Arango Cardona, Pedacito de Cielo
MONTENEGRO: General Santander, Fundadores, Inst. Montenegro, Santa Maria Gorretti, Marco Fidel Suarez
PIJAO: Santa Teresita, La Mariela, Luis Granada Mejia, Inst. Pijao
QUIMBAYA:  Mercadotecnia María Inmaculada, Policarpa Salavarrieta, Ramon Messa Londoño, El Naranjal, Inst. Quimbaya, Simón Bolivar, El Laurel
SALENTO:Liceo Quindío, Boquia
CÓRDOBA: José María Córdoba
FILANDIA: San Jose Fachadas, Francisco Miranda
BUENAVISTA: Inst. Buenavista
 En los siguiente Progrmas academicos y Numero de estudiantes:
 EN CONTABILIDAD Y COSTOS 28.
 EN PROCESOS ADMINISTRATIVOS 218
. EN PROCESOS AGROINDUSTRIALES 31
. EN PRODUCCIÓN AGROPECUARIA 36
 EN PRODUCCIÓN GRÁFICA 112
TOTAL 425
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el giro de los recursos.
Se giró el pago de la cuota del bien inmueble de la Institución Edcativa Colegio San Jose del Municipio de Circasia
NO SE TIENE CLARO EL TOTAL PUESTO QUE NO TODAS LA UNIVERSIDADES RESPONDIERON, POR LO TANTO ES IMPOSIBLE CALCULAR LA TASA</t>
  </si>
  <si>
    <t>7336: NUMERO DE ESTUDIANTES QUE OPTARON POR LA DESERCION ESCOLAR SEGUN LA UNIVERSIDAD DEL QUINDIO, SIN MEBARGO NO TENEMOS EL TOTAL PARA DETERMINAR LA TASA
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
NO SE TIENE CLARO EL TOTAL PUESTO QUE NO TODAS LA UNIVERSIDADES RESPONDIERON, POR LO TANTO ES IMPOSIBLE CALCULAR LA TASA</t>
  </si>
  <si>
    <t>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t>
  </si>
  <si>
    <t xml:space="preserve">Es de aclarar que estos indicadores son propios de las instituciones de Educación Superior, si embargo la SED aporta a través de dos metas productos del plan de desarrollo como apoyo a  mejorar los indices de aceso y permanencia en la educación superior. REPORTE DE NUEVOS BACHILLERES: 16493 universidad del quindio / corporacion universitaria Alexander Vond Humbolt  1177 / total : 17.670 </t>
  </si>
  <si>
    <t xml:space="preserve">Desarrollo de certificación de agentes en salud sexual y reproductiva, en alianza con el ICBF
Desarrollo de mesas con las diferentes instituciones a fin de realizar asesoría técnica frente al plan de acción Departamental de Sexualidad Derechos Sexuales y Reproductivos y sucomite de ITS-VIH
El 18 de Julio de 2019 se realiza el 5to Taller de agentes comunitarios TB/VIH en el Instituto INEC 
Mesa de trabajo con  programa TB  en donde se socializa el seguimiento de las UDAS y se verifican las acciones establecidas desde el programa, con relación al plan de acción
El 1 de agosto se realiza Capacitación en Servicios amigables y veedurías juveniles a las instituciones del sector salud </t>
  </si>
  <si>
    <t xml:space="preserve">se desarrolla la estrategia en actividad fisica  del programa de habitos y estilos de vida saludable palpita quindio, donde Se suscribió el convenio No 270 de 2019 con Coldeportes para fortalecer este proyecto.  se estan atendiendo 11 municipios del departmaento del quindio puesto que armenia tiene programa propio atendiendo una poblacion promedio de 1500 usuarios en grupos tanto regulares como no regulares. </t>
  </si>
  <si>
    <t>EL Subprograma de Maternidad Segura de la Secretaria de Salud Departamental, realizo actividades articuladas con varios sectores que determinan los factores estructurales y sociales de la salud, basado en educacion en salud, incluyentes, apuntalando los derechos sexuales y reproductivos , que hacen parte de los derechos primarios ,  vizibilizarndo los grupos vulnerables culturalmente, apostandole a una sociedad mas incluyente y a categorizar la dignidad humana ,como requisito unico para la igualdad en la raza humana, estas actividades las realizamos en los doce municipio de nuestro departamento,pero solo en 8 de estos dejamos estructura para replicar esa culturizacion- Nostros como Maternidad segura tenemos el proyecto para la proxima administracion la creacion de un grupo multidiciplinario e intersectorial (secretaria de salud, familia, educacion, icbf, procuraduria de familia, defensoria del pueblo, fiscalia) aunados a la estrategia zoe(zona de orientacion escolar) para intervenir a cada institucion, por untiempo de 10 semanas, para impactar positivamente los problemas complejos de interes en salud publica(consumo de spa,prostitucion infantil, tratata de blanca, desercion escolar , explotacion sexual de menores, entre otros-     NOTA -  El indicador Numero de Embarazos en Menores de 20 años , Es de la Meta 134 - LINEA BASE   1.607 EMBARAZOS  Fuente Colombia Joven - Juaco año 2012  - Meta año 2024 &lt; 1.100 Embarazos   AÑO 2018  629 embarazos      AÑO 2019  556 embarazos  mujeres &lt; 20 años</t>
  </si>
  <si>
    <t>Se realizó asistencia tecnica para el proceso de adopcion de la Politica Pública de Salud Mental en el municipio Armenia. se brindaron indicaciones para iniciar el proceso de adopción de la Resolución 089 de 2019 y la Resolución 04886. 
 *Se realizó la recopilacion de los decretos y/o Resoluciones de los municipios faltantes, a la fecha se cuenta con el proceso de adopción de los municipios de Buenavista, Cordoba, Circasia, Genova, Filandia Salento, Montenegro, Quimbaya, La Tebaida y Pijao. 
*Entrenamiento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</si>
  <si>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103 Intervenciones de Enero de 2019 al 30 de Abril de las cuales se beneficiaron 79.873 
176 intervenciones del 8 de mayo al 30 de junio, y 279 del 1 de Julio al 31 de Agosto para un total de 455  intervenciones  un total de 114.762  personas intervenidas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</si>
  <si>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t>
  </si>
  <si>
    <t>El responsable no dio reporte de la informacion para esta meta.</t>
  </si>
  <si>
    <t xml:space="preserve">Actividades realizadas por parte de ICBF con operadores para el programa de Generaciones con Bienestar en sus modalidades Étnicas, Tradicional y Rural: 1456. 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</si>
  <si>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En sesion del Consejo Seccional de estupefacientes  se acordó no emitir un decreto de adopción
al  plan departamental de Drogas del Quindío donde se encuentra inmersa reducción del consumo de sustancias psicoactivas SPA; dado que el Pais cuenta con una nueva Politica de Drogas " Ruta Futuro", Politica Nacional de Salud Mental Resolución 04886 de 2018 y la Resolucíon 089 de 2019 Por la cual se adopta la Política Integral para la Prevención y Atención del Consumo de Sustancias Psicoactivas; De acuerdo  a lo anterior el Plan Integral de Drogas debe ser reformulado con base a estos lneamientos y al nuevo Plan de Desarrollo Departamental
*En el marco del Plan Integral de Drogas (PIDD)  11 municipios han presentado Plan de Acción vigencia 2019
 (Circasia - Montenegro - Córdoba - Filandia - Génova - Quimbaya - Salento-La Tebaida-  Génova - Armenia -Pijao.). De los cuales 7  municipios han enviado seguimiento al Plan de Acción (Montenegro,Circasia, Armenia, Quimbaya,Filandia, Cordoba y Buenavista)
*Realización del III   Comité Departamental de Drogas  con énfasis en Reducción del Consumo de Sustancias Psicoactivas en el cual se socializaron las actividades desarrolladas  en los municipios e instituciones en el primer trimestre en el marco del PDD.</t>
  </si>
  <si>
    <t>No existen reportes de prevalencia del consumo, el ulitmo reporte se dio en 2013:  http://www.odc.gov.co/Portals/1/publicaciones/pdf/odc-libro-blanco/reporte_drogas_colombia_2017.pdf</t>
  </si>
  <si>
    <t xml:space="preserve">NOTA -  El indicador Numero de Embarazos en Menores de 20 años , Es de la Meta 134 - LINEA BASE   1.607 EMBARAZOS  Fuente Colombia Joven - Juaco año 2012  - Meta año 2024 &lt; 1.100 Embarazos   AÑO 2018  629 embarazos      AÑO 2019  556 embarazos  mujeres &lt; 20 años    , Desde ICBF no se cuenta con una meta de atención solo se realiza sensibilización a las Instituciones que requieran la atención   Las actividades ejecutadas se desarrollaron por los enlaces de Niñez y Adolescencia de ICBF, sin contar con la contratación de un operador para este tipo de actividades durante esta vigencia. </t>
  </si>
  <si>
    <t>se viene ejecutando los campamentos juveniles y reforzando gracias a que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358 campistas.  Se desarrollaron las  fases municipales de campamentos juveniles  en los municipios del departamento del quindio, donde el ente Departamental asesoro, acompaño y presto toda la logística para el desarrollo de campamento en sus fases municipales. tambien se llevo a cabo el campamento juvenil en su fase departamental con 257 campistas beneficiados y se escogieron los campistas que nos representaran en octubre en la fase nacional en la guajira.  ademas de esto el IMDERA a beneficiado a 52250 personas  en la ciudad de Armenia entre jovenes y adultos, mediante actividades deportivas, ciclovias, rumba terapias entre otras.</t>
  </si>
  <si>
    <t xml:space="preserve">se han apoyado en total 23 ligas deportivas asi: con contratacion de tecnico departamental, monitores departamentales, equipo biomedico (medico deportologo 347 atenciones, 70 atenciones psicologicas, 369 atenciones con fisioterapia, 52 sesiones grupales), couching motivacional, 18 convenios interadministrativos para apoyo a ligas. ligas beneficiadas. 1. atletismo, 2, Taekwondo, 3. Patinaje,4.Levantamiento de pesas, 5.Fútbol de salón masculino, 6, Limitados cognitivos (Para natación) 7, Judo, 8limitados fisicos (Tenis silla de ruedas) 9, Karate do, 10  Triatlón, 11, Hapkido  12,ciclismo 13.Voleibol, 14.futbol 15, parapowerlifting,  16,futbol sala, convencional y no convencional. 17. Limitados Visuales (judo) 18.Gimnasia, 19.Bolos, 20.ajedrez, 21.balonmano 22,tenis de mesa.  23 tenis de campo. Adicionalmente   se brindó apoyo   profesional en procesos de planeación, jurídicos, técnicos, logísticos y de gestión documental del área técnica las ligas que asi lo requirieron. tambien se apoyo los equipos profesionales de baloncesto (cafeteros), futbol sala (tigres del Quindio) y futbol de salon (caciques del quindio).  se encuentra en procesos las invitaciones publicas y/o licitaciones para garantizar la participacion de la delegacion del quindio en los juegos nacionales y paranacionales 2019, donde se vera el total del porcentaje de cumplimiento financiero. adicional a esto la Universidad del Quindio ha apoyado a 900 deportistas  estudiantes universitarios  por medio de incentivos economicos, ejecutando un aporte propio adicional  de  424.177.637 millones de pesos </t>
  </si>
  <si>
    <t xml:space="preserve"> se han apoyado e incentivado con recurso económico a veintiun  (21) deportistas de las siguientes disciplinas:Ciclismo, Futbol de salon, bolo, bolo discapacidad, Triathlón, levantamiento de Pesas,  Atletismo, Atletismo Discapacidad y tenis de campo discapacidad adicional a esto la Universidad del Quindio ha apoyado a 1755 deportistas  estudiantes universitarios  por medio de incentivos economicos, ejecutando un aporte propio adicional  de  424.177.637 millones de pesos </t>
  </si>
  <si>
    <t>se repite el objetivo de la metas 202/203  con el items 2.5.2  el cual ya fue desarrollado por indeportes según lo detallado en las observaciones , según indeportes en el presente items 2.5.3 se deberia tener como objetivo  Apoyar 13 ligas de los eventos deportivos de carácter federado , nacional y departamental.   relacionado con la meta 204  (se  han apoyado 9 ligas deportivas para garantizar la participacion en eventos federados asi: 1.Levantamiento de pesas, 2.Futbol de salón, 3.Triatlón, 4.Limitados Físicos, 5.Bolo, 6.Hapkido, 7.judo 8.Limitados visuales y 9.limitados Auditivos) (se modifico en base a lo acordado)</t>
  </si>
  <si>
    <t>se repite el objetivo de la metas 202/203  con el items 2.5.2  el cual ya fue desarrollado por indeportes según lo detallado en las observaciones , según indeportes en el presente items 2.5.3  se deberia  tener como objetivo Apoyar los juegos intercolegiados en el Departamento del Quindio  relacionado con la meta  205 ( se ha ejecutado los juegos y se suscribió el convenio con Coldeportes Nacional  No 407 de 2019  se socializaron los juegos superate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en las categorías infantil prejuvenil y juvenil, ramas femenino y masculino. Se Apoyo la fase Municipal en todos los Municipios y se realizo la fase Departamental con apoyo en logistica, premiacion, juzgamiento, transporte, hidratacion, polizas y alimentacion. y se tiene la delegacion clasificada en deportes de conjunto a la fase regional. ) (se modifico en base a lo acordado)</t>
  </si>
  <si>
    <t xml:space="preserve">1. mejoramiento y mantenimiento del parque de los sueños de la ciudad de armenia 2. Mejoramiento del coliseo cubierto del municipio de circasia 3. mejoramiento del coliseo de la ie robledo sede principal de calarca, </t>
  </si>
  <si>
    <t>Dentro de los proyectos para la mejora de la competitivdad se realizó: 
a.) Primer seminario taller en diseño de paquetes turísticos para el departamento del Quindío
b.)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Se acompañó en la formulación del proyecto "mejoramiento de la plaza de mercado del Municipio de Pijao", y se prseta asistencia técnica en la formulación del Proyecto gastronómico "Quindío, Café y Sabor".
En el marco del Proyecto de Turismo Responsable, se ha dado continuidad al desarrollo de  las Brigadas de Formalización Turística y desarrollo de la campaña en contra del  ESCNNA (explotación sexual comercial de niñas, niños y adolescentes)
Se presta apoyo a los municipios en fase de la Certificación de destinos sostenibles NTS TS 001-1, mediante procsos de implementación de campañas en contra de la ESCNNA y otros flajelos 
La ejecución de la meta 52, atiende la población económicamente activa, pero es importante aclarar que esta meta no es exclusiva para el segmento de la población joven, por consiguiente la ejecución presupuestal reportada obedece al recurso dispuesto para el financiamiento del total de la meta.</t>
  </si>
  <si>
    <t xml:space="preserve">A corte 30 de septiembre de 2019, se ha apoyado a diferentes actores culturales de manera inclusiva, por tanto dentro de la descripción no se hace diferencia:
Meta 114*Se han apoyado veintinueve (29)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Veintiuno (21) proyectos de formación para las Primarias Artísticas que han incorporado a su plan de estudios áreas como música y danza en instituciones educativas.  Igualmente se adelantaron procesos de formación impartidos en las Casas de la Cultura en áreas como teatro, artes plásticas y uno dedicado al fomento de la música afrodescendiente,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*Se han apoyado cincuenta y cinco (55) proyectos del programa de concertación cultural del departamento; en el marco del proceso de Concertación Departamental se han beneficiaron 31 proyectos y 24 más con relación al programa de Concertación Nacional. </t>
  </si>
  <si>
    <t>Micrositio de la Oficina de juventud actualizado y funcionando donde se exponen todas las acciones desarrolladas desde la oficina, sus comites, asambleas e instancias de validacion y concertacion, ajustes a la politica publica de Juventud terminados y socializados en el Consejo de Politica Social</t>
  </si>
  <si>
    <t>cabe aclarar que la presente informacion es aportada por las universidades del departamento / universidad del Quindio; mediante sus programas de investigacion y patentes ha beneficiado a 18 estudiantes por medio de incentivos economicos, ademas de integrarlos como auxiliares de investigacion, investigadores , auxiliares de docencia, y tutores estudiantiles , en sus facultades de medicina y ciencias de la salud, y el la facultad de ingenieria entre otras, los recursos detallados en este items son propios de la universidad  del Quindio.
18 universidad del Quindio / 2 CUA</t>
  </si>
  <si>
    <t xml:space="preserve">cabe aclarar que la presente informacion es aportada por las universidades del departamento / universidad del Quindio: ha ejecutado diferentes foros , actividades, semilleros encaminados a integrar a los jovenes del departamento a ingresar a la educacion superior, al igual que  el desarrollo de diferentes convenios con universidades nacionales con eñ anhelo  de dar mejor oportunidades a los jovenes de especializarse en su carrera,  entre estas  universidad de caldas, universidad del tolima, uceva, universidad del atlantico entre otras  (los recursos relacionados en este items son propios de la U del Quindio )
4.5 Universidad del Quindio / 3 CUA / TOTAL 7.5 </t>
  </si>
  <si>
    <t xml:space="preserve">Existen doce Plataformas de Juventud Municipales y Una Departamental las cuales tiene como función la Veeduría y Control Social de Políticas Públicas, Planes de Desarrollo, Entre Otros. Se encuentra en ejecucion </t>
  </si>
  <si>
    <t xml:space="preserve">En el Departamento existe un Observatorio Social En donde Se realizan estudios de las dinámicas sociales de jóvenes  s encuentra en ejecucion </t>
  </si>
  <si>
    <t xml:space="preserve">Se han realizado dos Asambleas Departamentales de Juventud en las que se rindieron cuentas de las acciones emprendidas desde la jefatura de juventud en cumplimiento de la politica publica, se realizo una rendicion de cuentas con la platraforma de juventud departamental donde se expusieron las acciones desarrolladas por la Ofician de Juventud </t>
  </si>
  <si>
    <t>En un reciente sondeo realizado por la Oficina de Juventud, se encontro que hay 5 casas de la juventud que en el momento no se encuentran en funcionamiento, o sus espacios fisicos de encuentran destinados a otras actividades.</t>
  </si>
  <si>
    <t>Existen 12 Plataformas Municipales de Juventud en el Departamento inscritas y funcionando</t>
  </si>
  <si>
    <t xml:space="preserve">Se ha realizado una asamblea departamental de juventud y en cada municipio se han realizado las respectivas asambleas de juventud </t>
  </si>
  <si>
    <t>AVANCE TOTAL PPJ</t>
  </si>
  <si>
    <t>META FINAL DE LA POLITICA EN 2024</t>
  </si>
  <si>
    <t>17.5%</t>
  </si>
  <si>
    <t>3.82%</t>
  </si>
  <si>
    <t>48.5%</t>
  </si>
  <si>
    <t>45.9%</t>
  </si>
  <si>
    <t>7.56%</t>
  </si>
  <si>
    <t>por debajo de la tasa nacional</t>
  </si>
  <si>
    <t>por debajo de la prevalencia nacional</t>
  </si>
  <si>
    <t>AVANCE DE CUMPLIMIENTO TOTAL</t>
  </si>
  <si>
    <t>Avance total cumplimiento PPJ</t>
  </si>
  <si>
    <r>
      <t xml:space="preserve">$ 1,000,000
</t>
    </r>
    <r>
      <rPr>
        <sz val="10"/>
        <color rgb="FFFF0000"/>
        <rFont val="Calibri"/>
        <family val="2"/>
        <scheme val="minor"/>
      </rPr>
      <t>$ 2,855,000</t>
    </r>
  </si>
  <si>
    <r>
      <rPr>
        <b/>
        <sz val="10"/>
        <rFont val="Calibri"/>
        <family val="2"/>
        <scheme val="minor"/>
      </rPr>
      <t>Secretaría del Interior:</t>
    </r>
    <r>
      <rPr>
        <sz val="10"/>
        <rFont val="Calibri"/>
        <family val="2"/>
        <scheme val="minor"/>
      </rPr>
      <t xml:space="preserve">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t>
    </r>
  </si>
  <si>
    <r>
      <rPr>
        <b/>
        <sz val="10"/>
        <color rgb="FFFF0000"/>
        <rFont val="Calibri"/>
        <family val="2"/>
        <scheme val="minor"/>
      </rPr>
      <t xml:space="preserve">Secretaría del Interior: </t>
    </r>
    <r>
      <rPr>
        <sz val="10"/>
        <color rgb="FFFF000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</si>
  <si>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r>
      <t xml:space="preserve">$ 2,131,000
$ 57,630,000
$ 9,905,167
</t>
    </r>
    <r>
      <rPr>
        <sz val="10"/>
        <color rgb="FFFF0000"/>
        <rFont val="Calibri"/>
        <family val="2"/>
        <scheme val="minor"/>
      </rPr>
      <t>$ 6,447,50</t>
    </r>
  </si>
  <si>
    <t>Secretaria de Familia
Secretaria de Planeación
Alcaldías Municipales</t>
  </si>
  <si>
    <t>Secretaria de Familia, Secretarías de Planeación
Alcaldías Municipales</t>
  </si>
  <si>
    <t>Consejos de Política Social Departamentales y Consejos de Política Social Municipales.</t>
  </si>
  <si>
    <t>Colombia Joven, Gobernación, Institutos Descentralizados
Alcaldías Municipales</t>
  </si>
  <si>
    <t>Ministerio del Trabajo,               Secretaria de Familia
Secretaria de Planeación
Alcaldías Municipales</t>
  </si>
  <si>
    <t>Secretaria de Planeación Secretaría de Familia
Secretaria de Turismo Industria y Comercio, CODECTY, Camaras de Comercio, Gremios
Dirección Territorial Ministerio del Trabajo.    SENA 
Secretaría de Agricultura
Alcaldías Municipales</t>
  </si>
  <si>
    <t>Secretaria de Planeación Secretaría de Familia
Secretaria de Turismo Industria y Comercio, CODECTI, Camaras de Comercio, Gremios
Dirección Territorial Ministerio del Trabajo.    SENA, Universidades, 
Secretaría de Agricultura
Alcaldías Municipales</t>
  </si>
  <si>
    <t>Secretaria de Turismo Industria y Comercio, CODECTI, Camaras de Comercio, Gremios
Dirección Territorial Ministerio del Trabajo.    SENA, Universidades, 
Alcaldías Municipales, Consejo Regional de Competitividad.</t>
  </si>
  <si>
    <t>Dirección Territorial Ministerio del Trabajo, SENA, Camara de Comercio, Gremios, Consejo Departamental de Política Salarial.</t>
  </si>
  <si>
    <t>Secretaria de Planeación y Planificación
Secretaria de Turismo Industria y Comercio
Secretaría de Educación Municipal
ICBF 
Secretaría de Desarrollo Rural
Ministerio del Trabajo
Alcaldías Municipales</t>
  </si>
  <si>
    <t>Secretaria de Planeación 
Secretaria de Turismo Industria y Comercio
Secretaría de Educación Municipal
Secretaría de Agricultura
ICBF
Ministerio del Trabajo
Alcaldías Municipales</t>
  </si>
  <si>
    <t>Secretaría de Turismo, Industria y Comercio, SENA, Universidades, Gremios, Secretaría de Educación. COPOS</t>
  </si>
  <si>
    <t>Secretaría de Turismo, Industria y Comercio, Camara de Comercio, SENA, Universidades, Gremios, Secretaría de Educación. CONPOS</t>
  </si>
  <si>
    <t>Secretaría de Turismo, Industria y Comercio,  Red Departamental de Emprendimiento, CONPOS</t>
  </si>
  <si>
    <t>Secretaría de Educación Departamental y S.E Municipal.
Alcaldías Municipales</t>
  </si>
  <si>
    <t>Secretaría de Educación
Universidades
Secretaría de Familia
Alcaldías Municipales</t>
  </si>
  <si>
    <t>Secretarías de Salud
Alcaldías Municipales</t>
  </si>
  <si>
    <t>Secretaría de Salud
Alcaldías Municipales</t>
  </si>
  <si>
    <t>INDEPORTES, Alcaldías Municipales, IMDERA</t>
  </si>
  <si>
    <t>Secretaría de Salud Departamental, Secretaría de Salud Municipal .</t>
  </si>
  <si>
    <t>Secretaría de Interior, Secretarías de Gobierno, Policía Nacional, Fiscalía, Comisarías de Familia, ICBF, Instituto de Medicina Legal.</t>
  </si>
  <si>
    <t>Secretaría de Salud
Secretaría del Interior
Secretaría de Educación
Secretaría de Familia
Organismos de Seguridad
Alcaldías Municipales</t>
  </si>
  <si>
    <t>Secretaría de Salud
Secretaría del Interior
Secretaría de Educación
Instituto de Tránsito
Secretaría de Familia
Organismos de Seguridad
Alcaldías Municipales</t>
  </si>
  <si>
    <t>Secretaría de Salud
Secretaría del Interior
Secretaría de Educación
Organismos de Seguridad
Alcaldías Municipales</t>
  </si>
  <si>
    <t>Secretaría del Interior, ICBF, Policía Nacional, Secretaría de Educación.</t>
  </si>
  <si>
    <t>Secretaría del Interior, ICBF, Policía Nacional, CONPOS</t>
  </si>
  <si>
    <t>Secretaría de Educación Departamental, Secretaría de Educación Municipal
Alcaldías Municipales</t>
  </si>
  <si>
    <t>Secretaría de Salud
Secretaría del Interior
Secretaría de Educación
Secretaría de Familia
Organismos de Seguridad</t>
  </si>
  <si>
    <t>Secretaría de Salud
Secretaría de Educación
Secretaría de Familia
ICBF
Alcaldías Municipales</t>
  </si>
  <si>
    <t>Indeportes
Alcaldías Municipales</t>
  </si>
  <si>
    <t>Indeportes
Secretaría de Educación
Universidades, SENA
Alcaldías Municipales</t>
  </si>
  <si>
    <t xml:space="preserve">INDEPORTESs, alcaldias municipales, </t>
  </si>
  <si>
    <t>Secretaría de  Turismo, Industria y Comercio,Secretaría de Cultura, CORPOCULTURA y Alcaldías</t>
  </si>
  <si>
    <t>Secretaría de Cultura</t>
  </si>
  <si>
    <t>Secretaría de Familia
Responsables de comunicaciones</t>
  </si>
  <si>
    <t>Secretaría de Salud
Secretaría del Interior
Secretaría de Educación
Secretaría de Familia
ICBF
Universidades</t>
  </si>
  <si>
    <t>Secretaria de Planeación y Planificación</t>
  </si>
  <si>
    <t>Secretaria de Planeación y Planificación
Secretaría de Familia</t>
  </si>
  <si>
    <t>Secretaría de Familia
Secretaria de Aguas e Infraestructura
Alcaldías Municipales</t>
  </si>
  <si>
    <t>Secretaría de Familia
Alcaldías Municipales</t>
  </si>
  <si>
    <t>PORCENTAJE DE EJECUCIÓN PRESUPUESTAL</t>
  </si>
  <si>
    <t xml:space="preserve">     </t>
  </si>
  <si>
    <t xml:space="preserve">
Se apoyó la implementación de diez (10) Programas de prevención del delito y mediación de conflictos apoyados en el corregimiento de Barcelona (Calarcá): 
- Encuentro multicolor clubes por la vida
- Club de ciudadanos.
-Club de progenitores
- Semillero Cultural
- Semillero deportivo
- Acompañamiento Psicológico
- Barrismo social
- Intervención individual
-Centrros de interes
- Proyectos productivos
Población impactada siete mil cuatro(7.004) personas.
Once (11) municipios con atención integral en su I fase de la vigencia 2019:
1. Circasia: Intervención IE Henry Marín, IE Libre población, Barrio la Esmeralda y Villa Nohemi
2. Calarcá: IE Rafael Uribe Uribe, Robledo, Barrios Llanitos piloto, Llanitos Guárala, la Virginia.
(Barcelona): Intervención en IE San Bernardo, BYI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11. Armenia: Buenos Aires Plano, Jardín del Edén, Guaduales del Edén,  vista hermosa, Génesis, Bambusa,Las Palmas, Nureva Esperanza,Nuestra señora la paz  y colinas. 
PISC  se encuentra actualizado , implementado y ejecutado, la secretaria del interior no puede determinar que presupuesto se ha ejecutado hasta el momento ya que se encuentra realizando un seguimiento a la ejecucion de sus metas con el cual va a especificar cuando se a gastado en cada una de las mismas. 
la tasa nacional es de 332, mientras que la departamental es de 200</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</si>
  <si>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discpaBYad,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</si>
  <si>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 xml:space="preserve">Alcaldía de Filandia: En este punto se destaca la atención al grupo de población en situación de discapacidad, con quien se practica diferentes deportes, promoviendo su autoexploración y el mejoramiento de sus capacidades excepcionales.
Alcaldía de Circasia: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juventud,domingo activo.
Alcaldía Córdoba: se esta trabajando con los adultos en el grupo de Amor y Vida con un porcentaje de 20 participantes, trabajo interno en elBYA con 13 adultos y externos 36 adultos con actividades Ludicas y Recreativas, juegos tradicionales;  se sigue trabajando con los adultos mayores del grupo Amor y Vida con la participacion de 20 adultos y con los adultos delBYA Hogar Humberto Lopez Vasquez, con la realizacion de actividades  Ludicas y Recreativas, juegos tradicionales.
Indeportes: No Reportó información.
Observación: No se pueden medir el porcentaje de avance de los indicadores., ya que la información suministrada por los responsables no se presenta en la variable adecuada.
</t>
  </si>
  <si>
    <t>Alcaldía de Filandia: En este punto se destaca la atención al grupo de población en situación de discapacidad, con quienes se practican diferentes deportes, promoviendo su autoexploración y el mejoramiento de sus capacidades excepcionales.
Alcaldía de Montenegro: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Alcaldía Córdoba: La administración municipal en conjunto con INDEPORTES y el enlace del Adulto Mayor del municipio realizando actividades recreatiavas y lúdicas, juegos deportivos, con la participación de 130 adultos mayores del grupo de Amor y Vida y los adultos delBYA Hogar Humberto López Vásquez.
Alcaldía de la Tebaida: se espera realizar para el próximo trimestre.
Indeportes: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</si>
  <si>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BYC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</si>
  <si>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se está a la espera de la unificación de la elección  por parte de la autoridad electoral de los CMJ y los BYJ a nivel nacional</t>
  </si>
  <si>
    <t>Por debajo de la tasa nacional (15%)</t>
  </si>
  <si>
    <t xml:space="preserve">PORCENTAJE DE AVANCE TOTAL </t>
  </si>
  <si>
    <r>
      <t xml:space="preserve">Secretaría del Interior: </t>
    </r>
    <r>
      <rPr>
        <sz val="10"/>
        <color theme="1"/>
        <rFont val="Calibri"/>
        <family val="2"/>
        <scheme val="minor"/>
      </rPr>
      <t xml:space="preserve">Se desarrollaron campañas de sensibilización para la prevención del reclutamiento.
</t>
    </r>
    <r>
      <rPr>
        <b/>
        <sz val="10"/>
        <color theme="1"/>
        <rFont val="Calibri"/>
        <family val="2"/>
        <scheme val="minor"/>
      </rPr>
      <t xml:space="preserve">
Secretaría Familia: </t>
    </r>
    <r>
      <rPr>
        <sz val="10"/>
        <color theme="1"/>
        <rFont val="Calibri"/>
        <family val="2"/>
        <scheme val="minor"/>
      </rPr>
      <t>No Reportó información.</t>
    </r>
  </si>
  <si>
    <r>
      <rPr>
        <b/>
        <sz val="10"/>
        <color theme="1"/>
        <rFont val="Calibri"/>
        <family val="2"/>
        <scheme val="minor"/>
      </rPr>
      <t xml:space="preserve">Alcaldía de Circasia: </t>
    </r>
    <r>
      <rPr>
        <sz val="10"/>
        <color theme="1"/>
        <rFont val="Calibri"/>
        <family val="2"/>
        <scheme val="minor"/>
      </rPr>
      <t xml:space="preserve">Cuenta con el Acuerdo Municipal 011 del 29 de mayo de 2015, que adopta la Política Pública de Juventud Municipal "Circasia  para la Juventud" 2015-2024
</t>
    </r>
    <r>
      <rPr>
        <b/>
        <sz val="10"/>
        <color theme="1"/>
        <rFont val="Calibri"/>
        <family val="2"/>
        <scheme val="minor"/>
      </rPr>
      <t xml:space="preserve">Alcaldía de Salento: </t>
    </r>
    <r>
      <rPr>
        <sz val="10"/>
        <color theme="1"/>
        <rFont val="Calibri"/>
        <family val="2"/>
        <scheme val="minor"/>
      </rPr>
      <t xml:space="preserve">Salento cuenta con Política Pública de Juventud vigente (Acuerdo Municipal 013 del 15 de Noviembre de 2017), de igual está articulada al Plan de Desarrollo Municipal "Salento Somos Todos" 2020-2023, en conjunto con otras políticas, planes y proyectos de ámbito social.
</t>
    </r>
    <r>
      <rPr>
        <b/>
        <sz val="10"/>
        <color theme="1"/>
        <rFont val="Calibri"/>
        <family val="2"/>
        <scheme val="minor"/>
      </rPr>
      <t>Alcaldía de Armenia:</t>
    </r>
    <r>
      <rPr>
        <sz val="10"/>
        <color theme="1"/>
        <rFont val="Calibri"/>
        <family val="2"/>
        <scheme val="minor"/>
      </rPr>
      <t xml:space="preserve"> Cuenta con la Política Pública "JÓVENES CONSTRUYENDO CIUDAD 2014-2024" adoptada mediante el decreto 169 del 11 DE febrero de 2015. 
</t>
    </r>
    <r>
      <rPr>
        <b/>
        <sz val="10"/>
        <color theme="1"/>
        <rFont val="Calibri"/>
        <family val="2"/>
        <scheme val="minor"/>
      </rPr>
      <t>Alcaldía La  Tebaida:</t>
    </r>
    <r>
      <rPr>
        <sz val="10"/>
        <color theme="1"/>
        <rFont val="Calibri"/>
        <family val="2"/>
        <scheme val="minor"/>
      </rPr>
      <t xml:space="preserve"> Política Pública adoptada mediante acuerdo muncipal 015 de 2019, en el momento se encuentra en etapa de ejecución. 
</t>
    </r>
    <r>
      <rPr>
        <b/>
        <sz val="10"/>
        <color theme="1"/>
        <rFont val="Calibri"/>
        <family val="2"/>
        <scheme val="minor"/>
      </rPr>
      <t>Alcaldía de Quimbaya</t>
    </r>
    <r>
      <rPr>
        <sz val="10"/>
        <color theme="1"/>
        <rFont val="Calibri"/>
        <family val="2"/>
        <scheme val="minor"/>
      </rPr>
      <t xml:space="preserve">: El municipio de Quimbaya adoptó la política pública de juventud mediante acuerdo municipal 016 de 2019.
</t>
    </r>
    <r>
      <rPr>
        <b/>
        <sz val="10"/>
        <color theme="1"/>
        <rFont val="Calibri"/>
        <family val="2"/>
        <scheme val="minor"/>
      </rPr>
      <t>Alcaldía de Buenavista</t>
    </r>
    <r>
      <rPr>
        <sz val="10"/>
        <color theme="1"/>
        <rFont val="Calibri"/>
        <family val="2"/>
        <scheme val="minor"/>
      </rPr>
      <t xml:space="preserve">: Política Publica de Juventud adoptada por medio de Decreto 087 de diciembre 15 de 2017 "Por medio del cual se adopta la política pública municipal de juventud 2017-2026 Buenavista un lugar para crear, soñar y construir", adicionalmente,  se cuenta con un contratista con funciones de implementar y hacer seguimiento al plan de acción. Asimismo, el plan de acción de la Política Pública de Juventud armonizado con el Plan de Desarrollo Buenavista es lo Nuestro 2020-2023.
</t>
    </r>
    <r>
      <rPr>
        <b/>
        <sz val="10"/>
        <color theme="1"/>
        <rFont val="Calibri"/>
        <family val="2"/>
        <scheme val="minor"/>
      </rPr>
      <t>Alcaldía Génova:</t>
    </r>
    <r>
      <rPr>
        <sz val="10"/>
        <color theme="1"/>
        <rFont val="Calibri"/>
        <family val="2"/>
        <scheme val="minor"/>
      </rPr>
      <t xml:space="preserve"> El municipio de Génova se encuentra en etapa de formulación de la política pública de Juventud                         
</t>
    </r>
    <r>
      <rPr>
        <b/>
        <sz val="10"/>
        <color theme="1"/>
        <rFont val="Calibri"/>
        <family val="2"/>
        <scheme val="minor"/>
      </rPr>
      <t>Alcaldía de Montenegro:</t>
    </r>
    <r>
      <rPr>
        <sz val="10"/>
        <color theme="1"/>
        <rFont val="Calibri"/>
        <family val="2"/>
        <scheme val="minor"/>
      </rPr>
      <t xml:space="preserve"> El municipio actualmente cuenta con una política pública de juventud "activos por la juventud 2022- 2032",aprobada mediante el acuerdo municipal 07 de 08 de septiembre del 2022 y se encuentra en etapa de implementación y seguimiento 
</t>
    </r>
    <r>
      <rPr>
        <b/>
        <sz val="10"/>
        <color theme="1"/>
        <rFont val="Calibri"/>
        <family val="2"/>
        <scheme val="minor"/>
      </rPr>
      <t>Alcaldía de Filandia</t>
    </r>
    <r>
      <rPr>
        <sz val="10"/>
        <color theme="1"/>
        <rFont val="Calibri"/>
        <family val="2"/>
        <scheme val="minor"/>
      </rPr>
      <t xml:space="preserve">: El  municipio de Filandia cuenta con política de juventud adoptada bajo acuerdo N°021 de 2019, cuya medición se realiza en el COMPOS.
</t>
    </r>
    <r>
      <rPr>
        <b/>
        <sz val="10"/>
        <color theme="1"/>
        <rFont val="Calibri"/>
        <family val="2"/>
        <scheme val="minor"/>
      </rPr>
      <t xml:space="preserve">Alcaldía de Pijao: </t>
    </r>
    <r>
      <rPr>
        <sz val="10"/>
        <color theme="1"/>
        <rFont val="Calibri"/>
        <family val="2"/>
        <scheme val="minor"/>
      </rPr>
      <t xml:space="preserve">La Política se encuentra en proceso de formulación.
</t>
    </r>
    <r>
      <rPr>
        <b/>
        <sz val="10"/>
        <color theme="1"/>
        <rFont val="Calibri"/>
        <family val="2"/>
        <scheme val="minor"/>
      </rPr>
      <t>Alcaldía de Córdoba:</t>
    </r>
    <r>
      <rPr>
        <sz val="10"/>
        <color theme="1"/>
        <rFont val="Calibri"/>
        <family val="2"/>
        <scheme val="minor"/>
      </rPr>
      <t xml:space="preserve"> El municipio no cuenta con la política pública de juventud implementada, sin embargo se realizan actividades teniendo en cuenta la Política Departamental de Juventud. 
</t>
    </r>
    <r>
      <rPr>
        <b/>
        <sz val="10"/>
        <color theme="1"/>
        <rFont val="Calibri"/>
        <family val="2"/>
        <scheme val="minor"/>
      </rPr>
      <t>Alcaldía Calarcá:</t>
    </r>
    <r>
      <rPr>
        <sz val="10"/>
        <color theme="1"/>
        <rFont val="Calibri"/>
        <family val="2"/>
        <scheme val="minor"/>
      </rPr>
      <t xml:space="preserve"> POLÍTICA PUBLICA DE JUVENTUDES "LOS JÓVENES SOMOS EL CAMBIO" adoptada mediante el acuerdo 019 del 2018. Se realiza seguimiento semestral, se realiza rendición de cuentas en el marco de la Asamblea y en el COMPOS cuarta sesión realizada el día 20 de diciembre de 2022.
</t>
    </r>
    <r>
      <rPr>
        <b/>
        <sz val="10"/>
        <color theme="1"/>
        <rFont val="Calibri"/>
        <family val="2"/>
        <scheme val="minor"/>
      </rPr>
      <t>Secretaría de Familia:</t>
    </r>
    <r>
      <rPr>
        <sz val="10"/>
        <color theme="1"/>
        <rFont val="Calibri"/>
        <family val="2"/>
        <scheme val="minor"/>
      </rPr>
      <t xml:space="preserve"> Reporta que en el Departamento del Quindío, nueve de los doce municipios cuentan con política pública de juventud formulada y en ejecución. Los municipios que no cuentan con política pública de juventud, son Génova, Córdoba y  Pijao.
</t>
    </r>
  </si>
  <si>
    <r>
      <rPr>
        <b/>
        <sz val="10"/>
        <color theme="1"/>
        <rFont val="Calibri"/>
        <family val="2"/>
        <scheme val="minor"/>
      </rPr>
      <t xml:space="preserve">Consejo municipal de política Social de Filandia: </t>
    </r>
    <r>
      <rPr>
        <sz val="10"/>
        <color theme="1"/>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color theme="1"/>
        <rFont val="Calibri"/>
        <family val="2"/>
        <scheme val="minor"/>
      </rPr>
      <t>Consejo municipal de política Social La Tebaida:</t>
    </r>
    <r>
      <rPr>
        <sz val="10"/>
        <color theme="1"/>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color theme="1"/>
        <rFont val="Calibri"/>
        <family val="2"/>
        <scheme val="minor"/>
      </rPr>
      <t>Consejo municipal de política Social Circasia:</t>
    </r>
    <r>
      <rPr>
        <sz val="10"/>
        <color theme="1"/>
        <rFont val="Calibri"/>
        <family val="2"/>
        <scheme val="minor"/>
      </rPr>
      <t xml:space="preserve"> No Reporta. 
</t>
    </r>
    <r>
      <rPr>
        <b/>
        <sz val="10"/>
        <color theme="1"/>
        <rFont val="Calibri"/>
        <family val="2"/>
        <scheme val="minor"/>
      </rPr>
      <t>Consejo municipal de política Social Calarcá:</t>
    </r>
    <r>
      <rPr>
        <sz val="10"/>
        <color theme="1"/>
        <rFont val="Calibri"/>
        <family val="2"/>
        <scheme val="minor"/>
      </rPr>
      <t xml:space="preserve"> La alcaldía municipal designo a la Secretaria de Servicios Sociales y Salud para la articulación y asistencia técnica con las instancias de participación de los jóvenes, así mismo esta secretaria cuenta con el Programa de  atención a jóvenes del municipio de Calarcá.
</t>
    </r>
    <r>
      <rPr>
        <b/>
        <sz val="10"/>
        <color theme="1"/>
        <rFont val="Calibri"/>
        <family val="2"/>
        <scheme val="minor"/>
      </rPr>
      <t>Consejo municipal de política Social Córdoba</t>
    </r>
    <r>
      <rPr>
        <sz val="10"/>
        <color theme="1"/>
        <rFont val="Calibri"/>
        <family val="2"/>
        <scheme val="minor"/>
      </rPr>
      <t xml:space="preserve">: El Municipio cuenta con el COMPOS-Consejo Municipal de Política Social, mediante el Decreto No. 085 del 26 de Diciembre del 2014,  en donde se realizaron las cuatro sesiones y cuenta con el plan de acción al cual se dio cumplimiento. Igualmente se realizaron los seguimientos a la POLÍTICA PÚBLICA  DE PRIMERA INFANCIA, INFANCIA Y ADOLESCENCIA Y FORTALECIMIENTO FAMILIAR. .
</t>
    </r>
    <r>
      <rPr>
        <b/>
        <sz val="10"/>
        <color theme="1"/>
        <rFont val="Calibri"/>
        <family val="2"/>
        <scheme val="minor"/>
      </rPr>
      <t xml:space="preserve">Secretaría de Familia: </t>
    </r>
    <r>
      <rPr>
        <sz val="10"/>
        <color theme="1"/>
        <rFont val="Calibri"/>
        <family val="2"/>
        <scheme val="minor"/>
      </rPr>
      <t>Reporta que los planes y políticas del plan de desarrollo departamental se encuentran armonizadas con la política pública de juventud.</t>
    </r>
  </si>
  <si>
    <r>
      <rPr>
        <b/>
        <sz val="10"/>
        <color theme="1"/>
        <rFont val="Calibri"/>
        <family val="2"/>
        <scheme val="minor"/>
      </rPr>
      <t xml:space="preserve">Secretaría de Familia: </t>
    </r>
    <r>
      <rPr>
        <sz val="10"/>
        <color theme="1"/>
        <rFont val="Calibri"/>
        <family val="2"/>
        <scheme val="minor"/>
      </rPr>
      <t xml:space="preserve">Reporta la existencia de la Plataforma Departamental de Juventud, realización de Asambleas Juveniles, Comisiones de Concertación y Decisión y fortalecimiento de los Consejos de Juventud.
</t>
    </r>
    <r>
      <rPr>
        <b/>
        <sz val="10"/>
        <color theme="1"/>
        <rFont val="Calibri"/>
        <family val="2"/>
        <scheme val="minor"/>
      </rPr>
      <t/>
    </r>
  </si>
  <si>
    <r>
      <t xml:space="preserve">Alcaldía de Montenegro: </t>
    </r>
    <r>
      <rPr>
        <sz val="10"/>
        <color theme="1"/>
        <rFont val="Calibri"/>
        <family val="2"/>
        <scheme val="minor"/>
      </rPr>
      <t>Un sistema departamental de juventud en el cual las instancias municipales tienen participación a través de sus delegados .</t>
    </r>
    <r>
      <rPr>
        <b/>
        <sz val="10"/>
        <color theme="1"/>
        <rFont val="Calibri"/>
        <family val="2"/>
        <scheme val="minor"/>
      </rPr>
      <t xml:space="preserve">
Alcaldía de Armenia: </t>
    </r>
    <r>
      <rPr>
        <sz val="10"/>
        <color theme="1"/>
        <rFont val="Calibri"/>
        <family val="2"/>
        <scheme val="minor"/>
      </rPr>
      <t>A través del Decreto 349 del 09 de noviembre de 2020  se crea el sistema municipal de juventud.</t>
    </r>
    <r>
      <rPr>
        <b/>
        <sz val="10"/>
        <color theme="1"/>
        <rFont val="Calibri"/>
        <family val="2"/>
        <scheme val="minor"/>
      </rPr>
      <t xml:space="preserve">
Alcaldía de Circasia: </t>
    </r>
    <r>
      <rPr>
        <sz val="10"/>
        <color theme="1"/>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color theme="1"/>
        <rFont val="Calibri"/>
        <family val="2"/>
        <scheme val="minor"/>
      </rPr>
      <t xml:space="preserve">
Alcaldía Quimbaya: </t>
    </r>
    <r>
      <rPr>
        <sz val="10"/>
        <color theme="1"/>
        <rFont val="Calibri"/>
        <family val="2"/>
        <scheme val="minor"/>
      </rPr>
      <t>Actualmente el municipio de Quimbaya cuenta con CMJ, Comisión de concertación y decisión, plataforma juvenil y convoca periódicamente la asamblea municipal de juventud.</t>
    </r>
    <r>
      <rPr>
        <b/>
        <sz val="10"/>
        <color theme="1"/>
        <rFont val="Calibri"/>
        <family val="2"/>
        <scheme val="minor"/>
      </rPr>
      <t xml:space="preserve">
Alcaldía de Salento: </t>
    </r>
    <r>
      <rPr>
        <sz val="10"/>
        <color theme="1"/>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color theme="1"/>
        <rFont val="Calibri"/>
        <family val="2"/>
        <scheme val="minor"/>
      </rPr>
      <t xml:space="preserve">
Alcaldía La Tebaida: .  </t>
    </r>
    <r>
      <rPr>
        <sz val="10"/>
        <color theme="1"/>
        <rFont val="Calibri"/>
        <family val="2"/>
        <scheme val="minor"/>
      </rPr>
      <t xml:space="preserve">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 </t>
    </r>
    <r>
      <rPr>
        <b/>
        <sz val="10"/>
        <color theme="1"/>
        <rFont val="Calibri"/>
        <family val="2"/>
        <scheme val="minor"/>
      </rPr>
      <t xml:space="preserve">
Alcaldía de Filandia: </t>
    </r>
    <r>
      <rPr>
        <sz val="10"/>
        <color theme="1"/>
        <rFont val="Calibri"/>
        <family val="2"/>
        <scheme val="minor"/>
      </rPr>
      <t xml:space="preserve">el municipio de Filandia cuenta con Consejo Municipal de Juventud  y Plataforma de Juventud operando. </t>
    </r>
    <r>
      <rPr>
        <b/>
        <sz val="10"/>
        <color theme="1"/>
        <rFont val="Calibri"/>
        <family val="2"/>
        <scheme val="minor"/>
      </rPr>
      <t xml:space="preserve">
Secretaría de Familia: </t>
    </r>
    <r>
      <rPr>
        <sz val="10"/>
        <color theme="1"/>
        <rFont val="Calibri"/>
        <family val="2"/>
        <scheme val="minor"/>
      </rPr>
      <t xml:space="preserve">Reporta que 11 de los 12 municipios quindianos, cuentan con Plataforma de Juventud operando, realización de Asambleas juveniles, cumplimiento de las Comisiones de Concertación y Decisión y los Consejos Municipales de Juventud electos a excepción de Filandia. </t>
    </r>
    <r>
      <rPr>
        <b/>
        <sz val="10"/>
        <color theme="1"/>
        <rFont val="Calibri"/>
        <family val="2"/>
        <scheme val="minor"/>
      </rPr>
      <t xml:space="preserve">
Alcaldía de Calarcá: </t>
    </r>
    <r>
      <rPr>
        <sz val="10"/>
        <color theme="1"/>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color theme="1"/>
        <rFont val="Calibri"/>
        <family val="2"/>
        <scheme val="minor"/>
      </rPr>
      <t xml:space="preserve">
Alcaldía de Génova: </t>
    </r>
    <r>
      <rPr>
        <sz val="10"/>
        <color theme="1"/>
        <rFont val="Calibri"/>
        <family val="2"/>
        <scheme val="minor"/>
      </rPr>
      <t>Plataforma Deptal y Consejo Deptal activo y con delegados de Génova.</t>
    </r>
    <r>
      <rPr>
        <b/>
        <sz val="10"/>
        <color theme="1"/>
        <rFont val="Calibri"/>
        <family val="2"/>
        <scheme val="minor"/>
      </rPr>
      <t xml:space="preserve">
Alcaldía de Buenavista: </t>
    </r>
    <r>
      <rPr>
        <sz val="10"/>
        <color theme="1"/>
        <rFont val="Calibri"/>
        <family val="2"/>
        <scheme val="minor"/>
      </rPr>
      <t>Pese a tener actualización de la línea base de la Plataforma Municipal de Juventud, contando con presidente, vicepresidente y secretaria, sin embargo, falta dinamismo y activación real de la PMJ. En el mes de agosto se concluye la creación de la agenda juvenil municipal. En el CMJ existe la renuncia de dos consejeras así como la inasistencia reiterativa de otros Consejeros, por lo que el presidente está realizando los trámites correspondientes al reglamento para suplir las vacantes existentes y poder garantizar un CMJ completo y al servicio de los jóvenes del municipio.</t>
    </r>
    <r>
      <rPr>
        <b/>
        <sz val="10"/>
        <color theme="1"/>
        <rFont val="Calibri"/>
        <family val="2"/>
        <scheme val="minor"/>
      </rPr>
      <t xml:space="preserve">
Alcaldía Pijao: </t>
    </r>
    <r>
      <rPr>
        <sz val="10"/>
        <color theme="1"/>
        <rFont val="Calibri"/>
        <family val="2"/>
        <scheme val="minor"/>
      </rPr>
      <t xml:space="preserve">se cuenta con la plataforma Municipal de juventud actualizada, consejo de juventud, cada uno con sus reglamentos internos y en total funcionamiento.
</t>
    </r>
  </si>
  <si>
    <r>
      <t xml:space="preserve">
</t>
    </r>
    <r>
      <rPr>
        <b/>
        <sz val="10"/>
        <color theme="1"/>
        <rFont val="Calibri"/>
        <family val="2"/>
        <scheme val="minor"/>
      </rPr>
      <t>Cámara de Comercio de Armenia y del Quindío:</t>
    </r>
    <r>
      <rPr>
        <sz val="10"/>
        <color theme="1"/>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color theme="1"/>
        <rFont val="Calibri"/>
        <family val="2"/>
        <scheme val="minor"/>
      </rPr>
      <t xml:space="preserve">Alcaldía Filandia: </t>
    </r>
    <r>
      <rPr>
        <sz val="10"/>
        <color theme="1"/>
        <rFont val="Calibri"/>
        <family val="2"/>
        <scheme val="minor"/>
      </rPr>
      <t xml:space="preserve">2 jóvenes en ruedas de negocio.
</t>
    </r>
    <r>
      <rPr>
        <b/>
        <sz val="10"/>
        <color theme="1"/>
        <rFont val="Calibri"/>
        <family val="2"/>
        <scheme val="minor"/>
      </rPr>
      <t>Secretaría Turismo, Industria y Comercio:</t>
    </r>
    <r>
      <rPr>
        <sz val="10"/>
        <color theme="1"/>
        <rFont val="Calibri"/>
        <family val="2"/>
        <scheme val="minor"/>
      </rPr>
      <t xml:space="preserve"> Se agotó el presupuesto en el periodo anterior.
</t>
    </r>
  </si>
  <si>
    <r>
      <rPr>
        <b/>
        <sz val="10"/>
        <color theme="1"/>
        <rFont val="Calibri"/>
        <family val="2"/>
        <scheme val="minor"/>
      </rPr>
      <t xml:space="preserve">
Cámara de Comercio de Armenia y del Quindío: Cámara de Comercio de Armenia y del Quindío: </t>
    </r>
    <r>
      <rPr>
        <sz val="10"/>
        <color theme="1"/>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</si>
  <si>
    <r>
      <rPr>
        <b/>
        <sz val="10"/>
        <color theme="1"/>
        <rFont val="Calibri"/>
        <family val="2"/>
        <scheme val="minor"/>
      </rPr>
      <t>OBSERVACIONES:</t>
    </r>
    <r>
      <rPr>
        <sz val="10"/>
        <color theme="1"/>
        <rFont val="Calibri"/>
        <family val="2"/>
        <scheme val="minor"/>
      </rPr>
      <t xml:space="preserve"> El último reporte por el SIRITI es del 2019 según lo reportado en el DANE, por lo cual la información reportada no corresponde al año 2022.
</t>
    </r>
    <r>
      <rPr>
        <b/>
        <sz val="10"/>
        <color theme="1"/>
        <rFont val="Calibri"/>
        <family val="2"/>
        <scheme val="minor"/>
      </rPr>
      <t xml:space="preserve">Secretaría de Familia: </t>
    </r>
    <r>
      <rPr>
        <sz val="10"/>
        <color theme="1"/>
        <rFont val="Calibri"/>
        <family val="2"/>
        <scheme val="minor"/>
      </rPr>
      <t xml:space="preserve">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r>
    <r>
      <rPr>
        <b/>
        <sz val="10"/>
        <color theme="1"/>
        <rFont val="Calibri"/>
        <family val="2"/>
        <scheme val="minor"/>
      </rPr>
      <t xml:space="preserve">Secretaría de Agricultura: </t>
    </r>
    <r>
      <rPr>
        <sz val="10"/>
        <color theme="1"/>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color theme="1"/>
        <rFont val="Calibri"/>
        <family val="2"/>
        <scheme val="minor"/>
      </rPr>
      <t>Ministerio del Trabajo:</t>
    </r>
    <r>
      <rPr>
        <sz val="10"/>
        <color theme="1"/>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color theme="1"/>
        <rFont val="Calibri"/>
        <family val="2"/>
        <scheme val="minor"/>
      </rPr>
      <t>ICBF</t>
    </r>
    <r>
      <rPr>
        <sz val="10"/>
        <color theme="1"/>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color theme="1"/>
        <rFont val="Calibri"/>
        <family val="2"/>
        <scheme val="minor"/>
      </rPr>
      <t xml:space="preserve">Alcaldía Calarcá: </t>
    </r>
    <r>
      <rPr>
        <sz val="10"/>
        <color theme="1"/>
        <rFont val="Calibri"/>
        <family val="2"/>
        <scheme val="minor"/>
      </rPr>
      <t xml:space="preserve">El programa de NNA, realizó  una jornada de prevención del trabajo infantil en el barrio Llanitos Piloto. 
</t>
    </r>
    <r>
      <rPr>
        <b/>
        <sz val="10"/>
        <color theme="1"/>
        <rFont val="Calibri"/>
        <family val="2"/>
        <scheme val="minor"/>
      </rPr>
      <t xml:space="preserve">Alcaldía Filandia: </t>
    </r>
    <r>
      <rPr>
        <sz val="10"/>
        <color theme="1"/>
        <rFont val="Calibri"/>
        <family val="2"/>
        <scheme val="minor"/>
      </rPr>
      <t xml:space="preserve">el Municipio de Filandia no cuenta con casos de trabajo infantil.
</t>
    </r>
  </si>
  <si>
    <r>
      <t xml:space="preserve">
</t>
    </r>
    <r>
      <rPr>
        <b/>
        <sz val="10"/>
        <color theme="1"/>
        <rFont val="Calibri"/>
        <family val="2"/>
        <scheme val="minor"/>
      </rPr>
      <t>Alcaldía de Calarcá:</t>
    </r>
    <r>
      <rPr>
        <sz val="10"/>
        <color theme="1"/>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color theme="1"/>
        <rFont val="Calibri"/>
        <family val="2"/>
        <scheme val="minor"/>
      </rPr>
      <t>Secretaría de Educación:</t>
    </r>
    <r>
      <rPr>
        <sz val="10"/>
        <color theme="1"/>
        <rFont val="Calibri"/>
        <family val="2"/>
        <scheme val="minor"/>
      </rPr>
      <t xml:space="preserve"> 65,34%. Tasa de Cobertura Neta en Educación Básica Secundaria a Diciembre de 2022.  Es importante aclarar que este indicador reportado corresponde a  datos parciales del mes de diciembre de 2022, y no a los datos definitivos de la vigencia en mención, los cuales se obtienen durante el primer semestre del año 2023.</t>
    </r>
  </si>
  <si>
    <r>
      <t xml:space="preserve">
</t>
    </r>
    <r>
      <rPr>
        <b/>
        <sz val="10"/>
        <color theme="1"/>
        <rFont val="Calibri"/>
        <family val="2"/>
        <scheme val="minor"/>
      </rPr>
      <t>Alcaldía de Buenavista</t>
    </r>
    <r>
      <rPr>
        <sz val="10"/>
        <color theme="1"/>
        <rFont val="Calibri"/>
        <family val="2"/>
        <scheme val="minor"/>
      </rPr>
      <t xml:space="preserve">: 100% de los estudiantes con cobertura en educación en básica secundaria y media vocacional.
</t>
    </r>
    <r>
      <rPr>
        <b/>
        <sz val="10"/>
        <color theme="1"/>
        <rFont val="Calibri"/>
        <family val="2"/>
        <scheme val="minor"/>
      </rPr>
      <t>Alcaldía Armenia:</t>
    </r>
    <r>
      <rPr>
        <sz val="10"/>
        <color theme="1"/>
        <rFont val="Calibri"/>
        <family val="2"/>
        <scheme val="minor"/>
      </rPr>
      <t xml:space="preserve"> 23 Instituciones Educativas y 1200 Jóvenes de media de las Instituciones Educativas.
</t>
    </r>
    <r>
      <rPr>
        <b/>
        <sz val="10"/>
        <color theme="1"/>
        <rFont val="Calibri"/>
        <family val="2"/>
        <scheme val="minor"/>
      </rPr>
      <t xml:space="preserve">Alcaldía Génova: </t>
    </r>
    <r>
      <rPr>
        <sz val="10"/>
        <color theme="1"/>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de Córdoba garantiza la atención con estrategias de permanencia ( PAE - Programa de Alimentación Escolar y transporte escolar) a los estudiantes que cumplen los criterios de focalización.
</t>
    </r>
    <r>
      <rPr>
        <b/>
        <sz val="10"/>
        <color theme="1"/>
        <rFont val="Calibri"/>
        <family val="2"/>
        <scheme val="minor"/>
      </rPr>
      <t>Alcaldía de Montenegro:</t>
    </r>
    <r>
      <rPr>
        <sz val="10"/>
        <color theme="1"/>
        <rFont val="Calibri"/>
        <family val="2"/>
        <scheme val="minor"/>
      </rPr>
      <t xml:space="preserve">  se realiza junta municipal de educación (JUME), Comité Municipal de Educación, aporte a bolsa común del PAE.
</t>
    </r>
    <r>
      <rPr>
        <b/>
        <sz val="10"/>
        <color theme="1"/>
        <rFont val="Calibri"/>
        <family val="2"/>
        <scheme val="minor"/>
      </rPr>
      <t xml:space="preserve">Alcaldía de Armenia: </t>
    </r>
    <r>
      <rPr>
        <sz val="10"/>
        <color theme="1"/>
        <rFont val="Calibri"/>
        <family val="2"/>
        <scheme val="minor"/>
      </rPr>
      <t xml:space="preserve">24 Instituciones Educativas y 1200 Jóvenes beneficiados de media de las Instituciones Educativa
</t>
    </r>
    <r>
      <rPr>
        <b/>
        <sz val="10"/>
        <color theme="1"/>
        <rFont val="Calibri"/>
        <family val="2"/>
        <scheme val="minor"/>
      </rPr>
      <t>Alcaldía de Calarcá:</t>
    </r>
    <r>
      <rPr>
        <sz val="10"/>
        <color theme="1"/>
        <rFont val="Calibri"/>
        <family val="2"/>
        <scheme val="minor"/>
      </rPr>
      <t xml:space="preserve"> Se apoyo al 100% de los estudiantes de las 14 Instituciones Educativas sector urbano y rural con recursos de gratuidad escolar.
</t>
    </r>
    <r>
      <rPr>
        <b/>
        <sz val="10"/>
        <color theme="1"/>
        <rFont val="Calibri"/>
        <family val="2"/>
        <scheme val="minor"/>
      </rPr>
      <t xml:space="preserve">Alcaldía Filandia </t>
    </r>
    <r>
      <rPr>
        <sz val="10"/>
        <color theme="1"/>
        <rFont val="Calibri"/>
        <family val="2"/>
        <scheme val="minor"/>
      </rPr>
      <t>Tasa de cobertura neta básica secundaria: 90%, 622 alumnos hasta el mes de noviembre de 2022.</t>
    </r>
  </si>
  <si>
    <r>
      <t xml:space="preserve">
</t>
    </r>
    <r>
      <rPr>
        <b/>
        <sz val="10"/>
        <color theme="1"/>
        <rFont val="Calibri"/>
        <family val="2"/>
        <scheme val="minor"/>
      </rPr>
      <t>Secretaría de Familia:</t>
    </r>
    <r>
      <rPr>
        <sz val="10"/>
        <color theme="1"/>
        <rFont val="Calibri"/>
        <family val="2"/>
        <scheme val="minor"/>
      </rPr>
      <t xml:space="preserve"> La tasa de deserción universitaria es del 8,79%  según reporte del Ministerio de Educación.
</t>
    </r>
    <r>
      <rPr>
        <b/>
        <sz val="10"/>
        <color theme="1"/>
        <rFont val="Calibri"/>
        <family val="2"/>
        <scheme val="minor"/>
      </rPr>
      <t>Alcaldía de Buenavista</t>
    </r>
    <r>
      <rPr>
        <sz val="10"/>
        <color theme="1"/>
        <rFont val="Calibri"/>
        <family val="2"/>
        <scheme val="minor"/>
      </rPr>
      <t xml:space="preserve">: No se han registrado casos de deserción escolar en el tercer trimestre 2022.
</t>
    </r>
    <r>
      <rPr>
        <b/>
        <sz val="10"/>
        <color theme="1"/>
        <rFont val="Calibri"/>
        <family val="2"/>
        <scheme val="minor"/>
      </rPr>
      <t>Alcaldía de Filandia:</t>
    </r>
    <r>
      <rPr>
        <sz val="10"/>
        <color theme="1"/>
        <rFont val="Calibri"/>
        <family val="2"/>
        <scheme val="minor"/>
      </rPr>
      <t xml:space="preserve"> Tasa de deserción a largo plazo (semestre 10): 15% a largo plazo.
</t>
    </r>
    <r>
      <rPr>
        <b/>
        <sz val="10"/>
        <color theme="1"/>
        <rFont val="Calibri"/>
        <family val="2"/>
        <scheme val="minor"/>
      </rPr>
      <t>Alcaldía Armenia</t>
    </r>
    <r>
      <rPr>
        <sz val="10"/>
        <color theme="1"/>
        <rFont val="Calibri"/>
        <family val="2"/>
        <scheme val="minor"/>
      </rPr>
      <t xml:space="preserve">: la Secretaría de Educación Municipal no maneja la tasa de deserción universitaria.
</t>
    </r>
    <r>
      <rPr>
        <b/>
        <sz val="10"/>
        <color theme="1"/>
        <rFont val="Calibri"/>
        <family val="2"/>
        <scheme val="minor"/>
      </rPr>
      <t>Alcaldía Génova:</t>
    </r>
    <r>
      <rPr>
        <sz val="10"/>
        <color theme="1"/>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 xml:space="preserve">Alcaldía Salento: </t>
    </r>
    <r>
      <rPr>
        <sz val="10"/>
        <color theme="1"/>
        <rFont val="Calibri"/>
        <family val="2"/>
        <scheme val="minor"/>
      </rPr>
      <t xml:space="preserve">Convenio de asociación con la Universidad del Quindío para el sostenimiento del programa Matricula Cero.
</t>
    </r>
    <r>
      <rPr>
        <b/>
        <sz val="10"/>
        <color theme="1"/>
        <rFont val="Calibri"/>
        <family val="2"/>
        <scheme val="minor"/>
      </rPr>
      <t>Alcaldía de Córdoba:</t>
    </r>
    <r>
      <rPr>
        <sz val="10"/>
        <color theme="1"/>
        <rFont val="Calibri"/>
        <family val="2"/>
        <scheme val="minor"/>
      </rPr>
      <t xml:space="preserve">  La Institución Educativa ofrece en todo el ciclo básico lo que contribuye a asegurar la continuidad y el flujo de los estudiantes a través de los niveles de  básica, secundaria y media. Además, se ofrecen dos modalidades en convenio SENA: Sistemas agropecuarios ecológicos y agroindustria alimentaria Implementación de jornada única con énfasis en artística: música- teatro en básica primaria. 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color theme="1"/>
        <rFont val="Calibri"/>
        <family val="2"/>
        <scheme val="minor"/>
      </rPr>
      <t xml:space="preserve">Alcaldía de Calarcá: </t>
    </r>
    <r>
      <rPr>
        <sz val="10"/>
        <color theme="1"/>
        <rFont val="Calibri"/>
        <family val="2"/>
        <scheme val="minor"/>
      </rPr>
      <t xml:space="preserve">Se garantizó póliza de seguro de atención medica, quirúrgica y hospitalaria por accidentes escolares y gastos funerarios para los estudiantes de las 14 IE del área urbana y rural del municipio y de acuerdo a la Resolución 969 de 5/11/2021 por medio del cual se transfiere el recurso del SGP dotación de provisión de la canasta educativa a las 14 IE del municipio. 
</t>
    </r>
  </si>
  <si>
    <r>
      <t xml:space="preserve">
</t>
    </r>
    <r>
      <rPr>
        <b/>
        <sz val="10"/>
        <color theme="1"/>
        <rFont val="Calibri"/>
        <family val="2"/>
        <scheme val="minor"/>
      </rPr>
      <t>Secretaría de Familia:</t>
    </r>
    <r>
      <rPr>
        <sz val="10"/>
        <color theme="1"/>
        <rFont val="Calibri"/>
        <family val="2"/>
        <scheme val="minor"/>
      </rPr>
      <t xml:space="preserve"> La tasa de cobertura de educación superior es del 62,3% según reporte del Ministerio de Educación.
</t>
    </r>
    <r>
      <rPr>
        <b/>
        <sz val="10"/>
        <color rgb="FFFF0000"/>
        <rFont val="Calibri"/>
        <family val="2"/>
        <scheme val="minor"/>
      </rPr>
      <t/>
    </r>
  </si>
  <si>
    <r>
      <rPr>
        <b/>
        <sz val="10"/>
        <color theme="1"/>
        <rFont val="Calibri"/>
        <family val="2"/>
        <scheme val="minor"/>
      </rPr>
      <t xml:space="preserve">Secretaría de Familia: </t>
    </r>
    <r>
      <rPr>
        <sz val="10"/>
        <color theme="1"/>
        <rFont val="Calibri"/>
        <family val="2"/>
        <scheme val="minor"/>
      </rPr>
      <t xml:space="preserve">Se oficiaron los actores respnsables de este indicadr  por misionalidad sin embargo, no se obtuvo reporte alguno.  
</t>
    </r>
    <r>
      <rPr>
        <b/>
        <sz val="10"/>
        <color theme="1"/>
        <rFont val="Calibri"/>
        <family val="2"/>
        <scheme val="minor"/>
      </rPr>
      <t xml:space="preserve">Secretaría de Salud: </t>
    </r>
    <r>
      <rPr>
        <sz val="10"/>
        <color theme="1"/>
        <rFont val="Calibri"/>
        <family val="2"/>
        <scheme val="minor"/>
      </rPr>
      <t>se realizaron asistencias técnicas en las IPS de 11 municipios del Quindío sobre SERVICIOS DE SALUD AMIGABLES PARA ADOLESCENTES Y JOVENES SSAAJ Temas tratados: Reglamentación normas de calidad de aplicación de los SSAAJ.</t>
    </r>
  </si>
  <si>
    <r>
      <t>Alcaldía Filandia:</t>
    </r>
    <r>
      <rPr>
        <sz val="10"/>
        <color theme="1"/>
        <rFont val="Calibri"/>
        <family val="2"/>
        <scheme val="minor"/>
      </rPr>
      <t xml:space="preserve"> 340 jóvenes participan en actividades recreativas, deportivas y de actividad física.</t>
    </r>
    <r>
      <rPr>
        <b/>
        <sz val="10"/>
        <color theme="1"/>
        <rFont val="Calibri"/>
        <family val="2"/>
        <scheme val="minor"/>
      </rPr>
      <t xml:space="preserve">
 Alcaldía Salento: </t>
    </r>
    <r>
      <rPr>
        <sz val="10"/>
        <color theme="1"/>
        <rFont val="Calibri"/>
        <family val="2"/>
        <scheme val="minor"/>
      </rPr>
      <t>Fortalecimiento y apoyo a las Escuelas de Formación Deportiva, reactivación de torneos de fútbol, fútbol de salón.</t>
    </r>
    <r>
      <rPr>
        <b/>
        <sz val="10"/>
        <color theme="1"/>
        <rFont val="Calibri"/>
        <family val="2"/>
        <scheme val="minor"/>
      </rPr>
      <t xml:space="preserve">
Alcaldía Buenavista:</t>
    </r>
    <r>
      <rPr>
        <sz val="10"/>
        <color theme="1"/>
        <rFont val="Calibri"/>
        <family val="2"/>
        <scheme val="minor"/>
      </rPr>
      <t xml:space="preserve"> Se cuenta con 120 jóvenes que hacen parte de las 4 escuelas de formación deportiva del municipio. Adicionalmente, acompañamiento de indeportes dos veces a la semana para la realización de aeróbicos, y contratista de la jefatura de juventud que está realizando entrenamiento al equipo de futbol femenino del municipios.</t>
    </r>
    <r>
      <rPr>
        <b/>
        <sz val="10"/>
        <color theme="1"/>
        <rFont val="Calibri"/>
        <family val="2"/>
        <scheme val="minor"/>
      </rPr>
      <t xml:space="preserve">
Alcaldía de La Tebaida:</t>
    </r>
    <r>
      <rPr>
        <sz val="10"/>
        <color theme="1"/>
        <rFont val="Calibri"/>
        <family val="2"/>
        <scheme val="minor"/>
      </rPr>
      <t xml:space="preserve"> No se rindió esta información en este trimestre</t>
    </r>
    <r>
      <rPr>
        <b/>
        <sz val="10"/>
        <color theme="1"/>
        <rFont val="Calibri"/>
        <family val="2"/>
        <scheme val="minor"/>
      </rPr>
      <t xml:space="preserve">
Alcaldía Quimbaya: </t>
    </r>
    <r>
      <rPr>
        <sz val="10"/>
        <color theme="1"/>
        <rFont val="Calibri"/>
        <family val="2"/>
        <scheme val="minor"/>
      </rPr>
      <t>En el municipio de Quimbaya se fortalecen las escuelas de formación deportiva y se realizan eventos deportivos y recreativos con la participación de los jóvenes.</t>
    </r>
    <r>
      <rPr>
        <b/>
        <sz val="10"/>
        <color theme="1"/>
        <rFont val="Calibri"/>
        <family val="2"/>
        <scheme val="minor"/>
      </rPr>
      <t xml:space="preserve">
Alcaldía Génova:  </t>
    </r>
    <r>
      <rPr>
        <sz val="10"/>
        <color theme="1"/>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 y actividades recreativas</t>
    </r>
    <r>
      <rPr>
        <b/>
        <sz val="10"/>
        <color theme="1"/>
        <rFont val="Calibri"/>
        <family val="2"/>
        <scheme val="minor"/>
      </rPr>
      <t xml:space="preserve">
Alcaldía de Armenia: </t>
    </r>
    <r>
      <rPr>
        <sz val="10"/>
        <color theme="1"/>
        <rFont val="Calibri"/>
        <family val="2"/>
        <scheme val="minor"/>
      </rPr>
      <t xml:space="preserve">Promoción, apoyo logístico, ejecución y dotación de grupos de recreación dirigida 4295 jóvenes.      </t>
    </r>
    <r>
      <rPr>
        <b/>
        <sz val="10"/>
        <color theme="1"/>
        <rFont val="Calibri"/>
        <family val="2"/>
        <scheme val="minor"/>
      </rPr>
      <t xml:space="preserve">      
Alcaldía de Montenegro:</t>
    </r>
    <r>
      <rPr>
        <sz val="10"/>
        <color theme="1"/>
        <rFont val="Calibri"/>
        <family val="2"/>
        <scheme val="minor"/>
      </rPr>
      <t xml:space="preserve"> actualmente se benefician 3781 jóvenes de las diferentes escuelas de formación del municipio (23 escuelas de formación).</t>
    </r>
    <r>
      <rPr>
        <b/>
        <sz val="10"/>
        <color theme="1"/>
        <rFont val="Calibri"/>
        <family val="2"/>
        <scheme val="minor"/>
      </rPr>
      <t xml:space="preserve">
Alcaldía de Calarcá: </t>
    </r>
    <r>
      <rPr>
        <sz val="10"/>
        <color theme="1"/>
        <rFont val="Calibri"/>
        <family val="2"/>
        <scheme val="minor"/>
      </rPr>
      <t>Se realizaron adecuaciones locativas en el parque Alto del Río para mejorar las condiciones del mismo e Incentivos para otorgar apoyo a los deportistas destacados que representan el municipio en competencias de orden departamental o nacional.</t>
    </r>
    <r>
      <rPr>
        <b/>
        <sz val="10"/>
        <color theme="1"/>
        <rFont val="Calibri"/>
        <family val="2"/>
        <scheme val="minor"/>
      </rPr>
      <t xml:space="preserve">
INDEPORTES: </t>
    </r>
    <r>
      <rPr>
        <sz val="10"/>
        <color theme="1"/>
        <rFont val="Calibri"/>
        <family val="2"/>
        <scheme val="minor"/>
      </rPr>
      <t xml:space="preserve">Se implementó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(Jóvenes impactados 14.955) 
</t>
    </r>
  </si>
  <si>
    <r>
      <rPr>
        <b/>
        <sz val="10"/>
        <color theme="1"/>
        <rFont val="Calibri"/>
        <family val="2"/>
        <scheme val="minor"/>
      </rPr>
      <t>Secretaría de Salud:</t>
    </r>
    <r>
      <rPr>
        <sz val="10"/>
        <color theme="1"/>
        <rFont val="Calibri"/>
        <family val="2"/>
        <scheme val="minor"/>
      </rPr>
      <t xml:space="preserve"> en 11 municipios centralizados del Quindío se realizaron talleres pedagógicos Salud Sexual y Reproductiva con temas tratados: Derechos sexuales y reproductivos, Prevención de ITS, Prevención de Embarazo y embarazo subsiguiente, métodos anticonceptivos, prevención de violencias sexuales. Población 1296 estudiantes. </t>
    </r>
  </si>
  <si>
    <r>
      <rPr>
        <b/>
        <sz val="10"/>
        <color theme="1"/>
        <rFont val="Calibri"/>
        <family val="2"/>
        <scheme val="minor"/>
      </rPr>
      <t xml:space="preserve">Secretaría de Salud: </t>
    </r>
    <r>
      <rPr>
        <sz val="10"/>
        <color theme="1"/>
        <rFont val="Calibri"/>
        <family val="2"/>
        <scheme val="minor"/>
      </rPr>
      <t>Desde el programa Convivencia Social y Salud Mental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Dentro de las actividades puntuales se realizaron las siguientes:* Tercera sesión consejo territorial de Salud mental.
* Capacitación a Familias y Jóvenes del Barrio las Colinas de Armenia brindando información en temas de violencias, ideación suicida y trastornos mentales.</t>
    </r>
    <r>
      <rPr>
        <b/>
        <sz val="10"/>
        <color theme="1"/>
        <rFont val="Calibri"/>
        <family val="2"/>
        <scheme val="minor"/>
      </rPr>
      <t xml:space="preserve">
</t>
    </r>
  </si>
  <si>
    <r>
      <t xml:space="preserve">
</t>
    </r>
    <r>
      <rPr>
        <b/>
        <sz val="10"/>
        <color theme="1"/>
        <rFont val="Calibri"/>
        <family val="2"/>
        <scheme val="minor"/>
      </rPr>
      <t>Secretaría del Interior:</t>
    </r>
    <r>
      <rPr>
        <sz val="10"/>
        <color theme="1"/>
        <rFont val="Calibri"/>
        <family val="2"/>
        <scheme val="minor"/>
      </rPr>
      <t xml:space="preserve"> Acompañamiento y seguimiento a los 12 municipios en la ejecución de los PISCC.
</t>
    </r>
    <r>
      <rPr>
        <b/>
        <sz val="10"/>
        <color theme="1"/>
        <rFont val="Calibri"/>
        <family val="2"/>
        <scheme val="minor"/>
      </rPr>
      <t>Policía Nacional</t>
    </r>
    <r>
      <rPr>
        <sz val="10"/>
        <color theme="1"/>
        <rFont val="Calibri"/>
        <family val="2"/>
        <scheme val="minor"/>
      </rPr>
      <t xml:space="preserve">: El Grupo de protección a la infancia y adolescencia, durante el IV trimestre realizó en los 12 municipios del Departamento más de 37 acciones de prevención, vigilancia y control en 29 instituciones educativas, beneficiando a más de  2.664 estudiantes en temáticas como legislación nacional, violencia intrafamiliar, pautas y crianza, valores y principios, explotación sexual y comercial de NNA, trabajo infantil entre otros, logrando afianzar la cultura de la denuncia para mitigar y reducir la vulneración de sus derechos a través de la líneas de emergencia 123 y 141. 
</t>
    </r>
    <r>
      <rPr>
        <b/>
        <sz val="10"/>
        <color rgb="FFFF0000"/>
        <rFont val="Calibri"/>
        <family val="2"/>
        <scheme val="minor"/>
      </rPr>
      <t/>
    </r>
  </si>
  <si>
    <r>
      <rPr>
        <b/>
        <sz val="10"/>
        <color theme="1"/>
        <rFont val="Calibri"/>
        <family val="2"/>
        <scheme val="minor"/>
      </rPr>
      <t xml:space="preserve">Secretaría del Interior: </t>
    </r>
    <r>
      <rPr>
        <sz val="10"/>
        <color theme="1"/>
        <rFont val="Calibri"/>
        <family val="2"/>
        <scheme val="minor"/>
      </rPr>
      <t xml:space="preserve">La tasa actual es de  682 por cada 100 mil jóvenes según informe de página JUACO, 2019
</t>
    </r>
    <r>
      <rPr>
        <b/>
        <sz val="10"/>
        <color theme="1"/>
        <rFont val="Calibri"/>
        <family val="2"/>
        <scheme val="minor"/>
      </rPr>
      <t>Secretaría de familia</t>
    </r>
    <r>
      <rPr>
        <sz val="10"/>
        <color theme="1"/>
        <rFont val="Calibri"/>
        <family val="2"/>
        <scheme val="minor"/>
      </rPr>
      <t xml:space="preserve">: Desde la jefatura de juventud se ha realizado 1 fortalecimiento de los programas de convivencia escolar y convivencia ciudadana, con el taller de estrategias para la resolución pacifica de conflictos en el municipio de Filandia. 
</t>
    </r>
    <r>
      <rPr>
        <b/>
        <sz val="10"/>
        <color theme="1"/>
        <rFont val="Calibri"/>
        <family val="2"/>
        <scheme val="minor"/>
      </rPr>
      <t>Comisaría de Familia La Tebaida</t>
    </r>
    <r>
      <rPr>
        <sz val="10"/>
        <color theme="1"/>
        <rFont val="Calibri"/>
        <family val="2"/>
        <scheme val="minor"/>
      </rPr>
      <t xml:space="preserve">: El 02 de agosto del 2022 se realiza capacitación en las diferentes rutas de atención (diferentes tipos de violencia y temas de deserción escolar) a docentes de la institución educativa pedacito de cielo.  11  de agosto del 2022 se lleva acabo actividad cultural con 150 niños, niñas y adolescentes pertenecientes a diferentes instituciones educativas del municipio mediante obra de teatro, así mismo se presentan dos campañas una de prevención del maltrato infantil y otra sobre trabajo infantil por parte de la comisaria de familia y el enlace de infancia y adolescencia. El 12 de septiembre del 2022 por parte del equipo de la Comisaría de familia se realizan encuentros con padres de familia y estudiantes de diferentes instituciones del municipio donde se tratan temas relacionados a la convivencia escolar, pautas de crianza y violencia intrafamiliar.   20 de septiembre del 2022 en conmemoración a la semana andina se realiza jornada de capacitaciones en la institución educativa pedacito de cielo a 160 estudiantes aproximadamente de los grados 7,8 y 9 en relación a temas de prevención de embarazo a temprana edad, violencia sexual, violencia intrafamiliar, salud mental y convivencia escolar.
</t>
    </r>
    <r>
      <rPr>
        <b/>
        <sz val="10"/>
        <color theme="1"/>
        <rFont val="Calibri"/>
        <family val="2"/>
        <scheme val="minor"/>
      </rPr>
      <t>Comisaría de Familia Córdoba:</t>
    </r>
    <r>
      <rPr>
        <sz val="10"/>
        <color theme="1"/>
        <rFont val="Calibri"/>
        <family val="2"/>
        <scheme val="minor"/>
      </rPr>
      <t xml:space="preserve"> La Administración municipal cuenta con el Comité Convivencia Escolar, en donde se desarrollaron las cinco (05) sesiones, igualmente se dio cumplimiento con el Plan de Acción. La información no puede ser socializada en porcentaje (%) por el municipio. Igualmente se cuenta con el Comité Civil de Convivencia.  
</t>
    </r>
    <r>
      <rPr>
        <b/>
        <sz val="10"/>
        <color theme="1"/>
        <rFont val="Calibri"/>
        <family val="2"/>
        <scheme val="minor"/>
      </rPr>
      <t>Medicina Legal</t>
    </r>
    <r>
      <rPr>
        <sz val="10"/>
        <color theme="1"/>
        <rFont val="Calibri"/>
        <family val="2"/>
        <scheme val="minor"/>
      </rPr>
      <t xml:space="preserve">: Las actividades propuestas no hacen parte de la misión, ni de las funciones del Instituto Nacional de Medicina Legal y Ciencias Forenses.
</t>
    </r>
    <r>
      <rPr>
        <b/>
        <sz val="10"/>
        <color theme="1"/>
        <rFont val="Calibri"/>
        <family val="2"/>
        <scheme val="minor"/>
      </rPr>
      <t>ICBF:</t>
    </r>
    <r>
      <rPr>
        <sz val="10"/>
        <color theme="1"/>
        <rFont val="Calibri"/>
        <family val="2"/>
        <scheme val="minor"/>
      </rPr>
      <t xml:space="preserve"> *Fortalecimiento a I.E del Departamento en Prevención de Violencia en la escuela *Articulación con Policía de Infancia y Adolescencia para la prevención de la ESCNNA y trata de personas 
</t>
    </r>
  </si>
  <si>
    <r>
      <t xml:space="preserve">
</t>
    </r>
    <r>
      <rPr>
        <b/>
        <sz val="10"/>
        <color theme="1"/>
        <rFont val="Calibri"/>
        <family val="2"/>
        <scheme val="minor"/>
      </rPr>
      <t>Secretaría de Familia:</t>
    </r>
    <r>
      <rPr>
        <sz val="10"/>
        <color theme="1"/>
        <rFont val="Calibri"/>
        <family val="2"/>
        <scheme val="minor"/>
      </rPr>
      <t xml:space="preserve"> la tasa de accidentes fatales viales x 100 mil jóvenes es del 18,62% según fuente de verificación.
</t>
    </r>
    <r>
      <rPr>
        <b/>
        <sz val="10"/>
        <color theme="1"/>
        <rFont val="Calibri"/>
        <family val="2"/>
        <scheme val="minor"/>
      </rPr>
      <t>Alcaldía de Armenia:</t>
    </r>
    <r>
      <rPr>
        <sz val="10"/>
        <color theme="1"/>
        <rFont val="Calibri"/>
        <family val="2"/>
        <scheme val="minor"/>
      </rPr>
      <t xml:space="preserve"> Promoción, apoyo logístico, ejecución y dotación de grupos de recreación dirigida a 4216 jóvenes.
</t>
    </r>
    <r>
      <rPr>
        <b/>
        <sz val="10"/>
        <color theme="1"/>
        <rFont val="Calibri"/>
        <family val="2"/>
        <scheme val="minor"/>
      </rPr>
      <t>Alcaldía Salento:</t>
    </r>
    <r>
      <rPr>
        <sz val="10"/>
        <color theme="1"/>
        <rFont val="Calibri"/>
        <family val="2"/>
        <scheme val="minor"/>
      </rPr>
      <t xml:space="preserve"> En proceso la construcción de la Política Pública de Seguridad Vial, proceso a cargo de la Secretaría de Gobierno
</t>
    </r>
    <r>
      <rPr>
        <b/>
        <sz val="10"/>
        <color theme="1"/>
        <rFont val="Calibri"/>
        <family val="2"/>
        <scheme val="minor"/>
      </rPr>
      <t>Alcaldía de Calarcá</t>
    </r>
    <r>
      <rPr>
        <sz val="10"/>
        <color theme="1"/>
        <rFont val="Calibri"/>
        <family val="2"/>
        <scheme val="minor"/>
      </rPr>
      <t xml:space="preserve">: Se han realizado 246 campañas de educación vial en el  Municipio de Calarcá en donde  se han beneficiado los diferentes actores viales, especialmente jóvenes.
</t>
    </r>
    <r>
      <rPr>
        <b/>
        <sz val="10"/>
        <color theme="1"/>
        <rFont val="Calibri"/>
        <family val="2"/>
        <scheme val="minor"/>
      </rPr>
      <t xml:space="preserve">IDTQ: </t>
    </r>
    <r>
      <rPr>
        <sz val="10"/>
        <color theme="1"/>
        <rFont val="Calibri"/>
        <family val="2"/>
        <scheme val="minor"/>
      </rPr>
      <t xml:space="preserve">Estrategia de movilidad saludable, segura y sostenible efectivamente formulada y adoptada por parte del Instituto Departamental de Tránsito del Quindío, con el acompañamiento y el aporte técnico de las acciones de la Secretaría de familia.
Realizando por parte del IDTQ aportaciones en materia de movilidad, control al transito, señalización y educación vial.
</t>
    </r>
  </si>
  <si>
    <r>
      <t xml:space="preserve">
</t>
    </r>
    <r>
      <rPr>
        <b/>
        <sz val="10"/>
        <color theme="1"/>
        <rFont val="Calibri"/>
        <family val="2"/>
        <scheme val="minor"/>
      </rPr>
      <t>Secretaría de Salud:</t>
    </r>
    <r>
      <rPr>
        <sz val="10"/>
        <color theme="1"/>
        <rFont val="Calibri"/>
        <family val="2"/>
        <scheme val="minor"/>
      </rPr>
      <t xml:space="preserve">  Se realizan actividades como el seguimiento a la gestión del riesgo en los eventos violencia de género e intento de suicidio y otros trastornos mentales, en ese sentido se hace articulación con instituciones Prestadoras de Servicios de Salud y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brinda asistencia y acompañamiento en los municipios del departamento, con relación a los eventos de interés en salud pública. Se orienta en las diferentes fases frente a la adopción y adaptación de la política pública de salud mental con el fin de articular todo el Departamento para la implementación de dicha normatividad.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  Dentro de las actividades puntuales se realizan las siguientes: * Capacitación a Familias y Jóvenes brindando información en temas de violencias, ideación suicida y trastornos mentales. * Psi coeducación en temática relacionadas a los eventos de interés en salud mental. * Asistencias técnicas a planes locales de salud en temas de salud mental. * Acompañamiento campaña en salud mental en Universidades del Departamento. *Campaña día mundial de la prevención del suicidio.
</t>
    </r>
    <r>
      <rPr>
        <b/>
        <sz val="10"/>
        <color theme="1"/>
        <rFont val="Calibri"/>
        <family val="2"/>
        <scheme val="minor"/>
      </rPr>
      <t>Alcaldía Génova</t>
    </r>
    <r>
      <rPr>
        <sz val="10"/>
        <color theme="1"/>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color theme="1"/>
        <rFont val="Calibri"/>
        <family val="2"/>
        <scheme val="minor"/>
      </rPr>
      <t>Alcaldía de Armenia:</t>
    </r>
    <r>
      <rPr>
        <sz val="10"/>
        <color theme="1"/>
        <rFont val="Calibri"/>
        <family val="2"/>
        <scheme val="minor"/>
      </rPr>
      <t xml:space="preserve"> La población cubierta con acciones de promoción de factores protectores frente a la conducta suicida es de 2935 jóvenes 
</t>
    </r>
    <r>
      <rPr>
        <b/>
        <sz val="10"/>
        <color theme="1"/>
        <rFont val="Calibri"/>
        <family val="2"/>
        <scheme val="minor"/>
      </rPr>
      <t>Alcaldía de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La Administración Municipal, por parte del Plan Local de Salud Territorial maneja la línea de salud mental, con el fin de evitar suicidios en la población del municipio. Se realizan campañas en contra del suicidio a jóvenes de la Institución Educativa José Maria Córdoba a través del convenio celebrado con el hospital San Roque PIC-Plan de Intervenciones Colectivas.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No se maneja la tasa solicitada en el indicador no obstante, se realizan estrategias de prevención del suicidio, en instituciones educativas, en los diferentes barrios del municipio identificando los líderes y creando grupos de participación a los cuales, se les comparten temas de prevención en salud mental. También se realizan campañas por medio de redes sociales de la administración.
</t>
    </r>
    <r>
      <rPr>
        <b/>
        <sz val="10"/>
        <color theme="1"/>
        <rFont val="Calibri"/>
        <family val="2"/>
        <scheme val="minor"/>
      </rPr>
      <t xml:space="preserve">Alcaldía de Calarcá: </t>
    </r>
    <r>
      <rPr>
        <sz val="10"/>
        <color theme="1"/>
        <rFont val="Calibri"/>
        <family val="2"/>
        <scheme val="minor"/>
      </rPr>
      <t xml:space="preserve">Seguimientos realizados por el programa de salud mental, según reporte del SIVIGILA. Se realizaron tres jornadas de sensibilización en temas referentes a la prevención del suicidio y a la sexualidad responsable en la Institución Educativa Segundo Henao, donde se impactaron 75 jóvenes. 
</t>
    </r>
    <r>
      <rPr>
        <b/>
        <sz val="10"/>
        <color theme="1"/>
        <rFont val="Calibri"/>
        <family val="2"/>
        <scheme val="minor"/>
      </rPr>
      <t>Secretaría del Interior</t>
    </r>
    <r>
      <rPr>
        <sz val="10"/>
        <color theme="1"/>
        <rFont val="Calibri"/>
        <family val="2"/>
        <scheme val="minor"/>
      </rPr>
      <t xml:space="preserve">: La tasa actual es de  7.2 por cada 100.000 jóvenes según informe de página JUACO, 2021.
</t>
    </r>
    <r>
      <rPr>
        <b/>
        <sz val="10"/>
        <color rgb="FFFF0000"/>
        <rFont val="Calibri"/>
        <family val="2"/>
        <scheme val="minor"/>
      </rPr>
      <t/>
    </r>
  </si>
  <si>
    <r>
      <rPr>
        <b/>
        <sz val="10"/>
        <color theme="1"/>
        <rFont val="Calibri"/>
        <family val="2"/>
        <scheme val="minor"/>
      </rPr>
      <t>Secretaría del Interior:</t>
    </r>
    <r>
      <rPr>
        <sz val="10"/>
        <color theme="1"/>
        <rFont val="Calibri"/>
        <family val="2"/>
        <scheme val="minor"/>
      </rPr>
      <t xml:space="preserve"> Se realizó la actualización del Plan Integral Departamental de Derechos Humanos donde se establece la ruta de protección y el plan de prevención de derechos humanos. Cada municipio tiene el plan integral de prevención de derechos humanos.  
</t>
    </r>
    <r>
      <rPr>
        <b/>
        <sz val="10"/>
        <color theme="1"/>
        <rFont val="Calibri"/>
        <family val="2"/>
        <scheme val="minor"/>
      </rPr>
      <t xml:space="preserve">Secretaría de Familia: </t>
    </r>
    <r>
      <rPr>
        <sz val="10"/>
        <color theme="1"/>
        <rFont val="Calibri"/>
        <family val="2"/>
        <scheme val="minor"/>
      </rPr>
      <t xml:space="preserve">la tasa de violencia intrafamiliar x 100 mil jóvenes es del 12,27% según fuente de verificación.
</t>
    </r>
    <r>
      <rPr>
        <b/>
        <sz val="10"/>
        <color rgb="FFFF0000"/>
        <rFont val="Calibri"/>
        <family val="2"/>
        <scheme val="minor"/>
      </rPr>
      <t/>
    </r>
  </si>
  <si>
    <r>
      <t>Secretaría del Interior:</t>
    </r>
    <r>
      <rPr>
        <sz val="10"/>
        <color theme="1"/>
        <rFont val="Calibri"/>
        <family val="2"/>
        <scheme val="minor"/>
      </rPr>
      <t xml:space="preserve"> Se consultaron fuentes oficiales como la defensoría del pueblo y no se tiene información referente al reclutamiento de jóvenes víctimas del conflicto armado. Para la prevención se han realizado:  Jornada de sensibilización prevención y socialización del reclutamiento forzado y Jornada de sensibilización sobre la trata de personas en el Departamento del Quindío.
</t>
    </r>
    <r>
      <rPr>
        <b/>
        <sz val="10"/>
        <color theme="1"/>
        <rFont val="Calibri"/>
        <family val="2"/>
        <scheme val="minor"/>
      </rPr>
      <t>Policía Nacional:</t>
    </r>
    <r>
      <rPr>
        <sz val="10"/>
        <color theme="1"/>
        <rFont val="Calibri"/>
        <family val="2"/>
        <scheme val="minor"/>
      </rPr>
      <t xml:space="preserve"> El Grupo de Protección a la Infancia y Adolescencia realizó durante el IV trimestre en los 12 municipios del departamento, diferentes acciones de prevención, vigilancia y control más de 24 actividades enmarcadas en el cumplimiento de la política de prevención del reclutamiento y utilización de niños, niñas, adolescentes por parte de los grupos armados organizados al margen de la ley y de los grupos delictivos organizados, logrando sensibilizar y beneficiar a más de 642 personas, para finalizar el año 2022 no se cuenta con denuncias antes este grupo por reclutamiento de jóvenes víctimas en la región. </t>
    </r>
  </si>
  <si>
    <r>
      <rPr>
        <b/>
        <sz val="10"/>
        <color theme="1"/>
        <rFont val="Calibri"/>
        <family val="2"/>
        <scheme val="minor"/>
      </rPr>
      <t xml:space="preserve">Alcaldía Génova: </t>
    </r>
    <r>
      <rPr>
        <sz val="10"/>
        <color theme="1"/>
        <rFont val="Calibri"/>
        <family val="2"/>
        <scheme val="minor"/>
      </rPr>
      <t xml:space="preserve">Se realizan campañas sobre espacios libres de humo y consumo de sustancias,  se realiza plan de acción con  los integrantes del subcomité de sustancias psicoactivas.
</t>
    </r>
    <r>
      <rPr>
        <b/>
        <sz val="10"/>
        <color theme="1"/>
        <rFont val="Calibri"/>
        <family val="2"/>
        <scheme val="minor"/>
      </rPr>
      <t>Alcaldía Quimbaya:</t>
    </r>
    <r>
      <rPr>
        <sz val="10"/>
        <color theme="1"/>
        <rFont val="Calibri"/>
        <family val="2"/>
        <scheme val="minor"/>
      </rPr>
      <t xml:space="preserve"> En el municipio de Quimbaya las 7 instituciones educativas ejecutan proyectos de educación sexual y construcción de ciudadanía.
</t>
    </r>
    <r>
      <rPr>
        <b/>
        <sz val="10"/>
        <color theme="1"/>
        <rFont val="Calibri"/>
        <family val="2"/>
        <scheme val="minor"/>
      </rPr>
      <t>Alcaldía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Se realizan campañas de salud sexual y reproductiva a jóvenes de la Institución Educativa José Maria Córdoba a través del convenio celebrado con el hospital San Roque  PIC-Plan de Intervenciones Colectivas. Se realiza campaña de socialización de la ley 1622 de 2013 y 1757 de 2015 con apoyo de la Secretaría de Familia Departamental a través de la Jefatura de Juventud.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se realizan estrategias como la semana andina para reforzar los talleres que se dan constantemente en las instituciones educativas, no se manejan porcentajes estadísticos.
</t>
    </r>
    <r>
      <rPr>
        <b/>
        <sz val="10"/>
        <color theme="1"/>
        <rFont val="Calibri"/>
        <family val="2"/>
        <scheme val="minor"/>
      </rPr>
      <t>Alcaldía de Calarcá:</t>
    </r>
    <r>
      <rPr>
        <sz val="10"/>
        <color theme="1"/>
        <rFont val="Calibri"/>
        <family val="2"/>
        <scheme val="minor"/>
      </rPr>
      <t xml:space="preserve"> Se realizan talleres en las IE, estrategia comunicativa, seguimiento a los servicios amigables en el municipio. 
</t>
    </r>
    <r>
      <rPr>
        <b/>
        <sz val="10"/>
        <color theme="1"/>
        <rFont val="Calibri"/>
        <family val="2"/>
        <scheme val="minor"/>
      </rPr>
      <t>Alcaldía de Armenia</t>
    </r>
    <r>
      <rPr>
        <sz val="10"/>
        <color theme="1"/>
        <rFont val="Calibri"/>
        <family val="2"/>
        <scheme val="minor"/>
      </rPr>
      <t xml:space="preserve">: Personas sensibilizadas en el cuidado de la salud sexual y derechos sexuales y reproductivos 4000.
</t>
    </r>
    <r>
      <rPr>
        <b/>
        <sz val="10"/>
        <color theme="1"/>
        <rFont val="Calibri"/>
        <family val="2"/>
        <scheme val="minor"/>
      </rPr>
      <t>Secretaría de Educación:</t>
    </r>
    <r>
      <rPr>
        <sz val="10"/>
        <color theme="1"/>
        <rFont val="Calibri"/>
        <family val="2"/>
        <scheme val="minor"/>
      </rPr>
      <t xml:space="preserve"> 100% de las Instituciones Educativas Oficiales, llevan a cabo la ejecución de proyectos de Educación Sexual y Construcción de Ciudadania, además del trabajo continúo desde la dirección de calidad educativa en la revisión de los PEI para que contengan los líneamientos en los temas relacionados.</t>
    </r>
  </si>
  <si>
    <r>
      <rPr>
        <b/>
        <sz val="10"/>
        <color theme="1"/>
        <rFont val="Calibri"/>
        <family val="2"/>
        <scheme val="minor"/>
      </rPr>
      <t xml:space="preserve">Observación: </t>
    </r>
    <r>
      <rPr>
        <sz val="10"/>
        <color theme="1"/>
        <rFont val="Calibri"/>
        <family val="2"/>
        <scheme val="minor"/>
      </rPr>
      <t xml:space="preserve">Según el observatorio de Drogas los últimos datos corresponden al año 2013 y el Quindío se sitúa por encima de la media nacional.
</t>
    </r>
    <r>
      <rPr>
        <b/>
        <sz val="10"/>
        <color theme="1"/>
        <rFont val="Calibri"/>
        <family val="2"/>
        <scheme val="minor"/>
      </rPr>
      <t>Secretaría de Salud:</t>
    </r>
    <r>
      <rPr>
        <sz val="10"/>
        <color theme="1"/>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b/>
        <sz val="10"/>
        <color theme="1"/>
        <rFont val="Calibri"/>
        <family val="2"/>
        <scheme val="minor"/>
      </rPr>
      <t>Secretaría de Familia</t>
    </r>
    <r>
      <rPr>
        <sz val="10"/>
        <color theme="1"/>
        <rFont val="Calibri"/>
        <family val="2"/>
        <scheme val="minor"/>
      </rPr>
      <t xml:space="preserve">: La prevalencia de consumo de sustancias psicoactivas último año en escolares es del  6,8% según fuente de verificación.
</t>
    </r>
    <r>
      <rPr>
        <b/>
        <sz val="10"/>
        <color theme="1"/>
        <rFont val="Calibri"/>
        <family val="2"/>
        <scheme val="minor"/>
      </rPr>
      <t>Secretaría de Educación</t>
    </r>
    <r>
      <rPr>
        <sz val="10"/>
        <color theme="1"/>
        <rFont val="Calibri"/>
        <family val="2"/>
        <scheme val="minor"/>
      </rPr>
      <t>: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t>
    </r>
  </si>
  <si>
    <r>
      <rPr>
        <b/>
        <sz val="10"/>
        <color theme="1"/>
        <rFont val="Calibri"/>
        <family val="2"/>
        <scheme val="minor"/>
      </rPr>
      <t xml:space="preserve">Indeportes: </t>
    </r>
    <r>
      <rPr>
        <sz val="10"/>
        <color theme="1"/>
        <rFont val="Calibri"/>
        <family val="2"/>
        <scheme val="minor"/>
      </rPr>
      <t xml:space="preserve">En respuesta a la Ordenanza 026 del 18 de diciembre del 2020 se llevaron a cabo los Juegos Deportivos Departamentales y Para Departamentales 2022, donde se inscribieron 1694 deportistas compitiendo en 20 deportes convencionales y 8 adaptados, los municipios de Circasia, Montenegro, Calarcá y Córdoba recibieron a los deportistas en la fase zonal y en la capital Quindiana se disputó la fase final dejando como campeón a Armenia con 189 medallas, la Tebaida en el segundo puesto con 96 medallas y Quimbaya tercer puesto con 36.
</t>
    </r>
    <r>
      <rPr>
        <b/>
        <sz val="10"/>
        <color theme="1"/>
        <rFont val="Calibri"/>
        <family val="2"/>
        <scheme val="minor"/>
      </rPr>
      <t>Alcaldía de Filandia:</t>
    </r>
    <r>
      <rPr>
        <sz val="10"/>
        <color theme="1"/>
        <rFont val="Calibri"/>
        <family val="2"/>
        <scheme val="minor"/>
      </rPr>
      <t xml:space="preserve"> 3 jóvenes con logros deportivos en eventos internacionales, de los cuales uno pertenece a sector de discapacidad. 
</t>
    </r>
    <r>
      <rPr>
        <b/>
        <sz val="10"/>
        <color theme="1"/>
        <rFont val="Calibri"/>
        <family val="2"/>
        <scheme val="minor"/>
      </rPr>
      <t>Alcaldía la Tebaida:</t>
    </r>
    <r>
      <rPr>
        <sz val="10"/>
        <color theme="1"/>
        <rFont val="Calibri"/>
        <family val="2"/>
        <scheme val="minor"/>
      </rPr>
      <t xml:space="preserve"> en el mes de julio se contó con 56 jóvenes para representar al Municipio en los juegos Intercolegiados del Departamento.
</t>
    </r>
  </si>
  <si>
    <r>
      <rPr>
        <b/>
        <sz val="10"/>
        <color theme="1"/>
        <rFont val="Calibri"/>
        <family val="2"/>
        <scheme val="minor"/>
      </rPr>
      <t>Indeportes:</t>
    </r>
    <r>
      <rPr>
        <sz val="10"/>
        <color theme="1"/>
        <rFont val="Calibri"/>
        <family val="2"/>
        <scheme val="minor"/>
      </rPr>
      <t xml:space="preserve"> Se realizó asistencia técnica a 500 deportistas de reserva y altos logros deportivas en las líneas metodológica, jurídica y biomédica a niños y niñas talentos deportivos en diferentes disciplinas deportivas.</t>
    </r>
  </si>
  <si>
    <r>
      <t xml:space="preserve">Indeportes: </t>
    </r>
    <r>
      <rPr>
        <sz val="10"/>
        <color theme="1"/>
        <rFont val="Calibri"/>
        <family val="2"/>
        <scheme val="minor"/>
      </rPr>
      <t>5 deportes no convencionales apoyados.</t>
    </r>
    <r>
      <rPr>
        <b/>
        <sz val="10"/>
        <color theme="1"/>
        <rFont val="Calibri"/>
        <family val="2"/>
        <scheme val="minor"/>
      </rPr>
      <t xml:space="preserve">
Alcaldía de La Tebaida: </t>
    </r>
    <r>
      <rPr>
        <sz val="10"/>
        <color theme="1"/>
        <rFont val="Calibri"/>
        <family val="2"/>
        <scheme val="minor"/>
      </rPr>
      <t>patinaje y levantamiento de pesas</t>
    </r>
    <r>
      <rPr>
        <b/>
        <sz val="10"/>
        <color theme="1"/>
        <rFont val="Calibri"/>
        <family val="2"/>
        <scheme val="minor"/>
      </rPr>
      <t>.</t>
    </r>
  </si>
  <si>
    <r>
      <t>Secretaria de Turismo, Industria y Comercio:</t>
    </r>
    <r>
      <rPr>
        <sz val="10"/>
        <color theme="1"/>
        <rFont val="Calibri"/>
        <family val="2"/>
        <scheme val="minor"/>
      </rPr>
      <t xml:space="preserve"> Secretaría de Turismo Industria y Comercio: Se agotó el presupuesto en el periodo anterior.</t>
    </r>
    <r>
      <rPr>
        <b/>
        <sz val="10"/>
        <color theme="1"/>
        <rFont val="Calibri"/>
        <family val="2"/>
        <scheme val="minor"/>
      </rPr>
      <t xml:space="preserve">
Secretaría de Familia: </t>
    </r>
    <r>
      <rPr>
        <sz val="10"/>
        <color theme="1"/>
        <rFont val="Calibri"/>
        <family val="2"/>
        <scheme val="minor"/>
      </rPr>
      <t xml:space="preserve">Informa la promoción del turismo de naturaleza de aventura a través de la participación de la feria ANATO.
</t>
    </r>
    <r>
      <rPr>
        <b/>
        <sz val="10"/>
        <color theme="1"/>
        <rFont val="Calibri"/>
        <family val="2"/>
        <scheme val="minor"/>
      </rPr>
      <t xml:space="preserve">Alcaldía Salento: </t>
    </r>
    <r>
      <rPr>
        <sz val="10"/>
        <color theme="1"/>
        <rFont val="Calibri"/>
        <family val="2"/>
        <scheme val="minor"/>
      </rPr>
      <t>Actividades desarrolladas por parte del programa Cátedra de la Salentinidad hacia las instituciones educativas y población joven del municipio (Capacitación docentes y dotación material pedagógico).</t>
    </r>
    <r>
      <rPr>
        <b/>
        <sz val="10"/>
        <color theme="1"/>
        <rFont val="Calibri"/>
        <family val="2"/>
        <scheme val="minor"/>
      </rPr>
      <t xml:space="preserve">
Alcaldía de Córdoba: </t>
    </r>
    <r>
      <rPr>
        <sz val="10"/>
        <color theme="1"/>
        <rFont val="Calibri"/>
        <family val="2"/>
        <scheme val="minor"/>
      </rPr>
      <t xml:space="preserve"> En el Municipio a la fecha no existen alianzas para la promoción de turismo establecida para jóvenes, sin embargo empresas privadas como Soñarte y Café restaurante 1920, Los cainos, Café mujer  ubicadas en el municipio, fomentan  la promoción de turismo en jóvenes, buscando emplearlos en las diferentes áreas de dichas empresas. </t>
    </r>
    <r>
      <rPr>
        <b/>
        <sz val="10"/>
        <color theme="1"/>
        <rFont val="Calibri"/>
        <family val="2"/>
        <scheme val="minor"/>
      </rPr>
      <t xml:space="preserve">
Alcaldía de Calarcá: </t>
    </r>
    <r>
      <rPr>
        <sz val="10"/>
        <color theme="1"/>
        <rFont val="Calibri"/>
        <family val="2"/>
        <scheme val="minor"/>
      </rPr>
      <t xml:space="preserve">Desde la Secretaría de Desarrollo Económico, Ambiental y Comunitario se realizó con la IE Segundo Henao, jornada de socialización sobre el sector turístico del municipio en la Hacienda la Pradera.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</si>
  <si>
    <r>
      <t xml:space="preserve">   
</t>
    </r>
    <r>
      <rPr>
        <b/>
        <sz val="10"/>
        <color theme="1"/>
        <rFont val="Calibri"/>
        <family val="2"/>
        <scheme val="minor"/>
      </rPr>
      <t>Secretaría de Cultura</t>
    </r>
    <r>
      <rPr>
        <sz val="10"/>
        <color theme="1"/>
        <rFont val="Calibri"/>
        <family val="2"/>
        <scheme val="minor"/>
      </rPr>
      <t>: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 DE PROYECTOS ARTÍSTICOS Y CULTURALES EN EL DEPARTAMENTO DEL QUINDÍO AÑO 2022 Y SE DICTAN OTRAS DISPOSICIONES, ninguno de los proyectos presentados y seleccionados benefician a este tipo de población, pero si se pueden beneficiar en la ejecución de estos 1.153 jóvenes.</t>
    </r>
  </si>
  <si>
    <r>
      <rPr>
        <b/>
        <sz val="10"/>
        <color theme="1"/>
        <rFont val="Calibri"/>
        <family val="2"/>
        <scheme val="minor"/>
      </rPr>
      <t>Secretaría de Cultura:</t>
    </r>
    <r>
      <rPr>
        <sz val="10"/>
        <color theme="1"/>
        <rFont val="Calibri"/>
        <family val="2"/>
        <scheme val="minor"/>
      </rPr>
      <t xml:space="preserve"> la Secretaría de Cultura realizó proceso de formación artística en las áreas de música, danzas, teatro y artes plásticas con la población juvenil  con el apoyo de las casas de la cultura,  en los cuales hemos contado con la asistencia de 240   jóvenes en este cuarto trimestre, para un total atendido en la vigencia de 4370 jóvenes.</t>
    </r>
  </si>
  <si>
    <r>
      <rPr>
        <b/>
        <sz val="10"/>
        <color theme="1"/>
        <rFont val="Calibri"/>
        <family val="2"/>
        <scheme val="minor"/>
      </rPr>
      <t>Secretaría de Familia</t>
    </r>
    <r>
      <rPr>
        <sz val="10"/>
        <color theme="1"/>
        <rFont val="Calibri"/>
        <family val="2"/>
        <scheme val="minor"/>
      </rPr>
      <t xml:space="preserve">: Se actualizó un micro sitio en la página web de la Gobernación orientado a difundir y socializar las actividades realizadas en el marco de la implementación de la Política Pública de Juventud.
</t>
    </r>
  </si>
  <si>
    <r>
      <t xml:space="preserve">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r>
      <rPr>
        <b/>
        <sz val="10"/>
        <color theme="1"/>
        <rFont val="Calibri"/>
        <family val="2"/>
        <scheme val="minor"/>
      </rPr>
      <t>Universidad del Quindío:</t>
    </r>
    <r>
      <rPr>
        <sz val="10"/>
        <color theme="1"/>
        <rFont val="Calibri"/>
        <family val="2"/>
        <scheme val="minor"/>
      </rPr>
      <t xml:space="preserve"> Se tienen en cuenta proyectos desarrollados desde el año 2021 y que actualmente se encuentran en ejecución. 1. Desarrollo, enfoques y retos entre el uso y la apropiación de la interacción tecnología - comunicación - educación en el aula virtual para el aprehender mediático en los programas de CSP de Uniquindío y CSOD de Uniminuto. 2. Análisis del rendimiento académico de los estudiantes de la Universidad del Quindío aplicando técnicas de minería de datos.
3. Enfoque alfabético multimodal para el desarrollo de la escritura del artículo de revisión exploratoria en lengua materna de estudiantes de licenciatura en lenguas modernas 4. Incidencia del camino lector infantil en la formación del adulto - mediador de lectura: un estudio de caso desarrollado con estudiantes de la Licenciatura en Literatura y Lengua Castellana de la Universidad del Quindío 5. Ocio y tiempo libre en la comunidad educativa UNIQUINDIANA.
</t>
    </r>
    <r>
      <rPr>
        <b/>
        <sz val="10"/>
        <color theme="1"/>
        <rFont val="Calibri"/>
        <family val="2"/>
        <scheme val="minor"/>
      </rPr>
      <t>Universidad EAM:</t>
    </r>
    <r>
      <rPr>
        <sz val="10"/>
        <color theme="1"/>
        <rFont val="Calibri"/>
        <family val="2"/>
        <scheme val="minor"/>
      </rPr>
      <t xml:space="preserve"> Semilleros de investigación Ponencias .
</t>
    </r>
    <r>
      <rPr>
        <b/>
        <sz val="10"/>
        <color theme="1"/>
        <rFont val="Calibri"/>
        <family val="2"/>
        <scheme val="minor"/>
      </rPr>
      <t>Secretaría de Familia:</t>
    </r>
    <r>
      <rPr>
        <sz val="10"/>
        <color theme="1"/>
        <rFont val="Calibri"/>
        <family val="2"/>
        <scheme val="minor"/>
      </rPr>
      <t xml:space="preserve">  desde la jefatura de juventud no se realizan investigaciones sobre dinámicas juveniles 
</t>
    </r>
    <r>
      <rPr>
        <b/>
        <sz val="10"/>
        <color theme="1"/>
        <rFont val="Calibri"/>
        <family val="2"/>
        <scheme val="minor"/>
      </rPr>
      <t xml:space="preserve">Universidad la Gran Colombia: </t>
    </r>
    <r>
      <rPr>
        <sz val="10"/>
        <color theme="1"/>
        <rFont val="Calibri"/>
        <family val="2"/>
        <scheme val="minor"/>
      </rPr>
      <t xml:space="preserve">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color theme="1"/>
        <rFont val="Calibri"/>
        <family val="2"/>
        <scheme val="minor"/>
      </rPr>
      <t>Secretaría del Interior:</t>
    </r>
    <r>
      <rPr>
        <sz val="10"/>
        <color theme="1"/>
        <rFont val="Calibri"/>
        <family val="2"/>
        <scheme val="minor"/>
      </rPr>
      <t xml:space="preserve"> Apoyo a investigaciones, establecimiento de alianzas con entidades de educación superior para el desarrollo de procesos  investigativos, diseño y puesta en marcha de un observatorio de Juventud.
</t>
    </r>
  </si>
  <si>
    <r>
      <t xml:space="preserve">
</t>
    </r>
    <r>
      <rPr>
        <b/>
        <sz val="10"/>
        <color theme="1"/>
        <rFont val="Calibri"/>
        <family val="2"/>
        <scheme val="minor"/>
      </rPr>
      <t xml:space="preserve">Universidad del Quindío: </t>
    </r>
    <r>
      <rPr>
        <sz val="10"/>
        <color theme="1"/>
        <rFont val="Calibri"/>
        <family val="2"/>
        <scheme val="minor"/>
      </rPr>
      <t xml:space="preserve">Se realizaron en lo corrido del año 2022 alrededor de 45 actividades de aprendizaje permanente superiores a 40 horas que dentro de la población beneficiada incluyen jóvenes entre los 14 y 28 años, en el presupuesto se consideran recursos de actividades sociales, solidarias y remuneradas.
</t>
    </r>
    <r>
      <rPr>
        <b/>
        <sz val="10"/>
        <color theme="1"/>
        <rFont val="Calibri"/>
        <family val="2"/>
        <scheme val="minor"/>
      </rPr>
      <t>Universidad San  Buenaventura</t>
    </r>
    <r>
      <rPr>
        <sz val="10"/>
        <color theme="1"/>
        <rFont val="Calibri"/>
        <family val="2"/>
        <scheme val="minor"/>
      </rPr>
      <t xml:space="preserve">: Estudiantes del colegio José Rufino centro, se beneficiaron del curso gratuito brindado por el Centro de Idiomas de la universidad de San Buenaventura  con el objetivo de mejorar e impulsar el conocimiento de una segunda lengua (inglés) y  fortalecer a lo estudiantes para las pruebas saber pro. 
</t>
    </r>
    <r>
      <rPr>
        <b/>
        <sz val="10"/>
        <color theme="1"/>
        <rFont val="Calibri"/>
        <family val="2"/>
        <scheme val="minor"/>
      </rPr>
      <t>Universidad EAM:</t>
    </r>
    <r>
      <rPr>
        <sz val="10"/>
        <color theme="1"/>
        <rFont val="Calibri"/>
        <family val="2"/>
        <scheme val="minor"/>
      </rPr>
      <t xml:space="preserve"> 2 diplomados: Diplomado en Pedagogía y Docencia con 14 estudiantes y el Diplomado en Comunicación Digital y Marketing de Contenidos: 14 estudiantes
</t>
    </r>
    <r>
      <rPr>
        <b/>
        <sz val="10"/>
        <color theme="1"/>
        <rFont val="Calibri"/>
        <family val="2"/>
        <scheme val="minor"/>
      </rPr>
      <t>Secretaría de Familia:</t>
    </r>
    <r>
      <rPr>
        <sz val="10"/>
        <color theme="1"/>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color theme="1"/>
        <rFont val="Calibri"/>
        <family val="2"/>
        <scheme val="minor"/>
      </rPr>
      <t>Universidad la Gran Colombia:</t>
    </r>
    <r>
      <rPr>
        <sz val="10"/>
        <color theme="1"/>
        <rFont val="Calibri"/>
        <family val="2"/>
        <scheme val="minor"/>
      </rPr>
      <t xml:space="preserve"> 1. Diplomado en Planificación Participativa y Estratégica, el cual ha contado con la participación de 6 jóvenes - Consejeros Territoriales de Planeación.
</t>
    </r>
    <r>
      <rPr>
        <b/>
        <sz val="10"/>
        <color theme="1"/>
        <rFont val="Calibri"/>
        <family val="2"/>
        <scheme val="minor"/>
      </rPr>
      <t>Secretaría del Interior:</t>
    </r>
    <r>
      <rPr>
        <sz val="10"/>
        <color theme="1"/>
        <rFont val="Calibri"/>
        <family val="2"/>
        <scheme val="minor"/>
      </rPr>
      <t xml:space="preserve"> Realización de cursos, seminarios y diplomados, establecimiento de alianzas con instituciones de educación superior para la oferta de programas relacionados con juventud.
</t>
    </r>
    <r>
      <rPr>
        <b/>
        <sz val="10"/>
        <color theme="1"/>
        <rFont val="Calibri"/>
        <family val="2"/>
        <scheme val="minor"/>
      </rPr>
      <t xml:space="preserve"> Secretaría de Educación:</t>
    </r>
    <r>
      <rPr>
        <sz val="10"/>
        <color theme="1"/>
        <rFont val="Calibri"/>
        <family val="2"/>
        <scheme val="minor"/>
      </rPr>
      <t>Se continúa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r>
  </si>
  <si>
    <r>
      <t xml:space="preserve">
</t>
    </r>
    <r>
      <rPr>
        <b/>
        <sz val="10"/>
        <color theme="1"/>
        <rFont val="Calibri"/>
        <family val="2"/>
        <scheme val="minor"/>
      </rPr>
      <t>Secretaría de Familia:</t>
    </r>
    <r>
      <rPr>
        <sz val="10"/>
        <color theme="1"/>
        <rFont val="Calibri"/>
        <family val="2"/>
        <scheme val="minor"/>
      </rPr>
      <t xml:space="preserve"> La Secretaría de Familia reporta la existencia de 11 espacios de participación los cuales tienen dentro de sus funciones hacer control social a lo público.
</t>
    </r>
  </si>
  <si>
    <r>
      <rPr>
        <b/>
        <sz val="10"/>
        <color theme="1"/>
        <rFont val="Calibri"/>
        <family val="2"/>
        <scheme val="minor"/>
      </rPr>
      <t xml:space="preserve">Secretaría de Planeación: </t>
    </r>
    <r>
      <rPr>
        <sz val="10"/>
        <color theme="1"/>
        <rFont val="Calibri"/>
        <family val="2"/>
        <scheme val="minor"/>
      </rPr>
      <t xml:space="preserve">La Secretaría de Planeación coordinó  durante el primer y segundo trimestre, acciones a través de Comité de Aprestamiento la Rendición Pública de Cuentas de la Administración Departamental vigencia 2021 que se llevó a cabo el día 29 de junio de 2022,  en cumplimiento de las  metas del  Plan de Desarrollo 2020-2023 , por medio de las diferentes líneas estratégicas ( Inclusión Social y Equidad, Productividad y Competitividad, Territorio, Ambiente y Desarrollo Sostenible y Liderazgo Gobernabilidad y Transparencia, en la cual se encuentran descritos logros  de la política Pública  de juventud.
</t>
    </r>
    <r>
      <rPr>
        <b/>
        <sz val="10"/>
        <color theme="1"/>
        <rFont val="Calibri"/>
        <family val="2"/>
        <scheme val="minor"/>
      </rPr>
      <t>Secretaría de Familia:</t>
    </r>
    <r>
      <rPr>
        <sz val="10"/>
        <color theme="1"/>
        <rFont val="Calibri"/>
        <family val="2"/>
        <scheme val="minor"/>
      </rPr>
      <t xml:space="preserve"> Se realizó el seguimiento cuarto trimestre 2022, correspondiente a la implementación de la Política Pública de Juventud.
</t>
    </r>
  </si>
  <si>
    <r>
      <rPr>
        <b/>
        <sz val="10"/>
        <color theme="1"/>
        <rFont val="Calibri"/>
        <family val="2"/>
        <scheme val="minor"/>
      </rPr>
      <t>Alcaldía de Salento</t>
    </r>
    <r>
      <rPr>
        <sz val="10"/>
        <color theme="1"/>
        <rFont val="Calibri"/>
        <family val="2"/>
        <scheme val="minor"/>
      </rPr>
      <t xml:space="preserve">: Aprobación de recursos por valor de $5.000.000, a través del programa Planta para el mejoramiento de la Casa de la Juventud
</t>
    </r>
    <r>
      <rPr>
        <b/>
        <sz val="10"/>
        <color theme="1"/>
        <rFont val="Calibri"/>
        <family val="2"/>
        <scheme val="minor"/>
      </rPr>
      <t xml:space="preserve">Alcaldía de Buenavista: </t>
    </r>
    <r>
      <rPr>
        <sz val="10"/>
        <color theme="1"/>
        <rFont val="Calibri"/>
        <family val="2"/>
        <scheme val="minor"/>
      </rPr>
      <t xml:space="preserve">No se cuenta con casa de la juventud en el municipio.
</t>
    </r>
    <r>
      <rPr>
        <b/>
        <sz val="10"/>
        <color theme="1"/>
        <rFont val="Calibri"/>
        <family val="2"/>
        <scheme val="minor"/>
      </rPr>
      <t xml:space="preserve">Alcaldía de Génova: </t>
    </r>
    <r>
      <rPr>
        <sz val="10"/>
        <color theme="1"/>
        <rFont val="Calibri"/>
        <family val="2"/>
        <scheme val="minor"/>
      </rPr>
      <t xml:space="preserve">No se cuenta con casa de la juventud en el municipio.
</t>
    </r>
    <r>
      <rPr>
        <b/>
        <sz val="10"/>
        <color theme="1"/>
        <rFont val="Calibri"/>
        <family val="2"/>
        <scheme val="minor"/>
      </rPr>
      <t>Alcaldía Quimbaya:</t>
    </r>
    <r>
      <rPr>
        <sz val="10"/>
        <color theme="1"/>
        <rFont val="Calibri"/>
        <family val="2"/>
        <scheme val="minor"/>
      </rPr>
      <t xml:space="preserve"> En el municipio de Quimbaya no existe casa de la juventud.
</t>
    </r>
    <r>
      <rPr>
        <b/>
        <sz val="10"/>
        <color theme="1"/>
        <rFont val="Calibri"/>
        <family val="2"/>
        <scheme val="minor"/>
      </rPr>
      <t xml:space="preserve">Alcaldía de Tebaida: </t>
    </r>
    <r>
      <rPr>
        <sz val="10"/>
        <color theme="1"/>
        <rFont val="Calibri"/>
        <family val="2"/>
        <scheme val="minor"/>
      </rPr>
      <t xml:space="preserve">en este trimestre la administración Municipal, conto con la elaboración de 2 nuevos murales en la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de Armenia</t>
    </r>
    <r>
      <rPr>
        <sz val="10"/>
        <color theme="1"/>
        <rFont val="Calibri"/>
        <family val="2"/>
        <scheme val="minor"/>
      </rPr>
      <t xml:space="preserve">: 1 casa de la juventud funcionando en el barrio 7 de agosto con la estrategia "parche pa todos" 
</t>
    </r>
    <r>
      <rPr>
        <b/>
        <sz val="10"/>
        <color theme="1"/>
        <rFont val="Calibri"/>
        <family val="2"/>
        <scheme val="minor"/>
      </rPr>
      <t xml:space="preserve">Alcaldía Montenegro: </t>
    </r>
    <r>
      <rPr>
        <sz val="10"/>
        <color theme="1"/>
        <rFont val="Calibri"/>
        <family val="2"/>
        <scheme val="minor"/>
      </rPr>
      <t xml:space="preserve">No existe casa de la juventud en el municipio actualmente no obstante, se gestionan espacios a los jóvenes para el desarrollo de sus encuentros y actividades en la casa de la cultura del municipio y el teatro esmeralda .
</t>
    </r>
    <r>
      <rPr>
        <b/>
        <sz val="10"/>
        <color theme="1"/>
        <rFont val="Calibri"/>
        <family val="2"/>
        <scheme val="minor"/>
      </rPr>
      <t>Alcaldía de Filandia:</t>
    </r>
    <r>
      <rPr>
        <sz val="10"/>
        <color theme="1"/>
        <rFont val="Calibri"/>
        <family val="2"/>
        <scheme val="minor"/>
      </rPr>
      <t xml:space="preserve"> El municipio de Filandia cuenta con la casa de la cultura , la cual maneja diversos grupos infantiles y juveniles. </t>
    </r>
    <r>
      <rPr>
        <b/>
        <sz val="10"/>
        <color theme="1"/>
        <rFont val="Calibri"/>
        <family val="2"/>
        <scheme val="minor"/>
      </rPr>
      <t xml:space="preserve">
Alcaldía Pijao:</t>
    </r>
    <r>
      <rPr>
        <sz val="10"/>
        <color theme="1"/>
        <rFont val="Calibri"/>
        <family val="2"/>
        <scheme val="minor"/>
      </rPr>
      <t xml:space="preserve"> se cuenta con casa de la juventud, en la que los jóvenes realizan sus distintas actividades, se le han hecho mejoras gracias a la ayuda de la Secretaría de familia y otros entes.
</t>
    </r>
    <r>
      <rPr>
        <b/>
        <sz val="10"/>
        <color theme="1"/>
        <rFont val="Calibri"/>
        <family val="2"/>
        <scheme val="minor"/>
      </rPr>
      <t>Alcaldía de Calarcá:</t>
    </r>
    <r>
      <rPr>
        <sz val="10"/>
        <color theme="1"/>
        <rFont val="Calibri"/>
        <family val="2"/>
        <scheme val="minor"/>
      </rPr>
      <t xml:space="preserve"> 1 casa de la juventud ubicada en la antigua escuela Matilde Buriticá, los jóvenes cuentan con 100 butacas, tres mesas, una cabina de sonido y un video beam, para apoyo en sus actividades.
</t>
    </r>
    <r>
      <rPr>
        <b/>
        <sz val="10"/>
        <color theme="1"/>
        <rFont val="Calibri"/>
        <family val="2"/>
        <scheme val="minor"/>
      </rPr>
      <t>Secretaría de Familia:</t>
    </r>
    <r>
      <rPr>
        <sz val="10"/>
        <color theme="1"/>
        <rFont val="Calibri"/>
        <family val="2"/>
        <scheme val="minor"/>
      </rPr>
      <t xml:space="preserve"> Reporta que en los municipios de Buenavista, Génova, Quimbaya, Circasia, Montenegro, Filandia y Córdoba no ceuntan con Casa de la Juventud. 
</t>
    </r>
    <r>
      <rPr>
        <b/>
        <sz val="10"/>
        <color theme="1"/>
        <rFont val="Calibri"/>
        <family val="2"/>
        <scheme val="minor"/>
      </rPr>
      <t xml:space="preserve">Alcaldía de Córdoba: </t>
    </r>
    <r>
      <rPr>
        <sz val="10"/>
        <color theme="1"/>
        <rFont val="Calibri"/>
        <family val="2"/>
        <scheme val="minor"/>
      </rPr>
      <t xml:space="preserve"> En el municipio no se cuenta con la casa de la Juventud, sin embargo se habilitaron las instalaciones de la casa de la cultura y el Honorable Concejo municipal para la realización de las reuniones juveniles y siempre que sea solicitado un espacio para sus actividades se busca el mas idóneo  para el desarrollo de las mismas.  
</t>
    </r>
  </si>
  <si>
    <r>
      <rPr>
        <b/>
        <sz val="10"/>
        <color theme="1"/>
        <rFont val="Calibri"/>
        <family val="2"/>
        <scheme val="minor"/>
      </rPr>
      <t>Secretaría de Familia:</t>
    </r>
    <r>
      <rPr>
        <sz val="10"/>
        <color theme="1"/>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color theme="1"/>
        <rFont val="Calibri"/>
        <family val="2"/>
        <scheme val="minor"/>
      </rPr>
      <t>Alcaldía de Calarcá:</t>
    </r>
    <r>
      <rPr>
        <sz val="10"/>
        <color theme="1"/>
        <rFont val="Calibri"/>
        <family val="2"/>
        <scheme val="minor"/>
      </rPr>
      <t xml:space="preserve"> Por medio de la Resolución N° 943 DEL 18 de octubre del 2022 "Por medio de la cual se adopta el procedimiento para la posesión y operación del Consejo Municipal de Juventudes del municipio de Calarcá-Quindío"; para un total de 17 integrantes. Así mismo en el mes de Diciembre se realiza entrega de 17 entradas al parque del café para el fortalecimiento de las instancias del consejo y plataforma de juventudes.</t>
    </r>
  </si>
  <si>
    <r>
      <rPr>
        <b/>
        <sz val="10"/>
        <color theme="1"/>
        <rFont val="Calibri"/>
        <family val="2"/>
        <scheme val="minor"/>
      </rPr>
      <t xml:space="preserve">
Alcaldía Córdoba:</t>
    </r>
    <r>
      <rPr>
        <sz val="10"/>
        <color theme="1"/>
        <rFont val="Calibri"/>
        <family val="2"/>
        <scheme val="minor"/>
      </rPr>
      <t xml:space="preserve"> En el Municipio de Córdoba se cuenta con la plataforma municipal de juventud mediante acta de la personería municipal, realizó sesión extraordinaria para la implementación de la ruta de estímulos y reformas al estatuto de ciudadanía juvenil, con el fin de crear la propuesta de la lista de estímulos y reforma al estatuto de ciudadanía juvenil según los lineamientos del orden nacional en la guía en la Ruta de Estímulos y Reforma al Estatuto de Ciudadanía juvenil.
</t>
    </r>
    <r>
      <rPr>
        <b/>
        <sz val="10"/>
        <color theme="1"/>
        <rFont val="Calibri"/>
        <family val="2"/>
        <scheme val="minor"/>
      </rPr>
      <t>Secretaría de Familia:</t>
    </r>
    <r>
      <rPr>
        <sz val="10"/>
        <color theme="1"/>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fue actualizada en el mes de mayo.
</t>
    </r>
  </si>
  <si>
    <r>
      <rPr>
        <b/>
        <sz val="10"/>
        <color theme="1"/>
        <rFont val="Calibri"/>
        <family val="2"/>
        <scheme val="minor"/>
      </rPr>
      <t>Secretaría de Turismo Industria y Comercio:</t>
    </r>
    <r>
      <rPr>
        <sz val="10"/>
        <color theme="1"/>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color theme="1"/>
        <rFont val="Calibri"/>
        <family val="2"/>
        <scheme val="minor"/>
      </rPr>
      <t xml:space="preserve">SENA: </t>
    </r>
    <r>
      <rPr>
        <sz val="10"/>
        <color theme="1"/>
        <rFont val="Calibri"/>
        <family val="2"/>
        <scheme val="minor"/>
      </rPr>
      <t xml:space="preserve">Hasta la fecha se han formado 20.286 aprendices.
</t>
    </r>
    <r>
      <rPr>
        <b/>
        <sz val="10"/>
        <color theme="1"/>
        <rFont val="Calibri"/>
        <family val="2"/>
        <scheme val="minor"/>
      </rPr>
      <t>Nota:</t>
    </r>
    <r>
      <rPr>
        <sz val="10"/>
        <color theme="1"/>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</si>
  <si>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color theme="1"/>
        <rFont val="Calibri"/>
        <family val="2"/>
        <scheme val="minor"/>
      </rPr>
      <t xml:space="preserve">
Cámara de Comercio de Armenia y del Quindío:  </t>
    </r>
    <r>
      <rPr>
        <sz val="10"/>
        <color theme="1"/>
        <rFont val="Calibri"/>
        <family val="2"/>
        <scheme val="minor"/>
      </rPr>
      <t xml:space="preserve">La tasa de desempleo juvenil en la ciudad de Armenia es de 20,5 según el DANE en su último informe publicado
</t>
    </r>
    <r>
      <rPr>
        <b/>
        <sz val="10"/>
        <color theme="1"/>
        <rFont val="Calibri"/>
        <family val="2"/>
        <scheme val="minor"/>
      </rPr>
      <t xml:space="preserve">Secretaría Turismo, Industria y Comercio: </t>
    </r>
    <r>
      <rPr>
        <sz val="10"/>
        <color theme="1"/>
        <rFont val="Calibri"/>
        <family val="2"/>
        <scheme val="minor"/>
      </rPr>
      <t>Ciento tres (103) iniciativas vinculadas a proyectos innovadores y de emprendimiento.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t>
    </r>
    <r>
      <rPr>
        <b/>
        <sz val="10"/>
        <color theme="1"/>
        <rFont val="Calibri"/>
        <family val="2"/>
        <scheme val="minor"/>
      </rPr>
      <t xml:space="preserve">
Secretaría de Agricultura:</t>
    </r>
    <r>
      <rPr>
        <sz val="10"/>
        <color theme="1"/>
        <rFont val="Calibri"/>
        <family val="2"/>
        <scheme val="minor"/>
      </rPr>
      <t xml:space="preserve">  En el marco de la ejecución del proyecto de regalías, para la implementación de un modelo innovador de café diferenciado se dio alcance a un proyecto de investigación y CTEL, para la comuidad cafetera del Departamento del Quindío, impactando 705 jóvenes de 325 mujeres y 370 hombres
</t>
    </r>
    <r>
      <rPr>
        <b/>
        <sz val="10"/>
        <color theme="1"/>
        <rFont val="Calibri"/>
        <family val="2"/>
        <scheme val="minor"/>
      </rPr>
      <t xml:space="preserve">Alcaldía de Filandia: </t>
    </r>
    <r>
      <rPr>
        <sz val="10"/>
        <color theme="1"/>
        <rFont val="Calibri"/>
        <family val="2"/>
        <scheme val="minor"/>
      </rPr>
      <t xml:space="preserve">55% de jóvenes vinculados laboralmente.
</t>
    </r>
    <r>
      <rPr>
        <b/>
        <sz val="10"/>
        <color theme="1"/>
        <rFont val="Calibri"/>
        <family val="2"/>
        <scheme val="minor"/>
      </rPr>
      <t xml:space="preserve">Alcaldía de Córdoba: </t>
    </r>
    <r>
      <rPr>
        <sz val="10"/>
        <color theme="1"/>
        <rFont val="Calibri"/>
        <family val="2"/>
        <scheme val="minor"/>
      </rPr>
      <t>Esta información no puede ser reportada en porcentaje (%), sin embargo por parte del municipio a través de la alcaldía municipal ha realizado 2 ferias de empleo con el apoyo y acompañamiento de la Cámara de Comercio del Quindío y el Sena Regional Quindío  a través de su oficina de empleo.</t>
    </r>
  </si>
  <si>
    <r>
      <t xml:space="preserv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Universidad del Quindío: </t>
    </r>
    <r>
      <rPr>
        <sz val="10"/>
        <color theme="1"/>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Universidad La Gran Colombia:</t>
    </r>
    <r>
      <rPr>
        <sz val="10"/>
        <color theme="1"/>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color theme="1"/>
        <rFont val="Calibri"/>
        <family val="2"/>
        <scheme val="minor"/>
      </rPr>
      <t xml:space="preserve">Universidad EAM: </t>
    </r>
    <r>
      <rPr>
        <sz val="10"/>
        <color theme="1"/>
        <rFont val="Calibri"/>
        <family val="2"/>
        <scheme val="minor"/>
      </rPr>
      <t xml:space="preserve">Articulación con las políticas de inclusión
</t>
    </r>
    <r>
      <rPr>
        <b/>
        <sz val="10"/>
        <color theme="1"/>
        <rFont val="Calibri"/>
        <family val="2"/>
        <scheme val="minor"/>
      </rPr>
      <t xml:space="preserve">Secretaría de Turismo Industria y Comercio: </t>
    </r>
    <r>
      <rPr>
        <sz val="10"/>
        <color theme="1"/>
        <rFont val="Calibri"/>
        <family val="2"/>
        <scheme val="minor"/>
      </rPr>
      <t xml:space="preserve">Se agotó el presupuesto en el periodo anterior.
</t>
    </r>
    <r>
      <rPr>
        <b/>
        <sz val="10"/>
        <color theme="1"/>
        <rFont val="Calibri"/>
        <family val="2"/>
        <scheme val="minor"/>
      </rPr>
      <t>Secretaría de Agricultura:</t>
    </r>
    <r>
      <rPr>
        <sz val="10"/>
        <color theme="1"/>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4. Convenio No. 080-2021 con la ASOCIACIÓN DE RELEVO GENERACIONAL DEL CAMPO ARMENIA – ASORGEC.  
</t>
    </r>
    <r>
      <rPr>
        <b/>
        <sz val="10"/>
        <color theme="1"/>
        <rFont val="Calibri"/>
        <family val="2"/>
        <scheme val="minor"/>
      </rPr>
      <t>Secretaría de Educación:</t>
    </r>
    <r>
      <rPr>
        <sz val="10"/>
        <color theme="1"/>
        <rFont val="Calibri"/>
        <family val="2"/>
        <scheme val="minor"/>
      </rPr>
      <t xml:space="preserve"> El 13,36%  representa el porcentaje de jóvenes matriculados en la educación media  que participan en proyectos de innovación y emprendimiento en el sector rural. Esta acción se enmarca en la estrategia de doble titulación mediante el convenio interinstitucional 004 de 2016 con el SENA, con la formulación de proyectos productivos innovadores, cumpliendo así con la etapa de certificación para el técnico laboral en cada una de las especialidades de las Instituciones Educativas. Se estima pago anual para 666 estudiantes rurales  que realizan proyectos productivos o emprendimientos innovadores en su etapa práctica, puesto que para su formación técnica es requisito indispensable. Se realiza pago anual de $32.606.000 en promedio para cubir la afiliación a riegos laborales de los estudiantes que realizan sus proyectos productivos y de emprendimiento en el sector rural.
</t>
    </r>
  </si>
  <si>
    <r>
      <rPr>
        <b/>
        <sz val="10"/>
        <color theme="1"/>
        <rFont val="Calibri"/>
        <family val="2"/>
        <scheme val="minor"/>
      </rPr>
      <t>Sena:</t>
    </r>
    <r>
      <rPr>
        <sz val="10"/>
        <color theme="1"/>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color theme="1"/>
        <rFont val="Calibri"/>
        <family val="2"/>
        <scheme val="minor"/>
      </rPr>
      <t>Secretaría de Turismo Industria y Comercio:</t>
    </r>
    <r>
      <rPr>
        <sz val="10"/>
        <color theme="1"/>
        <rFont val="Calibri"/>
        <family val="2"/>
        <scheme val="minor"/>
      </rPr>
      <t xml:space="preserve">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y a través del contrato interadministrativo CO1.PCCNTR.2564825 de 2021, y una vez se dio la aprobación de la Comisión Técnica del Fondo Emprender se viabilizaron 18 planeas de negocio, dentro de los cuales estuvo el de  ALEJANDRO JIMÉNEZ TORO de 23 años de edad, propietario del emprendimiento APIS NATURVIDA, del sector Pecuario el cual genera 4 empleos directos, del Municipio de Génova  por valor de $79.914.452 al joven.
</t>
    </r>
    <r>
      <rPr>
        <b/>
        <sz val="10"/>
        <color theme="1"/>
        <rFont val="Calibri"/>
        <family val="2"/>
        <scheme val="minor"/>
      </rPr>
      <t xml:space="preserve">Universidad del Quindío: </t>
    </r>
    <r>
      <rPr>
        <sz val="10"/>
        <color theme="1"/>
        <rFont val="Calibri"/>
        <family val="2"/>
        <scheme val="minor"/>
      </rPr>
      <t xml:space="preserve">No se tienen proyectos que reciban estímulo financiero ya que desde la Universidad los que se apoyan se hacen con recursos en especie.
</t>
    </r>
    <r>
      <rPr>
        <b/>
        <sz val="10"/>
        <color theme="1"/>
        <rFont val="Calibri"/>
        <family val="2"/>
        <scheme val="minor"/>
      </rPr>
      <t>Universidad EAM:</t>
    </r>
    <r>
      <rPr>
        <sz val="10"/>
        <color theme="1"/>
        <rFont val="Calibri"/>
        <family val="2"/>
        <scheme val="minor"/>
      </rPr>
      <t xml:space="preserve"> Área de proyectos especiales.
</t>
    </r>
    <r>
      <rPr>
        <b/>
        <sz val="10"/>
        <color theme="1"/>
        <rFont val="Calibri"/>
        <family val="2"/>
        <scheme val="minor"/>
      </rPr>
      <t>Universidad La Gran Colombia:</t>
    </r>
    <r>
      <rPr>
        <sz val="10"/>
        <color theme="1"/>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</si>
  <si>
    <r>
      <t xml:space="preserve">
</t>
    </r>
    <r>
      <rPr>
        <b/>
        <sz val="10"/>
        <color theme="1"/>
        <rFont val="Calibri"/>
        <family val="2"/>
        <scheme val="minor"/>
      </rPr>
      <t>Alcaldía Buenavista:</t>
    </r>
    <r>
      <rPr>
        <sz val="10"/>
        <color theme="1"/>
        <rFont val="Calibri"/>
        <family val="2"/>
        <scheme val="minor"/>
      </rPr>
      <t xml:space="preserve"> No se registran datos en el tercer trimestre de 2022.
</t>
    </r>
    <r>
      <rPr>
        <b/>
        <sz val="10"/>
        <color theme="1"/>
        <rFont val="Calibri"/>
        <family val="2"/>
        <scheme val="minor"/>
      </rPr>
      <t xml:space="preserve">Alcaldía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Teniendo en cuenta las estadísticas de seguridad de la Estación de Policía, Córdoba cuenta con un 0% de homicidios en el municipio. 
</t>
    </r>
    <r>
      <rPr>
        <b/>
        <sz val="10"/>
        <color theme="1"/>
        <rFont val="Calibri"/>
        <family val="2"/>
        <scheme val="minor"/>
      </rPr>
      <t xml:space="preserve">Secretaría de Familia: </t>
    </r>
    <r>
      <rPr>
        <sz val="10"/>
        <color theme="1"/>
        <rFont val="Calibri"/>
        <family val="2"/>
        <scheme val="minor"/>
      </rPr>
      <t xml:space="preserve">Desde la Jefatura de Juventud, e brindan talleres formativos donde de proporcionan herramientas para el diario vivir de los jóvenes.
</t>
    </r>
    <r>
      <rPr>
        <b/>
        <sz val="10"/>
        <color theme="1"/>
        <rFont val="Calibri"/>
        <family val="2"/>
        <scheme val="minor"/>
      </rPr>
      <t xml:space="preserve">Alcaldía Filandia: </t>
    </r>
    <r>
      <rPr>
        <sz val="10"/>
        <color theme="1"/>
        <rFont val="Calibri"/>
        <family val="2"/>
        <scheme val="minor"/>
      </rPr>
      <t xml:space="preserve"> El municipio de Filandia no cuenta con homicidios desde hace mas de 5 años.
</t>
    </r>
    <r>
      <rPr>
        <b/>
        <sz val="10"/>
        <color theme="1"/>
        <rFont val="Calibri"/>
        <family val="2"/>
        <scheme val="minor"/>
      </rPr>
      <t>Secretaría del Interior:</t>
    </r>
    <r>
      <rPr>
        <sz val="10"/>
        <color theme="1"/>
        <rFont val="Calibri"/>
        <family val="2"/>
        <scheme val="minor"/>
      </rPr>
      <t xml:space="preserve"> La tasa actual es de  56,78 por cada 100 mil jóvenes según informe de página JUACO, 2021.
</t>
    </r>
    <r>
      <rPr>
        <b/>
        <sz val="10"/>
        <color theme="1"/>
        <rFont val="Calibri"/>
        <family val="2"/>
        <scheme val="minor"/>
      </rPr>
      <t/>
    </r>
  </si>
  <si>
    <r>
      <t xml:space="preserve">
</t>
    </r>
    <r>
      <rPr>
        <b/>
        <sz val="10"/>
        <color theme="1"/>
        <rFont val="Calibri"/>
        <family val="2"/>
        <scheme val="minor"/>
      </rPr>
      <t xml:space="preserve">Secretaría de Salud: </t>
    </r>
    <r>
      <rPr>
        <sz val="10"/>
        <color theme="1"/>
        <rFont val="Calibri"/>
        <family val="2"/>
        <scheme val="minor"/>
      </rPr>
      <t xml:space="preserve">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Hepatitis B C. talleres educativos en temas de salud sexual y reproductiva  en estudiantes de octava grado y decimo grado en 76 estudiantes. Se realizó actividad educativa en temas de salud sexual y reproductiva en 35 personas del barrio la julia del municipio de Montenegro.
</t>
    </r>
    <r>
      <rPr>
        <b/>
        <sz val="10"/>
        <color theme="1"/>
        <rFont val="Calibri"/>
        <family val="2"/>
        <scheme val="minor"/>
      </rPr>
      <t xml:space="preserve">Secretaría de Familia: </t>
    </r>
    <r>
      <rPr>
        <sz val="10"/>
        <color theme="1"/>
        <rFont val="Calibri"/>
        <family val="2"/>
        <scheme val="minor"/>
      </rPr>
      <t xml:space="preserve">el número de embarazos en menores de 20 años es de 4358 según fuente de verificación. 
</t>
    </r>
    <r>
      <rPr>
        <b/>
        <sz val="10"/>
        <color theme="1"/>
        <rFont val="Calibri"/>
        <family val="2"/>
        <scheme val="minor"/>
      </rPr>
      <t>Alcaldía Buenavista:</t>
    </r>
    <r>
      <rPr>
        <sz val="10"/>
        <color theme="1"/>
        <rFont val="Calibri"/>
        <family val="2"/>
        <scheme val="minor"/>
      </rPr>
      <t xml:space="preserve"> 5 mujeres menores de 20 años en estado de embarazo.
</t>
    </r>
    <r>
      <rPr>
        <b/>
        <sz val="10"/>
        <color theme="1"/>
        <rFont val="Calibri"/>
        <family val="2"/>
        <scheme val="minor"/>
      </rPr>
      <t>Alcaldía Filandia:</t>
    </r>
    <r>
      <rPr>
        <sz val="10"/>
        <color theme="1"/>
        <rFont val="Calibri"/>
        <family val="2"/>
        <scheme val="minor"/>
      </rPr>
      <t xml:space="preserve"> No se cuenta con  el dato.
</t>
    </r>
    <r>
      <rPr>
        <b/>
        <sz val="10"/>
        <color theme="1"/>
        <rFont val="Calibri"/>
        <family val="2"/>
        <scheme val="minor"/>
      </rPr>
      <t xml:space="preserve">Alcaldía Armenia: </t>
    </r>
    <r>
      <rPr>
        <sz val="10"/>
        <color theme="1"/>
        <rFont val="Calibri"/>
        <family val="2"/>
        <scheme val="minor"/>
      </rPr>
      <t xml:space="preserve">Se implementan </t>
    </r>
    <r>
      <rPr>
        <b/>
        <sz val="10"/>
        <color theme="1"/>
        <rFont val="Calibri"/>
        <family val="2"/>
        <scheme val="minor"/>
      </rPr>
      <t>e</t>
    </r>
    <r>
      <rPr>
        <sz val="10"/>
        <color theme="1"/>
        <rFont val="Calibri"/>
        <family val="2"/>
        <scheme val="minor"/>
      </rPr>
      <t xml:space="preserve">strategias de garantía de derechos de los jóvenes a través de actividades en prevención de riesgos, para un total de 1102 jóvenes impactados .
</t>
    </r>
    <r>
      <rPr>
        <b/>
        <sz val="10"/>
        <color theme="1"/>
        <rFont val="Calibri"/>
        <family val="2"/>
        <scheme val="minor"/>
      </rPr>
      <t xml:space="preserve">Alcaldía de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Montenegro:</t>
    </r>
    <r>
      <rPr>
        <sz val="10"/>
        <color theme="1"/>
        <rFont val="Calibri"/>
        <family val="2"/>
        <scheme val="minor"/>
      </rPr>
      <t xml:space="preserve"> Se realiza campaña en donde se promocionó con la comunidad los derechos sexuales y reproductivos en el cual se hace énfasis en los derechos que tienen las parejas de decidir como planificar  tener una familia.
</t>
    </r>
    <r>
      <rPr>
        <b/>
        <sz val="10"/>
        <color theme="1"/>
        <rFont val="Calibri"/>
        <family val="2"/>
        <scheme val="minor"/>
      </rPr>
      <t>Alcaldía de Calarcá</t>
    </r>
    <r>
      <rPr>
        <sz val="10"/>
        <color theme="1"/>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color theme="1"/>
        <rFont val="Calibri"/>
        <family val="2"/>
        <scheme val="minor"/>
      </rPr>
      <t xml:space="preserve">ICBF: </t>
    </r>
    <r>
      <rPr>
        <sz val="10"/>
        <color theme="1"/>
        <rFont val="Calibri"/>
        <family val="2"/>
        <scheme val="minor"/>
      </rPr>
      <t xml:space="preserve">Formación de Agentes en Derechos Sexuales y Reproductivos*Fortalecimiento del PESCC*Acompañamiento Escuela de Padres.
</t>
    </r>
    <r>
      <rPr>
        <b/>
        <sz val="10"/>
        <color theme="1"/>
        <rFont val="Calibri"/>
        <family val="2"/>
        <scheme val="minor"/>
      </rPr>
      <t>Alcaldía Quimbaya:</t>
    </r>
    <r>
      <rPr>
        <sz val="10"/>
        <color theme="1"/>
        <rFont val="Calibri"/>
        <family val="2"/>
        <scheme val="minor"/>
      </rPr>
      <t xml:space="preserve"> En el municipio de Quimbaya se conmemoró la semana andina para la prevención del embarazo en la adolescencia.</t>
    </r>
  </si>
  <si>
    <r>
      <rPr>
        <b/>
        <sz val="10"/>
        <color theme="1"/>
        <rFont val="Calibri"/>
        <family val="2"/>
        <scheme val="minor"/>
      </rPr>
      <t>Secretaría Familia:</t>
    </r>
    <r>
      <rPr>
        <sz val="10"/>
        <color theme="1"/>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</si>
  <si>
    <r>
      <t xml:space="preserve">Secretaría de Familia: Reporta que los doce municipios del Quindío, han realizado las asambleas juveniles, conforme al estatuto de ciudadanía juvenil. Y COORDINÓ LA REALIZACIÓN DE LA ASAMBLEA DE JUVENTUD  DEPARTAMENTAL EN EL RECINTO DE LA ASAMBLEA DEPARTAMENTAL EN EL MES DE DICIEMBRE.  Alcaldía de Buenavista: </t>
    </r>
    <r>
      <rPr>
        <sz val="10"/>
        <color theme="1"/>
        <rFont val="Calibri"/>
        <family val="2"/>
        <scheme val="minor"/>
      </rPr>
      <t>Se realizó Asamblea de Juventud en el mes de Junio de 2022.</t>
    </r>
    <r>
      <rPr>
        <b/>
        <sz val="10"/>
        <color theme="1"/>
        <rFont val="Calibri"/>
        <family val="2"/>
        <scheme val="minor"/>
      </rPr>
      <t xml:space="preserve">
Alcaldía de Salento: </t>
    </r>
    <r>
      <rPr>
        <sz val="10"/>
        <color theme="1"/>
        <rFont val="Calibri"/>
        <family val="2"/>
        <scheme val="minor"/>
      </rPr>
      <t>Hasta la fecha se ha realizada la Asamblea Municipal de Juventud, realizada el pasado 11 de Febrero</t>
    </r>
    <r>
      <rPr>
        <b/>
        <sz val="10"/>
        <color theme="1"/>
        <rFont val="Calibri"/>
        <family val="2"/>
        <scheme val="minor"/>
      </rPr>
      <t xml:space="preserve">
Alcaldía de Montenegro: </t>
    </r>
    <r>
      <rPr>
        <sz val="10"/>
        <color theme="1"/>
        <rFont val="Calibri"/>
        <family val="2"/>
        <scheme val="minor"/>
      </rPr>
      <t>Se han realizado las 2 asambleas de juventud que establece el estatuto de ciudadanía juvenil (ley  Estatutaria 1622 del 2013 modificada por la ley 1885 del 2018) .</t>
    </r>
    <r>
      <rPr>
        <b/>
        <sz val="10"/>
        <color theme="1"/>
        <rFont val="Calibri"/>
        <family val="2"/>
        <scheme val="minor"/>
      </rPr>
      <t xml:space="preserve">
Alcaldía de Córdoba: </t>
    </r>
    <r>
      <rPr>
        <sz val="10"/>
        <color theme="1"/>
        <rFont val="Calibri"/>
        <family val="2"/>
        <scheme val="minor"/>
      </rPr>
      <t xml:space="preserve">Las asambleas juveniles se realizaron en el primer semestre del 2022. </t>
    </r>
    <r>
      <rPr>
        <b/>
        <sz val="10"/>
        <color theme="1"/>
        <rFont val="Calibri"/>
        <family val="2"/>
        <scheme val="minor"/>
      </rPr>
      <t xml:space="preserve">
Alcaldía de la Tebaida:  </t>
    </r>
    <r>
      <rPr>
        <sz val="10"/>
        <color theme="1"/>
        <rFont val="Calibri"/>
        <family val="2"/>
        <scheme val="minor"/>
      </rPr>
      <t xml:space="preserve">El 05 de diciembre, se realizaron en el teatro municipal las 2 asambleas del año en vigencia dándole cumplimiento a la ley 1622 del 2013. En donde asistieron los consejeros de juventud, plataforma de juventud y demás miembros de colectivos juveniles.  </t>
    </r>
    <r>
      <rPr>
        <b/>
        <sz val="10"/>
        <color theme="1"/>
        <rFont val="Calibri"/>
        <family val="2"/>
        <scheme val="minor"/>
      </rPr>
      <t xml:space="preserve">
Alcaldía Armenia: </t>
    </r>
    <r>
      <rPr>
        <sz val="10"/>
        <color theme="1"/>
        <rFont val="Calibri"/>
        <family val="2"/>
        <scheme val="minor"/>
      </rPr>
      <t xml:space="preserve">Se han realizado dos asambleas juveniles en el mes de marzo y julio de 2022, impactando a 136 jóvenes. </t>
    </r>
    <r>
      <rPr>
        <b/>
        <sz val="10"/>
        <color theme="1"/>
        <rFont val="Calibri"/>
        <family val="2"/>
        <scheme val="minor"/>
      </rPr>
      <t xml:space="preserve">
Alcaldía de Filandia: </t>
    </r>
    <r>
      <rPr>
        <sz val="10"/>
        <color theme="1"/>
        <rFont val="Calibri"/>
        <family val="2"/>
        <scheme val="minor"/>
      </rPr>
      <t>1 conformada, para el periodo de octubre a diciembre no se convocó.</t>
    </r>
    <r>
      <rPr>
        <b/>
        <sz val="10"/>
        <color theme="1"/>
        <rFont val="Calibri"/>
        <family val="2"/>
        <scheme val="minor"/>
      </rPr>
      <t xml:space="preserve">
Alcaldía Quimbaya: </t>
    </r>
    <r>
      <rPr>
        <sz val="10"/>
        <color theme="1"/>
        <rFont val="Calibri"/>
        <family val="2"/>
        <scheme val="minor"/>
      </rPr>
      <t>En el municipio de Quimbaya se realizó una asamblea juvenil durante la vigencia 2022</t>
    </r>
    <r>
      <rPr>
        <b/>
        <sz val="10"/>
        <color theme="1"/>
        <rFont val="Calibri"/>
        <family val="2"/>
        <scheme val="minor"/>
      </rPr>
      <t xml:space="preserve">
Alcaldía de Génova: </t>
    </r>
    <r>
      <rPr>
        <sz val="10"/>
        <color theme="1"/>
        <rFont val="Calibri"/>
        <family val="2"/>
        <scheme val="minor"/>
      </rPr>
      <t>1 asamblea realizada.</t>
    </r>
    <r>
      <rPr>
        <b/>
        <sz val="10"/>
        <color theme="1"/>
        <rFont val="Calibri"/>
        <family val="2"/>
        <scheme val="minor"/>
      </rPr>
      <t xml:space="preserve">
</t>
    </r>
  </si>
  <si>
    <r>
      <rPr>
        <b/>
        <sz val="10"/>
        <color theme="1"/>
        <rFont val="Calibri"/>
        <family val="2"/>
        <scheme val="minor"/>
      </rPr>
      <t xml:space="preserve">Se beneficiaron: 11693 Personas 79% Por encima de la linea de base de 6500 beneficiados.    Alcaldía de Filandia: </t>
    </r>
    <r>
      <rPr>
        <sz val="10"/>
        <color theme="1"/>
        <rFont val="Calibri"/>
        <family val="2"/>
        <scheme val="minor"/>
      </rPr>
      <t>230 menores.</t>
    </r>
    <r>
      <rPr>
        <b/>
        <sz val="10"/>
        <color theme="1"/>
        <rFont val="Calibri"/>
        <family val="2"/>
        <scheme val="minor"/>
      </rPr>
      <t xml:space="preserve">
Alcaldía de Circasia: </t>
    </r>
    <r>
      <rPr>
        <sz val="10"/>
        <color theme="1"/>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de la Tebaida: </t>
    </r>
    <r>
      <rPr>
        <sz val="10"/>
        <color theme="1"/>
        <rFont val="Calibri"/>
        <family val="2"/>
        <scheme val="minor"/>
      </rPr>
      <t xml:space="preserve">70 adultos.
</t>
    </r>
    <r>
      <rPr>
        <b/>
        <sz val="10"/>
        <color theme="1"/>
        <rFont val="Calibri"/>
        <family val="2"/>
        <scheme val="minor"/>
      </rPr>
      <t>Alcaldía de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 xml:space="preserve">Alcaldía de Calarcá: </t>
    </r>
    <r>
      <rPr>
        <sz val="10"/>
        <color theme="1"/>
        <rFont val="Calibri"/>
        <family val="2"/>
        <scheme val="minor"/>
      </rPr>
      <t xml:space="preserve">Programa recreativo para adolescencia y juventud y programa recreativo y fitness.
</t>
    </r>
    <r>
      <rPr>
        <b/>
        <sz val="10"/>
        <color theme="1"/>
        <rFont val="Calibri"/>
        <family val="2"/>
        <scheme val="minor"/>
      </rPr>
      <t xml:space="preserve">Alcaldía de Montenegro: </t>
    </r>
    <r>
      <rPr>
        <sz val="10"/>
        <color theme="1"/>
        <rFont val="Calibri"/>
        <family val="2"/>
        <scheme val="minor"/>
      </rPr>
      <t xml:space="preserve">328 personas mayores a través de hábitos y estilos de vida saludable y actividad musicalizada y recreativa para el adulto mayor.
</t>
    </r>
    <r>
      <rPr>
        <b/>
        <sz val="10"/>
        <color theme="1"/>
        <rFont val="Calibri"/>
        <family val="2"/>
        <scheme val="minor"/>
      </rPr>
      <t xml:space="preserve">Alcaldía de Armenia: </t>
    </r>
    <r>
      <rPr>
        <sz val="10"/>
        <color theme="1"/>
        <rFont val="Calibri"/>
        <family val="2"/>
        <scheme val="minor"/>
      </rPr>
      <t xml:space="preserve">Promoción, apoyo logístico, ejecución y dotación de programas de Hábitos y Estilos de Vida Saludable y Actividad Física (8945) 
</t>
    </r>
    <r>
      <rPr>
        <b/>
        <sz val="10"/>
        <color theme="1"/>
        <rFont val="Calibri"/>
        <family val="2"/>
        <scheme val="minor"/>
      </rPr>
      <t xml:space="preserve">Universidad EAM: </t>
    </r>
    <r>
      <rPr>
        <sz val="10"/>
        <color theme="1"/>
        <rFont val="Calibri"/>
        <family val="2"/>
        <scheme val="minor"/>
      </rPr>
      <t xml:space="preserve">16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Indeportes: </t>
    </r>
    <r>
      <rPr>
        <sz val="10"/>
        <color theme="1"/>
        <rFont val="Calibri"/>
        <family val="2"/>
        <scheme val="minor"/>
      </rPr>
      <t>1290</t>
    </r>
  </si>
  <si>
    <t xml:space="preserve">20%
</t>
  </si>
  <si>
    <r>
      <rPr>
        <b/>
        <sz val="10"/>
        <color theme="1"/>
        <rFont val="Calibri"/>
        <family val="2"/>
        <scheme val="minor"/>
      </rPr>
      <t>Se beneficiaron en total 7592 jóvenes</t>
    </r>
    <r>
      <rPr>
        <sz val="10"/>
        <color theme="1"/>
        <rFont val="Calibri"/>
        <family val="2"/>
        <scheme val="minor"/>
      </rPr>
      <t xml:space="preserve">
</t>
    </r>
    <r>
      <rPr>
        <b/>
        <sz val="10"/>
        <color theme="1"/>
        <rFont val="Calibri"/>
        <family val="2"/>
        <scheme val="minor"/>
      </rPr>
      <t>Alcaldía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Alcaldía de Buenavista</t>
    </r>
    <r>
      <rPr>
        <sz val="10"/>
        <color theme="1"/>
        <rFont val="Calibri"/>
        <family val="2"/>
        <scheme val="minor"/>
      </rPr>
      <t xml:space="preserve">: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color theme="1"/>
        <rFont val="Calibri"/>
        <family val="2"/>
        <scheme val="minor"/>
      </rPr>
      <t>Alcaldía de la Tebaida:</t>
    </r>
    <r>
      <rPr>
        <sz val="10"/>
        <color theme="1"/>
        <rFont val="Calibri"/>
        <family val="2"/>
        <scheme val="minor"/>
      </rPr>
      <t xml:space="preserve">  Microfútbol (grupo 01) 21 jóvenes;  Natación 13 jóvenes;  Futbol 15 jóvenes;  Microfútbol (grupo 02) 24 jóvenes;  Baloncesto 24 jóvenes; Fútbol de mujer 8 jóvenes; Fútbol 12 jóvenes; jóvenes; Nueva modalidad ajedrez 9 jóvenes; Nueva modalidad patinaje 14 jóvenes; Nueva modalidad levantamiento de pesas 07 jóvenes. 
</t>
    </r>
    <r>
      <rPr>
        <b/>
        <sz val="10"/>
        <color theme="1"/>
        <rFont val="Calibri"/>
        <family val="2"/>
        <scheme val="minor"/>
      </rPr>
      <t>Alcaldía Génova:</t>
    </r>
    <r>
      <rPr>
        <sz val="10"/>
        <color theme="1"/>
        <rFont val="Calibri"/>
        <family val="2"/>
        <scheme val="minor"/>
      </rPr>
      <t xml:space="preserve"> Menores integrados a las actividades de los programas de actividad física y recreación
</t>
    </r>
    <r>
      <rPr>
        <b/>
        <sz val="10"/>
        <color theme="1"/>
        <rFont val="Calibri"/>
        <family val="2"/>
        <scheme val="minor"/>
      </rPr>
      <t>Alcaldía Armenia</t>
    </r>
    <r>
      <rPr>
        <sz val="10"/>
        <color theme="1"/>
        <rFont val="Calibri"/>
        <family val="2"/>
        <scheme val="minor"/>
      </rPr>
      <t xml:space="preserve">: Se implementan escuelas de formación deportiva en diferentes disciplinas, 144 escuelas y  4225 jóvenes impactados 
</t>
    </r>
    <r>
      <rPr>
        <b/>
        <sz val="10"/>
        <color theme="1"/>
        <rFont val="Calibri"/>
        <family val="2"/>
        <scheme val="minor"/>
      </rPr>
      <t>Alcaldía de Montenegro:</t>
    </r>
    <r>
      <rPr>
        <sz val="10"/>
        <color theme="1"/>
        <rFont val="Calibri"/>
        <family val="2"/>
        <scheme val="minor"/>
      </rPr>
      <t xml:space="preserve"> Actualmente se benefician 3781 jóvenes de las diferentes escuelas de formación del municipio (23 escuelas de formación).
</t>
    </r>
    <r>
      <rPr>
        <b/>
        <sz val="10"/>
        <color theme="1"/>
        <rFont val="Calibri"/>
        <family val="2"/>
        <scheme val="minor"/>
      </rPr>
      <t>Alcaldía de Filandia</t>
    </r>
    <r>
      <rPr>
        <sz val="10"/>
        <color theme="1"/>
        <rFont val="Calibri"/>
        <family val="2"/>
        <scheme val="minor"/>
      </rPr>
      <t xml:space="preserve">: 230 menores 
</t>
    </r>
    <r>
      <rPr>
        <b/>
        <sz val="10"/>
        <color theme="1"/>
        <rFont val="Calibri"/>
        <family val="2"/>
        <scheme val="minor"/>
      </rPr>
      <t>Indeportes:</t>
    </r>
    <r>
      <rPr>
        <sz val="10"/>
        <color theme="1"/>
        <rFont val="Calibri"/>
        <family val="2"/>
        <scheme val="minor"/>
      </rPr>
      <t xml:space="preserve"> 900.
Universidad del Quindío: Para el dato solicitado se informa que no se tiene en porcentaje sino en valores que representan la cantidad de personas. Se proporciona el siguiente DATO ADICIONAL DE RANGO DE EDAD EQUIVALENTE ANTES DE LA EDAD DE ADULTO Rango de edad entre 18 a 28 años: 1.878. En relación con el presupuesto se estiman los recursos asignados a eventos y torneos deportivos para estudiantes y actividades de atención integral en deporte en general, los cuales se encuentran en ejecución.
</t>
    </r>
    <r>
      <rPr>
        <b/>
        <sz val="10"/>
        <color theme="1"/>
        <rFont val="Calibri"/>
        <family val="2"/>
        <scheme val="minor"/>
      </rPr>
      <t>Universidad San  Buenaventura:</t>
    </r>
    <r>
      <rPr>
        <sz val="10"/>
        <color theme="1"/>
        <rFont val="Calibri"/>
        <family val="2"/>
        <scheme val="minor"/>
      </rPr>
      <t xml:space="preserve"> El voluntariado Transformarte de la Universidad de San Buenaventura realizó actividad recreativa a adultos de la tercera edad en el Hogar geriátrico El Carmen de Calarcá.
</t>
    </r>
    <r>
      <rPr>
        <b/>
        <sz val="10"/>
        <color theme="1"/>
        <rFont val="Calibri"/>
        <family val="2"/>
        <scheme val="minor"/>
      </rPr>
      <t>Universidad EAM:</t>
    </r>
    <r>
      <rPr>
        <sz val="10"/>
        <color theme="1"/>
        <rFont val="Calibri"/>
        <family val="2"/>
        <scheme val="minor"/>
      </rPr>
      <t xml:space="preserve"> 92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Secretaría de Educación: </t>
    </r>
    <r>
      <rPr>
        <sz val="10"/>
        <color theme="1"/>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</si>
  <si>
    <r>
      <rPr>
        <b/>
        <sz val="10"/>
        <color theme="1"/>
        <rFont val="Calibri"/>
        <family val="2"/>
        <scheme val="minor"/>
      </rPr>
      <t xml:space="preserve">Se ejecutó el seguimiento a la ejecución de los planes de acción en un 100%.                                                  Secretaría del Interior: </t>
    </r>
    <r>
      <rPr>
        <sz val="10"/>
        <color theme="1"/>
        <rFont val="Calibri"/>
        <family val="2"/>
        <scheme val="minor"/>
      </rPr>
      <t xml:space="preserve">Se realizó la actualización del Plan Integral Departamental de Derechos Humanos donde se establece la ruta de protección y el plan de prevención de derechos humanos.Cada municipio tiene el plan integral de prevención de derechos humanos.  
</t>
    </r>
  </si>
  <si>
    <r>
      <t xml:space="preserve">la Red departamental de emprendimiento cuenta con un representante del Consejo Departamental de Juventudes.  Secretaría de Turismo Industria y Comercio: </t>
    </r>
    <r>
      <rPr>
        <sz val="10"/>
        <color theme="1"/>
        <rFont val="Calibri"/>
        <family val="2"/>
        <scheme val="minor"/>
      </rPr>
      <t>Durante el presente trimestre se lleva a cabo sesión o reunión de la Red Regional de Emprendimiento del Departamento del Quindío.</t>
    </r>
  </si>
  <si>
    <r>
      <rPr>
        <b/>
        <sz val="10"/>
        <color theme="1"/>
        <rFont val="Calibri"/>
        <family val="2"/>
        <scheme val="minor"/>
      </rPr>
      <t xml:space="preserve">Observación: SEGÚN REPORTE DE SEC. EDUCACIÓN SE IMPLEMENTAN 4 METODOLOGÍAS.                        </t>
    </r>
    <r>
      <rPr>
        <sz val="10"/>
        <color theme="1"/>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color theme="1"/>
        <rFont val="Calibri"/>
        <family val="2"/>
        <scheme val="minor"/>
      </rPr>
      <t xml:space="preserve">Secretaría de Educación: </t>
    </r>
    <r>
      <rPr>
        <sz val="10"/>
        <color theme="1"/>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</si>
  <si>
    <r>
      <rPr>
        <b/>
        <sz val="10"/>
        <color theme="1"/>
        <rFont val="Calibri"/>
        <family val="2"/>
        <scheme val="minor"/>
      </rPr>
      <t>SEGÚN LOS REPORTES OBTENIDOS SE VINCULARON 193 JÓVENES A PROYECTOS INNOVADORES Y DE EMPRENDIMIENTO. 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Secretaría Turismo, Industria y Comercio: </t>
    </r>
    <r>
      <rPr>
        <sz val="10"/>
        <color theme="1"/>
        <rFont val="Calibri"/>
        <family val="2"/>
        <scheme val="minor"/>
      </rPr>
      <t xml:space="preserve">Ciento tres (103) iniciativas vinculadas a proyectos innovadores y de emprendimiento. Por medio del proyecto "Fortalecimiento del ecosistema de emprendimiento mediante el acompañamiento técnico y servicio de apoyo financiero para emprendedores en el Departamento del Quindío."CÓDIGO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
</t>
    </r>
    <r>
      <rPr>
        <b/>
        <sz val="10"/>
        <color theme="1"/>
        <rFont val="Calibri"/>
        <family val="2"/>
        <scheme val="minor"/>
      </rPr>
      <t xml:space="preserve">Cámara de Comercio de Armenia y del Quindío: </t>
    </r>
    <r>
      <rPr>
        <sz val="10"/>
        <color theme="1"/>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color theme="1"/>
        <rFont val="Calibri"/>
        <family val="2"/>
        <scheme val="minor"/>
      </rPr>
      <t>Secretaría de Agricultura:</t>
    </r>
    <r>
      <rPr>
        <sz val="10"/>
        <color theme="1"/>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color theme="1"/>
        <rFont val="Calibri"/>
        <family val="2"/>
        <scheme val="minor"/>
      </rPr>
      <t>Universidad del Quindío:</t>
    </r>
    <r>
      <rPr>
        <sz val="10"/>
        <color theme="1"/>
        <rFont val="Calibri"/>
        <family val="2"/>
        <scheme val="minor"/>
      </rPr>
      <t xml:space="preserve"> 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 xml:space="preserve">Universidad EAM: </t>
    </r>
    <r>
      <rPr>
        <sz val="10"/>
        <color theme="1"/>
        <rFont val="Calibri"/>
        <family val="2"/>
        <scheme val="minor"/>
      </rPr>
      <t xml:space="preserve">15 estudiantes asesorados en creación de empresas
</t>
    </r>
    <r>
      <rPr>
        <b/>
        <sz val="10"/>
        <color theme="1"/>
        <rFont val="Calibri"/>
        <family val="2"/>
        <scheme val="minor"/>
      </rPr>
      <t>Universidad la Gran Colombia</t>
    </r>
    <r>
      <rPr>
        <sz val="10"/>
        <color theme="1"/>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color theme="1"/>
        <rFont val="Calibri"/>
        <family val="2"/>
        <scheme val="minor"/>
      </rPr>
      <t>Alcaldía de Calarcá</t>
    </r>
    <r>
      <rPr>
        <sz val="10"/>
        <color theme="1"/>
        <rFont val="Calibri"/>
        <family val="2"/>
        <scheme val="minor"/>
      </rPr>
      <t xml:space="preserve">: Se apoyó la iniciativa comunitaria BOXEANDO POR LA PAZ. Implementada en la Institución Educativa Jesús María Morales. Se beneficiaron 30 jóvenes. Esta en proceso la entrega de los implementos requeridos.
</t>
    </r>
    <r>
      <rPr>
        <b/>
        <sz val="10"/>
        <color theme="1"/>
        <rFont val="Calibri"/>
        <family val="2"/>
        <scheme val="minor"/>
      </rPr>
      <t xml:space="preserve">Alcaldía Filandia: </t>
    </r>
    <r>
      <rPr>
        <sz val="10"/>
        <color theme="1"/>
        <rFont val="Calibri"/>
        <family val="2"/>
        <scheme val="minor"/>
      </rPr>
      <t xml:space="preserve">12 jóvenes vinculados a proyectos innovadores  y 6 iniciativas empresariales apoyadas.
</t>
    </r>
    <r>
      <rPr>
        <b/>
        <sz val="10"/>
        <color theme="1"/>
        <rFont val="Calibri"/>
        <family val="2"/>
        <scheme val="minor"/>
      </rPr>
      <t>Alcaldía Quimbaya:</t>
    </r>
    <r>
      <rPr>
        <sz val="10"/>
        <color theme="1"/>
        <rFont val="Calibri"/>
        <family val="2"/>
        <scheme val="minor"/>
      </rPr>
      <t xml:space="preserve"> En el municipio de Quimbaya hay 40 jóvenes vinculados a proyectos de emprendimientos</t>
    </r>
  </si>
  <si>
    <r>
      <t xml:space="preserve">Alcaldía de Salento: </t>
    </r>
    <r>
      <rPr>
        <sz val="10"/>
        <color theme="1"/>
        <rFont val="Calibri"/>
        <family val="2"/>
        <scheme val="minor"/>
      </rPr>
      <t>Actualmente el municipio de Salento cuenta con Enlace de Juventud, el cual está a cargo de la Subsecretaría de Cultura y Deporte.</t>
    </r>
    <r>
      <rPr>
        <b/>
        <sz val="10"/>
        <color theme="1"/>
        <rFont val="Calibri"/>
        <family val="2"/>
        <scheme val="minor"/>
      </rPr>
      <t xml:space="preserve">
Alcaldía Calarcá: </t>
    </r>
    <r>
      <rPr>
        <sz val="10"/>
        <color theme="1"/>
        <rFont val="Calibri"/>
        <family val="2"/>
        <scheme val="minor"/>
      </rPr>
      <t>La alcaldía municipal designo a la Secretaria de Servicios Sociales y Salud para la articulación y asistencia técnica con las instancias de participación de los jóvenes, así mismo esta secretaría cuenta con el programa de  atención a jóvenes del municipio de Calarcá.</t>
    </r>
    <r>
      <rPr>
        <b/>
        <sz val="10"/>
        <color theme="1"/>
        <rFont val="Calibri"/>
        <family val="2"/>
        <scheme val="minor"/>
      </rPr>
      <t xml:space="preserve">
Alcaldía Quimbaya: </t>
    </r>
    <r>
      <rPr>
        <sz val="10"/>
        <color theme="1"/>
        <rFont val="Calibri"/>
        <family val="2"/>
        <scheme val="minor"/>
      </rPr>
      <t>El municipio de Quimbaya cuenta con el P:U: de Atención a grupos Vulnerables; encargado de supervisar la ejecución del proyecto de juventud.</t>
    </r>
    <r>
      <rPr>
        <b/>
        <sz val="10"/>
        <color theme="1"/>
        <rFont val="Calibri"/>
        <family val="2"/>
        <scheme val="minor"/>
      </rPr>
      <t xml:space="preserve">
Alcaldía de Montenegro:</t>
    </r>
    <r>
      <rPr>
        <sz val="10"/>
        <color theme="1"/>
        <rFont val="Calibri"/>
        <family val="2"/>
        <scheme val="minor"/>
      </rPr>
      <t xml:space="preserve"> La Subsecretaría de Desarrollo Social y Educativo creada mediante acto administrativo cuenta con el programa de juventud donde se desarrollan actividades en pro de la juventudes del municipio tal  como lo establece el estatuto de ciudadanía juvenil (ley 1622 del 2013)</t>
    </r>
    <r>
      <rPr>
        <b/>
        <sz val="10"/>
        <color theme="1"/>
        <rFont val="Calibri"/>
        <family val="2"/>
        <scheme val="minor"/>
      </rPr>
      <t xml:space="preserve">
Alcaldía de Filandia: </t>
    </r>
    <r>
      <rPr>
        <sz val="10"/>
        <color theme="1"/>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color theme="1"/>
        <rFont val="Calibri"/>
        <family val="2"/>
        <scheme val="minor"/>
      </rPr>
      <t xml:space="preserve">
Alcaldía de Armenia: </t>
    </r>
    <r>
      <rPr>
        <sz val="10"/>
        <color theme="1"/>
        <rFont val="Calibri"/>
        <family val="2"/>
        <scheme val="minor"/>
      </rPr>
      <t>Cuenta con un</t>
    </r>
    <r>
      <rPr>
        <b/>
        <sz val="10"/>
        <color theme="1"/>
        <rFont val="Calibri"/>
        <family val="2"/>
        <scheme val="minor"/>
      </rPr>
      <t xml:space="preserve"> </t>
    </r>
    <r>
      <rPr>
        <sz val="10"/>
        <color theme="1"/>
        <rFont val="Calibri"/>
        <family val="2"/>
        <scheme val="minor"/>
      </rPr>
      <t xml:space="preserve">programa juventud pa todos desde la Secretaría de Desarrollo Social la cual cuenta con 4 contratistas                     </t>
    </r>
    <r>
      <rPr>
        <b/>
        <sz val="10"/>
        <color theme="1"/>
        <rFont val="Calibri"/>
        <family val="2"/>
        <scheme val="minor"/>
      </rPr>
      <t xml:space="preserve">
Alcaldía de Buenavista: </t>
    </r>
    <r>
      <rPr>
        <sz val="10"/>
        <color theme="1"/>
        <rFont val="Calibri"/>
        <family val="2"/>
        <scheme val="minor"/>
      </rPr>
      <t>Actualmente, se cuenta con un enlace de juventud para realizar el seguimiento a la Política Pública y dinamizar los espacios de participación</t>
    </r>
    <r>
      <rPr>
        <b/>
        <sz val="10"/>
        <color theme="1"/>
        <rFont val="Calibri"/>
        <family val="2"/>
        <scheme val="minor"/>
      </rPr>
      <t xml:space="preserve">
Alcaldía de Córdoba: </t>
    </r>
    <r>
      <rPr>
        <sz val="10"/>
        <color theme="1"/>
        <rFont val="Calibri"/>
        <family val="2"/>
        <scheme val="minor"/>
      </rPr>
      <t>En el municipio la Secretaría General y de Gobierno tiene a cargo el programa de Juventud y es quien se encarga del desarrollo de actividades con esta población.</t>
    </r>
    <r>
      <rPr>
        <b/>
        <sz val="10"/>
        <color theme="1"/>
        <rFont val="Calibri"/>
        <family val="2"/>
        <scheme val="minor"/>
      </rPr>
      <t xml:space="preserve">
Secretaría de Familia: </t>
    </r>
    <r>
      <rPr>
        <sz val="10"/>
        <color theme="1"/>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</si>
  <si>
    <r>
      <rPr>
        <b/>
        <sz val="10"/>
        <color theme="1"/>
        <rFont val="Calibri"/>
        <family val="2"/>
        <scheme val="minor"/>
      </rPr>
      <t xml:space="preserve">
Secretaría de Familia: </t>
    </r>
    <r>
      <rPr>
        <sz val="10"/>
        <color theme="1"/>
        <rFont val="Calibri"/>
        <family val="2"/>
        <scheme val="minor"/>
      </rPr>
      <t xml:space="preserve">La Tasa de deserción a largo plazo (semestre 10) es del 54,3% según reporte del Ministerio de Educación y la tasa de absorcion de bachilleres es del 47,3%
</t>
    </r>
    <r>
      <rPr>
        <b/>
        <sz val="10"/>
        <color theme="1"/>
        <rFont val="Calibri"/>
        <family val="2"/>
        <scheme val="minor"/>
      </rPr>
      <t xml:space="preserve">Alcaldía de Buenavista: </t>
    </r>
    <r>
      <rPr>
        <sz val="10"/>
        <color theme="1"/>
        <rFont val="Calibri"/>
        <family val="2"/>
        <scheme val="minor"/>
      </rPr>
      <t xml:space="preserve">Estímulos para el acceso y permanencia en la educación superior  1 convenio con el SENA - (TÉCNICO LABORAL EN PROCESOS AGROINDUSTRIALES.
</t>
    </r>
    <r>
      <rPr>
        <b/>
        <sz val="10"/>
        <color theme="1"/>
        <rFont val="Calibri"/>
        <family val="2"/>
        <scheme val="minor"/>
      </rPr>
      <t>Alcaldía de Filandia:</t>
    </r>
    <r>
      <rPr>
        <sz val="10"/>
        <color theme="1"/>
        <rFont val="Calibri"/>
        <family val="2"/>
        <scheme val="minor"/>
      </rPr>
      <t xml:space="preserve"> Tasa de absorción de bachilleres: 35% de 140 recién graduados en el municipio de Filandia, ingresan al menos 25 a la Universidad en el siguiente año.
</t>
    </r>
    <r>
      <rPr>
        <b/>
        <sz val="10"/>
        <color theme="1"/>
        <rFont val="Calibri"/>
        <family val="2"/>
        <scheme val="minor"/>
      </rPr>
      <t>Alcaldía Génova:</t>
    </r>
    <r>
      <rPr>
        <sz val="10"/>
        <color theme="1"/>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fortaleció las metodologías para la oferta educativa, en los siguientes: Escuela Nueva, enfoque Epc , Etnoeducación, flexibilización curricular programa de apoyo para estudiantes con discapacidad y trastornos del aprendizaje.
</t>
    </r>
    <r>
      <rPr>
        <b/>
        <sz val="10"/>
        <color theme="1"/>
        <rFont val="Calibri"/>
        <family val="2"/>
        <scheme val="minor"/>
      </rPr>
      <t>Alcaldía de Montenegro:</t>
    </r>
    <r>
      <rPr>
        <sz val="10"/>
        <color theme="1"/>
        <rFont val="Calibri"/>
        <family val="2"/>
        <scheme val="minor"/>
      </rPr>
      <t xml:space="preserve"> Las instituciones educativas de Marco Fidel Suarez e Instituto Montenegro, realizan educación inclusiva o flexible en donde estudian por módulos.
</t>
    </r>
    <r>
      <rPr>
        <b/>
        <sz val="10"/>
        <color theme="1"/>
        <rFont val="Calibri"/>
        <family val="2"/>
        <scheme val="minor"/>
      </rPr>
      <t xml:space="preserve">Alcaldía de Calarcá: </t>
    </r>
    <r>
      <rPr>
        <sz val="10"/>
        <color theme="1"/>
        <rFont val="Calibri"/>
        <family val="2"/>
        <scheme val="minor"/>
      </rPr>
      <t xml:space="preserve">Realizamos el pago a las 14 instituciones educativas urbanas y rurales (30 sedes) con servicios públicos como energía, alcantarillado, acueducto y aseo. Aproximadamente 3.174 jóvenes beneficiados y se apoyó al 100% de los estudiantes de las 14 Instituciones Educativas sector urbano y rural con recursos de gratuidad escolar.
</t>
    </r>
    <r>
      <rPr>
        <b/>
        <sz val="10"/>
        <color theme="1"/>
        <rFont val="Calibri"/>
        <family val="2"/>
        <scheme val="minor"/>
      </rPr>
      <t xml:space="preserve">Alcaldía Armenia: </t>
    </r>
    <r>
      <rPr>
        <sz val="10"/>
        <color theme="1"/>
        <rFont val="Calibri"/>
        <family val="2"/>
        <scheme val="minor"/>
      </rPr>
      <t xml:space="preserve">35.500 Niños, Niñas, Jóvenes según la información reportada de la SEM no clasifica por edad.
</t>
    </r>
    <r>
      <rPr>
        <b/>
        <sz val="10"/>
        <color rgb="FFFF0000"/>
        <rFont val="Calibri"/>
        <family val="2"/>
        <scheme val="minor"/>
      </rPr>
      <t/>
    </r>
  </si>
  <si>
    <r>
      <rPr>
        <b/>
        <sz val="10"/>
        <color theme="1"/>
        <rFont val="Calibri"/>
        <family val="2"/>
        <scheme val="minor"/>
      </rPr>
      <t>Alcaldía de Salento</t>
    </r>
    <r>
      <rPr>
        <sz val="10"/>
        <color theme="1"/>
        <rFont val="Calibri"/>
        <family val="2"/>
        <scheme val="minor"/>
      </rPr>
      <t xml:space="preserve">: Seguimiento a las políticas de salud dadas por el Consejo Municipal de Política Social (COMPOS)
</t>
    </r>
    <r>
      <rPr>
        <b/>
        <sz val="10"/>
        <color theme="1"/>
        <rFont val="Calibri"/>
        <family val="2"/>
        <scheme val="minor"/>
      </rPr>
      <t>Alcaldía de Montenegro:</t>
    </r>
    <r>
      <rPr>
        <sz val="10"/>
        <color theme="1"/>
        <rFont val="Calibri"/>
        <family val="2"/>
        <scheme val="minor"/>
      </rPr>
      <t xml:space="preserve"> Se tiene un aseguramiento del 100% y se hace a través del Sistema de Afiliación Transaccional (SAT) o afiliación de oficio.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color theme="1"/>
        <rFont val="Calibri"/>
        <family val="2"/>
        <scheme val="minor"/>
      </rPr>
      <t xml:space="preserve">Alcaldía de Pijao: </t>
    </r>
    <r>
      <rPr>
        <sz val="10"/>
        <color theme="1"/>
        <rFont val="Calibri"/>
        <family val="2"/>
        <scheme val="minor"/>
      </rPr>
      <t xml:space="preserve">Los representantes de los jóvenes son miembros activos y participan en el Comité de Salud Municipal.
</t>
    </r>
    <r>
      <rPr>
        <b/>
        <sz val="10"/>
        <color theme="1"/>
        <rFont val="Calibri"/>
        <family val="2"/>
        <scheme val="minor"/>
      </rPr>
      <t xml:space="preserve">Alcaldía Calarcá: </t>
    </r>
    <r>
      <rPr>
        <sz val="10"/>
        <color theme="1"/>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color theme="1"/>
        <rFont val="Calibri"/>
        <family val="2"/>
        <scheme val="minor"/>
      </rPr>
      <t>Alcaldía de Córdoba:</t>
    </r>
    <r>
      <rPr>
        <sz val="10"/>
        <color theme="1"/>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la cobertura de aseguramiento en poblacion joven es del 85%.
</t>
    </r>
  </si>
  <si>
    <r>
      <rPr>
        <b/>
        <sz val="10"/>
        <color theme="1"/>
        <rFont val="Calibri"/>
        <family val="2"/>
        <scheme val="minor"/>
      </rPr>
      <t>Indeportes: 69% de deportistas participantes jovenes quindianos en juegos nacionales</t>
    </r>
    <r>
      <rPr>
        <sz val="10"/>
        <color theme="1"/>
        <rFont val="Calibri"/>
        <family val="2"/>
        <scheme val="minor"/>
      </rPr>
      <t>.</t>
    </r>
  </si>
  <si>
    <r>
      <rPr>
        <b/>
        <sz val="10"/>
        <color theme="1"/>
        <rFont val="Calibri"/>
        <family val="2"/>
        <scheme val="minor"/>
      </rPr>
      <t xml:space="preserve">Secretaría de Cultura: </t>
    </r>
    <r>
      <rPr>
        <sz val="10"/>
        <color theme="1"/>
        <rFont val="Calibri"/>
        <family val="2"/>
        <scheme val="minor"/>
      </rPr>
      <t>se realizaron talleres de promoción de lectura y escritura en los diferentes municipios  con el apoyo de los instituciones educativas, impactando a 250  jóvenes en este cuarto  trimestre, así como también desde las bibliotecas públicas hemos atendido a 1250  jóvenes. 118 estimulos otorgados a talentos jovenes.</t>
    </r>
  </si>
  <si>
    <r>
      <t xml:space="preserve">   
</t>
    </r>
    <r>
      <rPr>
        <b/>
        <sz val="10"/>
        <color theme="1"/>
        <rFont val="Calibri"/>
        <family val="2"/>
        <scheme val="minor"/>
      </rPr>
      <t xml:space="preserve">Secretaría de Cultura: </t>
    </r>
    <r>
      <rPr>
        <sz val="10"/>
        <color theme="1"/>
        <rFont val="Calibri"/>
        <family val="2"/>
        <scheme val="minor"/>
      </rPr>
      <t>En la ejecución del programa  de concertación los proyectos siguientes fueron los que mas beneficiaron población juvenil: asociación libre teatro con un total de : 2.200 jóvenes realizando el festival calle arriba calle abajo en los municipios de Calarcá, Armenia, Quimbaya el corregimiento de Barcelona. La fundación torre de palabras realizó talleres de literatura y cine en donde se beneficiaron 500 jóvenes en los municipios de Calarcá y Armenia. La corporación los muñecos del teatro escondido realizó un proceso de realización en artes con 1100 jóvenes en el municipio de Armenia. La fundación acción para la vida realizó talleres de música y danza folclórica con 610 jóvenes en el corregimiento de Barcelona.
la fundación talento cafetero realizó un festival de música andina colombiana con la participación de 900 jóvenes. La corporación kymera realizó el laboratorio de creación audiovisual elaborando vídeos de animación con 1447 en losm12 municipios del Departamento. La corporación red apoyó la realización de talleres de formación en música con 12 jóvenes del CAE la Primavera del municipio de Montenegro . 92 proyectos de concertacion con organizaciones juveniles, culturales apoyados</t>
    </r>
  </si>
  <si>
    <t>PROGRAMADO 
(Meta al 2023)</t>
  </si>
  <si>
    <t>11.5%</t>
  </si>
  <si>
    <t>3.41%</t>
  </si>
  <si>
    <t>54.3%</t>
  </si>
  <si>
    <r>
      <rPr>
        <b/>
        <sz val="10"/>
        <rFont val="Calibri"/>
        <family val="2"/>
        <scheme val="minor"/>
      </rPr>
      <t xml:space="preserve">Secretaría de Familia: </t>
    </r>
    <r>
      <rPr>
        <sz val="10"/>
        <rFont val="Calibri"/>
        <family val="2"/>
        <scheme val="minor"/>
      </rPr>
      <t xml:space="preserve">Reporta la existencia de un Sistema Departamental de Juventud conformado por la Plataforma Departamental de Juventud, realización de Asambleas Juveniles, Comisiones de Concertación y Decisión y fortalecimiento de los Consejos de Juventud.
</t>
    </r>
  </si>
  <si>
    <r>
      <rPr>
        <b/>
        <sz val="10"/>
        <rFont val="Calibri"/>
        <family val="2"/>
        <scheme val="minor"/>
      </rPr>
      <t>Secretaría de Turismo Industria y Comercio:</t>
    </r>
    <r>
      <rPr>
        <sz val="10"/>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rFont val="Calibri"/>
        <family val="2"/>
        <scheme val="minor"/>
      </rPr>
      <t xml:space="preserve">SENA: </t>
    </r>
    <r>
      <rPr>
        <sz val="10"/>
        <rFont val="Calibri"/>
        <family val="2"/>
        <scheme val="minor"/>
      </rPr>
      <t xml:space="preserve">Hasta la fecha se han formado 20.286 aprendices.
</t>
    </r>
    <r>
      <rPr>
        <b/>
        <sz val="10"/>
        <rFont val="Calibri"/>
        <family val="2"/>
        <scheme val="minor"/>
      </rPr>
      <t>Nota:</t>
    </r>
    <r>
      <rPr>
        <sz val="10"/>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</si>
  <si>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rFont val="Calibri"/>
        <family val="2"/>
        <scheme val="minor"/>
      </rPr>
      <t xml:space="preserve">Cámara de Comercio de Armenia y del Quindío: 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rFont val="Calibri"/>
        <family val="2"/>
        <scheme val="minor"/>
      </rPr>
      <t xml:space="preserve">SENA: </t>
    </r>
    <r>
      <rPr>
        <sz val="10"/>
        <rFont val="Calibri"/>
        <family val="2"/>
        <scheme val="minor"/>
      </rPr>
      <t xml:space="preserve">Durante los meses de abril a junio, se realizó orientación ocupacional a 4440 jóvenes a través de la Agencia Pública de Empleo. De los cuales 959 jóvenes quedaron vinculados en las diferentes ofertas laborales en el I semestre del año 2023.
</t>
    </r>
  </si>
  <si>
    <r>
      <rPr>
        <b/>
        <sz val="10"/>
        <rFont val="Calibri"/>
        <family val="2"/>
        <scheme val="minor"/>
      </rPr>
      <t xml:space="preserve">Secretaría de familia: </t>
    </r>
    <r>
      <rPr>
        <sz val="10"/>
        <rFont val="Calibri"/>
        <family val="2"/>
        <scheme val="minor"/>
      </rPr>
      <t xml:space="preserve">La información reportada por los actores responsables no es la adecuada para medir el indicador en porcentaje.
</t>
    </r>
    <r>
      <rPr>
        <b/>
        <sz val="10"/>
        <rFont val="Calibri"/>
        <family val="2"/>
        <scheme val="minor"/>
      </rPr>
      <t xml:space="preserve">Universidad Alexander Von Humbolt: </t>
    </r>
    <r>
      <rPr>
        <sz val="10"/>
        <rFont val="Calibri"/>
        <family val="2"/>
        <scheme val="minor"/>
      </rPr>
      <t xml:space="preserve">Actualmente la Facultad de Ciencias Administrativas no desarrolla acción alguna sobre emprendimientos rurales, pero a través de un Convenio con el SENA se estará acompañando a la entidad proximamente. Por otra parte la facultad es asesora técnica del proyecto llamado "Estrategia digital integral e innovadora de turismo rural para emprendedores rurales de la cordillera del Quindío". Se intervendrán dieciséis emprendedores rurales.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Universidad del Quindío: </t>
    </r>
    <r>
      <rPr>
        <sz val="10"/>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rFont val="Calibri"/>
        <family val="2"/>
        <scheme val="minor"/>
      </rPr>
      <t>Universidad La Gran Colombia:</t>
    </r>
    <r>
      <rPr>
        <sz val="10"/>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rFont val="Calibri"/>
        <family val="2"/>
        <scheme val="minor"/>
      </rPr>
      <t xml:space="preserve">Secretaría de Turismo Industria y Comercio: </t>
    </r>
    <r>
      <rPr>
        <sz val="10"/>
        <rFont val="Calibri"/>
        <family val="2"/>
        <scheme val="minor"/>
      </rPr>
      <t xml:space="preserve">Durante la vigencia de abril-Junio del 2023, se realizaron dos acercamiento con la comunidad Embera Chamí del municipio de Córdoba Quindío identificando las siguientes variables según información suministrada por el gobernador y demás integrantes de la comunidad:
1. En la primera visita la cual se realizó el 13 de abril del 2023, se identificó nuevamente total de 25 Jovénes entre  los 18 a 28 años de un total que integran la comunidad.Variables identificadas:  Hombres: 16 Mujeres: 9 Bachilleres : 10 Técnicos: 2 Tecnologos: 0 Profesionales: 0 Discapacitados: 0
Empleados: 1 Desempleados: 24 Emprendimientos identificados: 1 Cuadra y media de (Plátano, banano y café)
En la segunda visita, que se efectuó el 27 de Mayo del 2023, se llevó al lugar asistencia medica y asesoróa jurídica y legal; se logró atender o prestar los servicios antes mencionados a 36 integrantes de la comunidad Embera Chamí.
</t>
    </r>
    <r>
      <rPr>
        <b/>
        <sz val="10"/>
        <rFont val="Calibri"/>
        <family val="2"/>
        <scheme val="minor"/>
      </rPr>
      <t>Secretaría de Agricultura:</t>
    </r>
    <r>
      <rPr>
        <sz val="10"/>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4. Convenio No. 080-2021 con la ASOCIACIÓN DE RELEVO GENERACIONAL DEL CAMPO ARMENIA – ASORGEC.  
</t>
    </r>
    <r>
      <rPr>
        <b/>
        <sz val="10"/>
        <rFont val="Calibri"/>
        <family val="2"/>
        <scheme val="minor"/>
      </rPr>
      <t xml:space="preserve">Secretaría de Educación: </t>
    </r>
    <r>
      <rPr>
        <sz val="10"/>
        <rFont val="Calibri"/>
        <family val="2"/>
        <scheme val="minor"/>
      </rPr>
      <t xml:space="preserve">* Ejecución de estrategias para cumplimiento de etapa productiva dentro del programa de doble tituclación con el SENA. Ideas de negocio por cada estudiante aspirante a la titulación de Técnico laboral. De acuerdo a la acción 730 jóvenes de los cuales 7 pertenecen a población indigena ubicada en zona rural, 18 población indígena ubicada en la zona urbana y 705 referenciados en la población mayoritaria.
</t>
    </r>
  </si>
  <si>
    <r>
      <rPr>
        <b/>
        <sz val="10"/>
        <rFont val="Calibri"/>
        <family val="2"/>
        <scheme val="minor"/>
      </rPr>
      <t>Sena:</t>
    </r>
    <r>
      <rPr>
        <sz val="10"/>
        <rFont val="Calibri"/>
        <family val="2"/>
        <scheme val="minor"/>
      </rPr>
      <t xml:space="preserve"> Se realizó una convocatoria "fondo emprender" con apoyo de la Gobernación del Quindío, en ella fueron viables 24 planes de negocio. Adicionalmente a nivel nacional se lanzó la convocatoria 93 para jóvenes emprendedores. *5 planes de negocio formulados en la convocatoria 260 del Quindío, corresponde al 20.8% de jóvenes.
</t>
    </r>
    <r>
      <rPr>
        <b/>
        <sz val="10"/>
        <rFont val="Calibri"/>
        <family val="2"/>
        <scheme val="minor"/>
      </rPr>
      <t>Secretaría de Turismo Industria y Comercio:</t>
    </r>
    <r>
      <rPr>
        <sz val="10"/>
        <rFont val="Calibri"/>
        <family val="2"/>
        <scheme val="minor"/>
      </rPr>
      <t xml:space="preserve"> Porcentaje de Ideas de Negocio que reciben estimulo financiero. La secretaría de turismo, industria y comercio ejecuta el proyecto de inversión "Fortalecimiento del ecosistema de emprendimiento mediante el acompañamiento técnico y servicio de apoyo financiero para emprendedores en el departamento del Quindío." CÓDIGO BPPIN: 2021003630014, financiado con recursos del Sistema General de Regalías (SGR), a través del cual se darán dieciocho (18) apoyos financieros para la creación de empresas en el marco de la DHESIÓN No. 0005 AL CONTRATO INTERADMINISTRATIVO No. CO1.PCCNTR.3451677 de 2022, SUSCRITO ENTRE EL SERVICIO NACIONAL DE APRENDIZAJE (SENA), LA UNIVERSIDAD DISTRITAL FRANCISCO JOSÉ DE CALDAS (UDFJC) Y EL DEPARTAMENTO DEL QUINDÍO. Los aportes para cada plan de negocios, será hasta de ochenta millones de pesos ($ 80.000.000), y las convocatorias para el departamento del Quindío se abrirán a partir del 24 de marzo  de 2023, es importante tener en cuenta que las convocatorias se cerraran en el mes de julio de 2023. 
</t>
    </r>
    <r>
      <rPr>
        <b/>
        <sz val="10"/>
        <rFont val="Calibri"/>
        <family val="2"/>
        <scheme val="minor"/>
      </rPr>
      <t xml:space="preserve">Universidad del Quindío: </t>
    </r>
    <r>
      <rPr>
        <sz val="10"/>
        <rFont val="Calibri"/>
        <family val="2"/>
        <scheme val="minor"/>
      </rPr>
      <t xml:space="preserve">No se tienen proyectos que reciban estímulo financiero ya que desde la Universidad los que se apoyan se hacen con recursos en especie.
</t>
    </r>
    <r>
      <rPr>
        <b/>
        <sz val="10"/>
        <rFont val="Calibri"/>
        <family val="2"/>
        <scheme val="minor"/>
      </rPr>
      <t>Universidad San Buenaventura:</t>
    </r>
    <r>
      <rPr>
        <sz val="10"/>
        <rFont val="Calibri"/>
        <family val="2"/>
        <scheme val="minor"/>
      </rPr>
      <t xml:space="preserve"> Programa de Becas y/o descuentos: La Universidad de San Buenaventura cada semestre cuenta con el programa de Becas y/o descuentos donde se otorga descuentos a estudiantes de egresados de colegios bachillerato que cumplen con los requisitos exigidos por la Resolución de Rectoría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víctimas de conflicto armado y comunidades indígenas y también a egresados de instituciones que tienen convenio con la Universidad.  
</t>
    </r>
    <r>
      <rPr>
        <b/>
        <sz val="10"/>
        <rFont val="Calibri"/>
        <family val="2"/>
        <scheme val="minor"/>
      </rPr>
      <t>Universidad Vom Humbolt:</t>
    </r>
    <r>
      <rPr>
        <sz val="10"/>
        <rFont val="Calibri"/>
        <family val="2"/>
        <scheme val="minor"/>
      </rPr>
      <t xml:space="preserve">La Facultad de Ciencias Administrativas, no cuenta en su presupuesto con un rubro que aporte recursos económicos para impulsar emprendimientos, pero nuestra ruta de emprendimiento está conectada al CINNE que es la ruta de emprendimiento de la Cámara de Comercio de Armenia y también somos aliados del SENA con el programa Fondo Emprender.
</t>
    </r>
    <r>
      <rPr>
        <b/>
        <sz val="10"/>
        <rFont val="Calibri"/>
        <family val="2"/>
        <scheme val="minor"/>
      </rPr>
      <t>Universidad La Gran Colombia:</t>
    </r>
    <r>
      <rPr>
        <sz val="10"/>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rFont val="Calibri"/>
        <family val="2"/>
        <scheme val="minor"/>
      </rPr>
      <t>Secretaría de Educación:</t>
    </r>
    <r>
      <rPr>
        <sz val="10"/>
        <rFont val="Calibri"/>
        <family val="2"/>
        <scheme val="minor"/>
      </rPr>
      <t xml:space="preserve"> No hay actividades planeadas sobre el tema para mención para este periodo de tiempo.
</t>
    </r>
    <r>
      <rPr>
        <b/>
        <sz val="10"/>
        <rFont val="Calibri"/>
        <family val="2"/>
        <scheme val="minor"/>
      </rPr>
      <t xml:space="preserve">Secretaría de familia: </t>
    </r>
    <r>
      <rPr>
        <sz val="10"/>
        <rFont val="Calibri"/>
        <family val="2"/>
        <scheme val="minor"/>
      </rPr>
      <t xml:space="preserve">La información reportada por los actores responsables no es la adecuada para medir el indicador en porcentaje.
</t>
    </r>
  </si>
  <si>
    <r>
      <t xml:space="preserve">
Secretaría de Turismo Industria y Comercio: </t>
    </r>
    <r>
      <rPr>
        <sz val="10"/>
        <rFont val="Calibri"/>
        <family val="2"/>
        <scheme val="minor"/>
      </rPr>
      <t>La Red Regional de Emprendimiento del Departamento del Quindío se reúne trimestralmente, la cual cuenta con un representante del Consejo Departamental de Juventudes. Así mismo, se incluye a la mesa dos representantes de los emprendedores.
El día 4 de mayo de 2023, se realizó reunión con los participantes de la Red Departamental de emprendiemiento, en este encuentro se tocaron diferentes temas y actividades a desarrollar este año, empezando por el primer evento que fue  el programa de preincubación con la   entidad Cemprende donde principalmente se articularon  universidades y el Departamento del Quindio, este  programa  fue todo un éxito y tuvo el cierre el 5 de julio de 2023, en el cual participaron xxxx y llegaron a la fase final 12 empredimientos.
Dentro de la agenda se establecio continuar con la Celebración sobre la semana de emprendimiento, y llevar acabo el festival emprendelac festic.
Por ultimo se converso sobre el Programa de impulsa, que para llevarlo acabo se requerían de todas las entidades que conforman la Red Departamental de Emprendiemiento y fue liderado por la cámara de comercio en el territorio, en este programa se incribieron 90 personas y a la etapa final llegaron 13 emprendimientos</t>
    </r>
  </si>
  <si>
    <r>
      <rPr>
        <b/>
        <sz val="10"/>
        <rFont val="Calibri"/>
        <family val="2"/>
        <scheme val="minor"/>
      </rPr>
      <t xml:space="preserve">Secretaría de familia: </t>
    </r>
    <r>
      <rPr>
        <sz val="10"/>
        <rFont val="Calibri"/>
        <family val="2"/>
        <scheme val="minor"/>
      </rPr>
      <t xml:space="preserve">La tasa de cobertura básica secundaria reportadda por el ministerio de educación corresponde al 63,34 %
</t>
    </r>
    <r>
      <rPr>
        <b/>
        <sz val="10"/>
        <rFont val="Calibri"/>
        <family val="2"/>
        <scheme val="minor"/>
      </rPr>
      <t>Alcaldía de Calarcá:</t>
    </r>
    <r>
      <rPr>
        <sz val="10"/>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rFont val="Calibri"/>
        <family val="2"/>
        <scheme val="minor"/>
      </rPr>
      <t>Secretaría de Educación:</t>
    </r>
    <r>
      <rPr>
        <sz val="10"/>
        <rFont val="Calibri"/>
        <family val="2"/>
        <scheme val="minor"/>
      </rPr>
      <t xml:space="preserve"> Desde las I.E se realiza la oferta a los 11 municipios no certificados y es aprobada por la Secretaria Departamental y el MEN. 
</t>
    </r>
    <r>
      <rPr>
        <b/>
        <sz val="10"/>
        <rFont val="Calibri"/>
        <family val="2"/>
        <scheme val="minor"/>
      </rPr>
      <t>Alcaldía Córdoba:</t>
    </r>
    <r>
      <rPr>
        <sz val="10"/>
        <rFont val="Calibri"/>
        <family val="2"/>
        <scheme val="minor"/>
      </rPr>
      <t xml:space="preserve"> Garantizó la atención con estrategias de permanencia ( PAE - Programa de Alimentacion Escolar y transorte escolar) a los estudiantes que cumplen los criterios de focalizacion, igualmente se llevó a cabo la articulacion con el SENA  para ofrecer  dos modalidades  Tecnicas (Técnico en Agroindustria alimentaria  y Técnico en Sistemas Agropecuarios Ecológicos).
</t>
    </r>
    <r>
      <rPr>
        <b/>
        <sz val="10"/>
        <rFont val="Calibri"/>
        <family val="2"/>
        <scheme val="minor"/>
      </rPr>
      <t>Alcaldia Armenia:</t>
    </r>
    <r>
      <rPr>
        <sz val="10"/>
        <rFont val="Calibri"/>
        <family val="2"/>
        <scheme val="minor"/>
      </rPr>
      <t xml:space="preserve"> Tasa bruta de cobertura bruta en preescolar, básica primaria, secundaria y media107,28%</t>
    </r>
  </si>
  <si>
    <r>
      <rPr>
        <b/>
        <sz val="10"/>
        <rFont val="Calibri"/>
        <family val="2"/>
        <scheme val="minor"/>
      </rPr>
      <t xml:space="preserve">Secretaría de familia: </t>
    </r>
    <r>
      <rPr>
        <sz val="10"/>
        <rFont val="Calibri"/>
        <family val="2"/>
        <scheme val="minor"/>
      </rPr>
      <t>La tasa de cobertura neta media vocacional reportada por el ministerio de educación corresponde al 63,34 %</t>
    </r>
    <r>
      <rPr>
        <b/>
        <sz val="10"/>
        <rFont val="Calibri"/>
        <family val="2"/>
        <scheme val="minor"/>
      </rPr>
      <t xml:space="preserve">
Alcaldía de Buenavista</t>
    </r>
    <r>
      <rPr>
        <sz val="10"/>
        <rFont val="Calibri"/>
        <family val="2"/>
        <scheme val="minor"/>
      </rPr>
      <t xml:space="preserve">: Cuenta con la cobertura integral en básica secundaria, no tenemos reportes de jóvenes que esten desescolarizados.
</t>
    </r>
    <r>
      <rPr>
        <b/>
        <sz val="10"/>
        <rFont val="Calibri"/>
        <family val="2"/>
        <scheme val="minor"/>
      </rPr>
      <t xml:space="preserve">Secretaría de Educación: </t>
    </r>
    <r>
      <rPr>
        <sz val="10"/>
        <rFont val="Calibri"/>
        <family val="2"/>
        <scheme val="minor"/>
      </rPr>
      <t xml:space="preserve">La Secretaría de Educación Departamental , en la actualidad está adelantando la Jornada de Matrícula “Nos vemos en el cole” que se lleva a cabo en diferentes municipios no certificados del Departamento del Quindío.
</t>
    </r>
    <r>
      <rPr>
        <b/>
        <sz val="10"/>
        <rFont val="Calibri"/>
        <family val="2"/>
        <scheme val="minor"/>
      </rPr>
      <t>Alcaldía Armenia:</t>
    </r>
    <r>
      <rPr>
        <sz val="10"/>
        <rFont val="Calibri"/>
        <family val="2"/>
        <scheme val="minor"/>
      </rPr>
      <t xml:space="preserve"> 23 Instituciones Educativas y 1200 Jóvenes de media de las Instituciones Educativas.
</t>
    </r>
    <r>
      <rPr>
        <b/>
        <sz val="10"/>
        <rFont val="Calibri"/>
        <family val="2"/>
        <scheme val="minor"/>
      </rPr>
      <t xml:space="preserve">Alcaldía Génova: </t>
    </r>
    <r>
      <rPr>
        <sz val="10"/>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Córdoba</t>
    </r>
    <r>
      <rPr>
        <sz val="10"/>
        <rFont val="Calibri"/>
        <family val="2"/>
        <scheme val="minor"/>
      </rPr>
      <t xml:space="preserve">:  garantizó la atención con estrategias de permanencia ( PAE - Programa de Alimentacion Escolar y transorte escolar) a los estudiantes que cumplen los criterios de focalización, igualmente se llevó a cabo la articulación con el SENA  para ofrecer dos modalidades técnicas (Técnico en Agroindustria alimentaria  y Técnico en Sistemas Agropecuarios Ecológicos).
</t>
    </r>
    <r>
      <rPr>
        <b/>
        <sz val="10"/>
        <rFont val="Calibri"/>
        <family val="2"/>
        <scheme val="minor"/>
      </rPr>
      <t xml:space="preserve">Alcaldía de Armenia: </t>
    </r>
    <r>
      <rPr>
        <sz val="10"/>
        <rFont val="Calibri"/>
        <family val="2"/>
        <scheme val="minor"/>
      </rPr>
      <t xml:space="preserve">Instituciones Educativas con procesos de atención en jornada complememtaria, en total 20 Insitituciones educativas con 8000 niños, niñas, jóvenes y adultos.
</t>
    </r>
    <r>
      <rPr>
        <b/>
        <sz val="10"/>
        <rFont val="Calibri"/>
        <family val="2"/>
        <scheme val="minor"/>
      </rPr>
      <t>Alcaldía de Calarcá:</t>
    </r>
    <r>
      <rPr>
        <sz val="10"/>
        <rFont val="Calibri"/>
        <family val="2"/>
        <scheme val="minor"/>
      </rPr>
      <t xml:space="preserve"> Se brinda apoyo a las instituciones educativas con el pago de los servicios públicos, para el beneficio de los estudiantes de basica secundaria y media vocacional en el municipio de calarcá´.
</t>
    </r>
  </si>
  <si>
    <r>
      <rPr>
        <b/>
        <sz val="10"/>
        <rFont val="Calibri"/>
        <family val="2"/>
        <scheme val="minor"/>
      </rPr>
      <t>Observación: SEGÚN REPORTE DE SEC. EDUCACIÓN SE IMPLEMENTAN 4 METODOLOGÍAS.</t>
    </r>
    <r>
      <rPr>
        <sz val="10"/>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rFont val="Calibri"/>
        <family val="2"/>
        <scheme val="minor"/>
      </rPr>
      <t xml:space="preserve">Secretaría de Educación: </t>
    </r>
    <r>
      <rPr>
        <sz val="10"/>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r>
      <rPr>
        <b/>
        <sz val="10"/>
        <rFont val="Calibri"/>
        <family val="2"/>
        <scheme val="minor"/>
      </rPr>
      <t>Alcaldia Buenavista:</t>
    </r>
    <r>
      <rPr>
        <sz val="10"/>
        <rFont val="Calibri"/>
        <family val="2"/>
        <scheme val="minor"/>
      </rPr>
      <t xml:space="preserve"> desde la institución educativa se cuenta con un programa de estudio los días sabados que permite a los jovenes con extra edad, terminar su bachillerato.
</t>
    </r>
    <r>
      <rPr>
        <b/>
        <sz val="10"/>
        <rFont val="Calibri"/>
        <family val="2"/>
        <scheme val="minor"/>
      </rPr>
      <t>Alcaldía de Pijao:</t>
    </r>
    <r>
      <rPr>
        <sz val="10"/>
        <rFont val="Calibri"/>
        <family val="2"/>
        <scheme val="minor"/>
      </rPr>
      <t xml:space="preserve"> no cuenta con metodologias flexibles implementadas
</t>
    </r>
    <r>
      <rPr>
        <b/>
        <sz val="10"/>
        <rFont val="Calibri"/>
        <family val="2"/>
        <scheme val="minor"/>
      </rPr>
      <t xml:space="preserve">Alcaldía Armenia: </t>
    </r>
    <r>
      <rPr>
        <sz val="10"/>
        <rFont val="Calibri"/>
        <family val="2"/>
        <scheme val="minor"/>
      </rPr>
      <t>700 jóvenes y adultos atendidos a través de modelos flexibles</t>
    </r>
  </si>
  <si>
    <r>
      <rPr>
        <b/>
        <sz val="10"/>
        <rFont val="Calibri"/>
        <family val="2"/>
        <scheme val="minor"/>
      </rPr>
      <t xml:space="preserve">
Secretaría de Familia: </t>
    </r>
    <r>
      <rPr>
        <sz val="10"/>
        <rFont val="Calibri"/>
        <family val="2"/>
        <scheme val="minor"/>
      </rPr>
      <t xml:space="preserve">La Tasa de deserción a largo plazo (semestre 10) es del 54,3% según reporte del Ministerio de Educación y la tasa de absorcion de bachilleres es del 47,3%
</t>
    </r>
    <r>
      <rPr>
        <b/>
        <sz val="10"/>
        <rFont val="Calibri"/>
        <family val="2"/>
        <scheme val="minor"/>
      </rPr>
      <t xml:space="preserve">Alcaldía de Buenavista: </t>
    </r>
    <r>
      <rPr>
        <sz val="10"/>
        <rFont val="Calibri"/>
        <family val="2"/>
        <scheme val="minor"/>
      </rPr>
      <t xml:space="preserve">desde la Institución Educativa se cuenta con un programa de estudio los días sábados que permite a los jóvenes con extra edad, terminar su bachillerato.
</t>
    </r>
    <r>
      <rPr>
        <b/>
        <sz val="10"/>
        <rFont val="Calibri"/>
        <family val="2"/>
        <scheme val="minor"/>
      </rPr>
      <t>Alcaldía de Filandia:</t>
    </r>
    <r>
      <rPr>
        <sz val="10"/>
        <rFont val="Calibri"/>
        <family val="2"/>
        <scheme val="minor"/>
      </rPr>
      <t xml:space="preserve"> 35%  de 140 recién graduados en el municipio de Filandia, ingresan al menos 25 a la Universidad en el siguiente año.
</t>
    </r>
    <r>
      <rPr>
        <b/>
        <sz val="10"/>
        <rFont val="Calibri"/>
        <family val="2"/>
        <scheme val="minor"/>
      </rPr>
      <t>Alcaldía Génova:</t>
    </r>
    <r>
      <rPr>
        <sz val="10"/>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Córdoba:</t>
    </r>
    <r>
      <rPr>
        <sz val="10"/>
        <rFont val="Calibri"/>
        <family val="2"/>
        <scheme val="minor"/>
      </rPr>
      <t xml:space="preserve"> se encuentra conformado el Comité Municipal de Becas Universitarias para la educación superior pública, para quienes cumplan con los requisitos y envíen la solicitud. Actualmente no se encuentran beneficiarios ya que está en vigencia la Política Nacional de Matrícula Cero y los jóvenes del municipio que estudian en la universidad pública accedieron a esta. La información no puede ser socializada en porcentaje (%) por el municipio.          
</t>
    </r>
    <r>
      <rPr>
        <b/>
        <sz val="10"/>
        <rFont val="Calibri"/>
        <family val="2"/>
        <scheme val="minor"/>
      </rPr>
      <t>Alcaldía de Montenegro:</t>
    </r>
    <r>
      <rPr>
        <sz val="10"/>
        <rFont val="Calibri"/>
        <family val="2"/>
        <scheme val="minor"/>
      </rPr>
      <t xml:space="preserve"> al momento desde la subsecretaria de desarrollo social y ecucativo no se cuenta con esos datos para el primer trimestre del año.
</t>
    </r>
    <r>
      <rPr>
        <b/>
        <sz val="10"/>
        <rFont val="Calibri"/>
        <family val="2"/>
        <scheme val="minor"/>
      </rPr>
      <t>Alcaldía de Calarcá: S</t>
    </r>
    <r>
      <rPr>
        <sz val="10"/>
        <rFont val="Calibri"/>
        <family val="2"/>
        <scheme val="minor"/>
      </rPr>
      <t xml:space="preserve">e garantiza la alimentación escolar en las 14 instituciones educativas del Municipio. Además se cuenta con gratuidad de matrícula y cobertura del seguro escolar. 
</t>
    </r>
    <r>
      <rPr>
        <b/>
        <sz val="10"/>
        <rFont val="Calibri"/>
        <family val="2"/>
        <scheme val="minor"/>
      </rPr>
      <t xml:space="preserve">Secretaría de educación: </t>
    </r>
    <r>
      <rPr>
        <sz val="10"/>
        <rFont val="Calibri"/>
        <family val="2"/>
        <scheme val="minor"/>
      </rPr>
      <t xml:space="preserve">1. Qluster Didáctico Empresarial
2. Proyectos pedagógicos productivos.
3. Articulación con la Educación Superior.
4. Articulación con la Media Técnica.
5. Escuela Lider - Emprende Lider.
6. Territorio Stem + Qreativos.
7. Bilinguismo - Nativos
8. Plan de Oralidad. 
9. Laboratorios Pedagógicos Creativos.
</t>
    </r>
  </si>
  <si>
    <r>
      <t xml:space="preserve">
</t>
    </r>
    <r>
      <rPr>
        <b/>
        <sz val="10"/>
        <rFont val="Calibri"/>
        <family val="2"/>
        <scheme val="minor"/>
      </rPr>
      <t>Secretaría de Familia:</t>
    </r>
    <r>
      <rPr>
        <sz val="10"/>
        <rFont val="Calibri"/>
        <family val="2"/>
        <scheme val="minor"/>
      </rPr>
      <t xml:space="preserve"> La tasa de deserción universitaria es del 8,79%  según reporte del Ministerio de Educación.
</t>
    </r>
    <r>
      <rPr>
        <b/>
        <sz val="10"/>
        <rFont val="Calibri"/>
        <family val="2"/>
        <scheme val="minor"/>
      </rPr>
      <t>Alcaldía de Buenavista</t>
    </r>
    <r>
      <rPr>
        <sz val="10"/>
        <rFont val="Calibri"/>
        <family val="2"/>
        <scheme val="minor"/>
      </rPr>
      <t xml:space="preserve">: Fomenta la educación superior y por ello tiene realizado un convenio con el instituto técnico INTEP de Roldanillo Valle, el cual ha puesto su sede en el municipio, para que los jóvenes estudien una carrera universitaria; también entrega tiquetes estudiantiles para que los jóvenes que estudian en la ciudad de Armenia, con estos incentivos fomentamos la educación superior y procuramos que los jóvenes no deserten de sus carreras profesionales.
</t>
    </r>
    <r>
      <rPr>
        <b/>
        <sz val="10"/>
        <rFont val="Calibri"/>
        <family val="2"/>
        <scheme val="minor"/>
      </rPr>
      <t>Alcaldía de Filandia:</t>
    </r>
    <r>
      <rPr>
        <sz val="10"/>
        <rFont val="Calibri"/>
        <family val="2"/>
        <scheme val="minor"/>
      </rPr>
      <t xml:space="preserve"> 40% de los estudiantes desertan de la Universidad a lo largo de su carrera, ya sea para cambiar de carrera o abandonar el sistema Universitario (15% a largo plazo).
</t>
    </r>
    <r>
      <rPr>
        <b/>
        <sz val="10"/>
        <rFont val="Calibri"/>
        <family val="2"/>
        <scheme val="minor"/>
      </rPr>
      <t>Alcaldía de Pijao:</t>
    </r>
    <r>
      <rPr>
        <sz val="10"/>
        <rFont val="Calibri"/>
        <family val="2"/>
        <scheme val="minor"/>
      </rPr>
      <t xml:space="preserve"> Se cuenta con la posada estudiantil en Armenia.
</t>
    </r>
    <r>
      <rPr>
        <b/>
        <sz val="10"/>
        <rFont val="Calibri"/>
        <family val="2"/>
        <scheme val="minor"/>
      </rPr>
      <t>Alcaldía Armenia</t>
    </r>
    <r>
      <rPr>
        <sz val="10"/>
        <rFont val="Calibri"/>
        <family val="2"/>
        <scheme val="minor"/>
      </rPr>
      <t xml:space="preserve">: Población víctimas del conflicto, vulnerables, jóvenes y adultos con estrategias de apoyo educativo  y seguimiento al ausentismo escolar (635 personas atendidas) 
</t>
    </r>
    <r>
      <rPr>
        <b/>
        <sz val="10"/>
        <rFont val="Calibri"/>
        <family val="2"/>
        <scheme val="minor"/>
      </rPr>
      <t>Alcaldía Génova:</t>
    </r>
    <r>
      <rPr>
        <sz val="10"/>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 xml:space="preserve">Alcaldía Salento: </t>
    </r>
    <r>
      <rPr>
        <sz val="10"/>
        <rFont val="Calibri"/>
        <family val="2"/>
        <scheme val="minor"/>
      </rPr>
      <t xml:space="preserve">Avance en la propuesta de reestablecimiento de los subsidios de transporte para estudiantes universitarios residentes en el municipio.
</t>
    </r>
    <r>
      <rPr>
        <b/>
        <sz val="10"/>
        <rFont val="Calibri"/>
        <family val="2"/>
        <scheme val="minor"/>
      </rPr>
      <t>Alcaldía de Córdoba:</t>
    </r>
    <r>
      <rPr>
        <sz val="10"/>
        <rFont val="Calibri"/>
        <family val="2"/>
        <scheme val="minor"/>
      </rPr>
      <t xml:space="preserve"> La Institución Educativa ofrece todo el ciclo básico lo que contribuye a asegurar la continuidad y el flujo de los estudiantes a través de los niveles de  básica, secundaria y media. Además, se ofrece dos modalidades en convenio SENA: sistemas agropecuarios ecológicos y agroindustria alimentaria.                                                                                                                                                                                                                                   Se diseñan los Planes de Mejoramiento y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-Hay flexibilidad de los modelos educativos que se implementan, que son capaces de adaptarse a las necesidades de los niños y jóvenes.                                                        
Seguimiento a través de comité de ausentismo.                                             La información no puede ser socializada en tasa por la alcaldía municipal.       Implementación de jornada única con énfasis en artística: música- teatro en básica primaria. 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rFont val="Calibri"/>
        <family val="2"/>
        <scheme val="minor"/>
      </rPr>
      <t xml:space="preserve">Alcaldía de Calarcá: </t>
    </r>
    <r>
      <rPr>
        <sz val="10"/>
        <rFont val="Calibri"/>
        <family val="2"/>
        <scheme val="minor"/>
      </rPr>
      <t>Se realizan</t>
    </r>
    <r>
      <rPr>
        <b/>
        <sz val="10"/>
        <rFont val="Calibri"/>
        <family val="2"/>
        <scheme val="minor"/>
      </rPr>
      <t xml:space="preserve"> </t>
    </r>
    <r>
      <rPr>
        <sz val="10"/>
        <rFont val="Calibri"/>
        <family val="2"/>
        <scheme val="minor"/>
      </rPr>
      <t xml:space="preserve">sensibilizaciones de fortalecimiento familiar, con el fin de que los padres acompañen adecuadamente a sus hijos en el proceso educativo.
</t>
    </r>
  </si>
  <si>
    <r>
      <t xml:space="preserve">
</t>
    </r>
    <r>
      <rPr>
        <b/>
        <sz val="10"/>
        <rFont val="Calibri"/>
        <family val="2"/>
        <scheme val="minor"/>
      </rPr>
      <t>Secretaría de Familia:</t>
    </r>
    <r>
      <rPr>
        <sz val="10"/>
        <rFont val="Calibri"/>
        <family val="2"/>
        <scheme val="minor"/>
      </rPr>
      <t xml:space="preserve"> La tasa de cobertura de educación superior es del 62,3% según reporte del Ministerio de Educación.
</t>
    </r>
    <r>
      <rPr>
        <b/>
        <sz val="10"/>
        <color rgb="FFFF0000"/>
        <rFont val="Calibri"/>
        <family val="2"/>
        <scheme val="minor"/>
      </rPr>
      <t/>
    </r>
  </si>
  <si>
    <r>
      <t xml:space="preserve">
</t>
    </r>
    <r>
      <rPr>
        <b/>
        <sz val="10"/>
        <rFont val="Calibri"/>
        <family val="2"/>
        <scheme val="minor"/>
      </rPr>
      <t xml:space="preserve">Secretaría de Salud: </t>
    </r>
    <r>
      <rPr>
        <sz val="10"/>
        <rFont val="Calibri"/>
        <family val="2"/>
        <scheme val="minor"/>
      </rPr>
      <t xml:space="preserve">Asistencias técnicas y aplicación de lista de chequeo sobre Ruta de atención integral en salud sexual y reproductiva Res. 3280 curso de vida adolescente en las IPS de los municipios del Quindío.
Población: Funcionarios P y D
Cantidad de personas: 37
Institución: IPS de los municipios del departamento del Quindío
Actividad o acción: Aplicación lista de chequeo y verificación sobre ruta de atención integral en salud sexual y reproductiva Res, 3280 curso de vida adolescente
Temas tratados: Ruta de atención integral en salud sexual y reproductiva Res, 3280 curso de vida adolescente.
Población: Funcionarios P y D
Cantidad de personas: 26
Institución: IPS de los municipios del departamento del Quindío
Actividad o acción: Asistencia técnica sobre ruta de atención integral en salud sexual y reproductiva Res, 3280 curso de vida adolescente
Temas tratados: Ruta de atención integral en salud sexual y reproductiva Res, 3280 curso de vida adolescente-capacitación herramienta Tanner.
Población: Pacientes adolescentes
Cantidad de personas: 19
Institución: IPS de los municipios del departamento del Quindío
Actividad o acción: Aplicación lista de chequeo sobre ruta de atención integral en salud sexual y reproductiva Res, 3280 curso de vida adolescente
Temas tratados: Ruta de atención integral en salud sexual y reproductiva Res, 3280 curso de vida adolescente-capacitación herramienta Tanner.
Se realizó aplicación de lista de chequeo de calidad de los servicios de salud amigables para adolescentes y jóvenes en las IPS de los 11 municipios y con usuarios adolescentes y padres de familia.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</si>
  <si>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Buenavista:</t>
    </r>
    <r>
      <rPr>
        <sz val="10"/>
        <rFont val="Calibri"/>
        <family val="2"/>
        <scheme val="minor"/>
      </rPr>
      <t xml:space="preserve"> Se revisa la prestación del servicio a jóvenes por parte del plan local de Salud al Hospital San Camilo  
</t>
    </r>
    <r>
      <rPr>
        <b/>
        <sz val="10"/>
        <rFont val="Calibri"/>
        <family val="2"/>
        <scheme val="minor"/>
      </rPr>
      <t xml:space="preserve">Alcaldía de Pijao: </t>
    </r>
    <r>
      <rPr>
        <sz val="10"/>
        <rFont val="Calibri"/>
        <family val="2"/>
        <scheme val="minor"/>
      </rPr>
      <t xml:space="preserve">Los representantes de los jóvenes son miembros activos y participan en el Comité de Salud Municipal.
</t>
    </r>
    <r>
      <rPr>
        <b/>
        <sz val="10"/>
        <rFont val="Calibri"/>
        <family val="2"/>
        <scheme val="minor"/>
      </rPr>
      <t xml:space="preserve">Alcaldía Calarcá: </t>
    </r>
    <r>
      <rPr>
        <sz val="10"/>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rFont val="Calibri"/>
        <family val="2"/>
        <scheme val="minor"/>
      </rPr>
      <t xml:space="preserve">Secretaría de Salud: </t>
    </r>
    <r>
      <rPr>
        <sz val="10"/>
        <rFont val="Calibri"/>
        <family val="2"/>
        <scheme val="minor"/>
      </rPr>
      <t xml:space="preserve">Se han realizado talleres pedagógicos en 4 municipios del Quindío para la prevención de embarazo en la adolescencia y de infecciones de transmisión sexual. Se han visitado 11 IPS de 11 municipios realizando seguimiento de la calidad en la implementación de los servicios de salud amigables para adolescentes y jóvenes SSAAJ. Se realizaron visitas a 4 IPS de 4 municipios para el seguimiento de la implementación curso de vida adolescentes . Se han realizado 4 talleres pedagógicos con estudiantes de 4 municipios para prevención y promoción de la salud sexual y reproductiva.
</t>
    </r>
    <r>
      <rPr>
        <b/>
        <sz val="10"/>
        <rFont val="Calibri"/>
        <family val="2"/>
        <scheme val="minor"/>
      </rPr>
      <t>Alcaldía Tebaida:</t>
    </r>
    <r>
      <rPr>
        <sz val="10"/>
        <rFont val="Calibri"/>
        <family val="2"/>
        <scheme val="minor"/>
      </rPr>
      <t xml:space="preserve">  El total de la población activa que corresponde al Régimen Subsidiado es de 22.281 de este total,  5.394 es población joven que está en el rango de 14 a 28 año y El total de la población activa que corresponde al Régimen Contributivo es de 9.522 de este total 2.610 es población joven que está en el rango de 14 a 28 años.
</t>
    </r>
  </si>
  <si>
    <r>
      <t>Alcaldía Filandia:</t>
    </r>
    <r>
      <rPr>
        <sz val="10"/>
        <rFont val="Calibri"/>
        <family val="2"/>
        <scheme val="minor"/>
      </rPr>
      <t xml:space="preserve"> 340 jóvenes participan en actividades recreativas, deportivas y de actividad física.</t>
    </r>
    <r>
      <rPr>
        <b/>
        <sz val="10"/>
        <rFont val="Calibri"/>
        <family val="2"/>
        <scheme val="minor"/>
      </rPr>
      <t xml:space="preserve">
Alcaldía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
Alcaldía Génova:  </t>
    </r>
    <r>
      <rPr>
        <sz val="10"/>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juveniles y actividades recreativas.</t>
    </r>
    <r>
      <rPr>
        <b/>
        <sz val="10"/>
        <rFont val="Calibri"/>
        <family val="2"/>
        <scheme val="minor"/>
      </rPr>
      <t xml:space="preserve">
Alcaldía de Armenia: </t>
    </r>
    <r>
      <rPr>
        <sz val="10"/>
        <rFont val="Calibri"/>
        <family val="2"/>
        <scheme val="minor"/>
      </rPr>
      <t xml:space="preserve">Promoción, apoyo logístico, ejecución y dotación de grupos de recreación dirigida a 4295 jóvenes.   </t>
    </r>
    <r>
      <rPr>
        <b/>
        <sz val="10"/>
        <rFont val="Calibri"/>
        <family val="2"/>
        <scheme val="minor"/>
      </rPr>
      <t xml:space="preserve">         
Alcaldía de Montenegro: S</t>
    </r>
    <r>
      <rPr>
        <sz val="10"/>
        <rFont val="Calibri"/>
        <family val="2"/>
        <scheme val="minor"/>
      </rPr>
      <t xml:space="preserve">e ha fortalecido la oferta institucional frente a la actividad física al igual que los grupos de formación deportiva, se hace promoción y seguimiento de eventos y actividades
</t>
    </r>
    <r>
      <rPr>
        <b/>
        <sz val="10"/>
        <rFont val="Calibri"/>
        <family val="2"/>
        <scheme val="minor"/>
      </rPr>
      <t>Alcaldía de Pijao:</t>
    </r>
    <r>
      <rPr>
        <sz val="10"/>
        <rFont val="Calibri"/>
        <family val="2"/>
        <scheme val="minor"/>
      </rPr>
      <t xml:space="preserve"> Entrenamientos permanentes con las escuelas deportivas, actividades recreativas con el colegio la mariela (rural), apoyo actividades eninstituciones educativas urbanas en los interclases.</t>
    </r>
    <r>
      <rPr>
        <b/>
        <sz val="10"/>
        <rFont val="Calibri"/>
        <family val="2"/>
        <scheme val="minor"/>
      </rPr>
      <t xml:space="preserve">
Alcaldía de Calarcá: </t>
    </r>
    <r>
      <rPr>
        <sz val="10"/>
        <rFont val="Calibri"/>
        <family val="2"/>
        <scheme val="minor"/>
      </rPr>
      <t xml:space="preserve">Desde la Subsecretaría de Cultura se realizó el evento "Caciques más fuertes" y "Color fest".
</t>
    </r>
    <r>
      <rPr>
        <b/>
        <sz val="10"/>
        <rFont val="Calibri"/>
        <family val="2"/>
        <scheme val="minor"/>
      </rPr>
      <t xml:space="preserve">Alcaldía Córdoba: </t>
    </r>
    <r>
      <rPr>
        <sz val="10"/>
        <rFont val="Calibri"/>
        <family val="2"/>
        <scheme val="minor"/>
      </rPr>
      <t xml:space="preserve">se cuenta con las  escuelas de formación deportiva en natación, patinaje y el centro de alto rendimiento gimnasio: NATACIÓN: 38 deportistas entre los 4 a 15 años. PATINAJE: 25 deportistas entre los 4 a 15 años GIMNASIO: 83 deportistas entre los 13 a 65 años.  La información no puede ser socializada en porcentaje (%) por el municipio.          </t>
    </r>
    <r>
      <rPr>
        <b/>
        <sz val="10"/>
        <rFont val="Calibri"/>
        <family val="2"/>
        <scheme val="minor"/>
      </rPr>
      <t xml:space="preserve">
INDEPORTES:</t>
    </r>
    <r>
      <rPr>
        <sz val="10"/>
        <rFont val="Calibri"/>
        <family val="2"/>
        <scheme val="minor"/>
      </rPr>
      <t xml:space="preserve"> 254 jóvenes atendidos con el servicio de promoción de la actividad física, la recreación y el deporte, mediante hábitos y estilos de vida saludable, acompañamiento a grupos de campistas juveniles y recreación.
</t>
    </r>
    <r>
      <rPr>
        <b/>
        <sz val="10"/>
        <rFont val="Calibri"/>
        <family val="2"/>
        <scheme val="minor"/>
      </rPr>
      <t xml:space="preserve">Alcaldía salento: </t>
    </r>
    <r>
      <rPr>
        <sz val="10"/>
        <rFont val="Calibri"/>
        <family val="2"/>
        <scheme val="minor"/>
      </rPr>
      <t xml:space="preserve">177 jóvenes que pertenecen a escuelas deportivas.
</t>
    </r>
  </si>
  <si>
    <r>
      <rPr>
        <b/>
        <sz val="10"/>
        <rFont val="Calibri"/>
        <family val="2"/>
        <scheme val="minor"/>
      </rPr>
      <t xml:space="preserve">Secretaría de Salud: </t>
    </r>
    <r>
      <rPr>
        <sz val="10"/>
        <rFont val="Calibri"/>
        <family val="2"/>
        <scheme val="minor"/>
      </rPr>
      <t>Se realizan actividades como el seguimiento a la gestión del riesgo en los eventos violencia de género e intento de suicidio y otros trastornos mentales, en ese sentido se hace articulación con instituciones Prestadoras de Servicios de Salud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realiza generación de capacidad técnica con capacitaciones en temas de interés en salud mental como: primeros auxilios emocionales, comunicación de la noticia del suicidio enfocado a periodistas, asistencias técnicas a los planes locales en temas específicos del programa de salud mental.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t>
    </r>
  </si>
  <si>
    <r>
      <t xml:space="preserve">
</t>
    </r>
    <r>
      <rPr>
        <b/>
        <sz val="10"/>
        <rFont val="Calibri"/>
        <family val="2"/>
        <scheme val="minor"/>
      </rPr>
      <t>Secretaría del Interior:</t>
    </r>
    <r>
      <rPr>
        <sz val="10"/>
        <rFont val="Calibri"/>
        <family val="2"/>
        <scheme val="minor"/>
      </rPr>
      <t xml:space="preserve"> Acompañamiento y seguimiento en los municipios de Armenia, Circasia y Salento en la ejecución de los PISCC
</t>
    </r>
    <r>
      <rPr>
        <b/>
        <sz val="10"/>
        <rFont val="Calibri"/>
        <family val="2"/>
        <scheme val="minor"/>
      </rPr>
      <t>Policía Nacional</t>
    </r>
    <r>
      <rPr>
        <sz val="10"/>
        <rFont val="Calibri"/>
        <family val="2"/>
        <scheme val="minor"/>
      </rPr>
      <t xml:space="preserve">: Nos encontramos dando aplicabilidad al programa de prevención  “Abre Tus Ojos” de la Direccion de Protección a la Infancia y Adolescencia, en el Departamento del Quindío teniendo en cuenta planes de trabajo internos.
</t>
    </r>
    <r>
      <rPr>
        <b/>
        <sz val="10"/>
        <rFont val="Calibri"/>
        <family val="2"/>
        <scheme val="minor"/>
      </rPr>
      <t>ICBF:</t>
    </r>
    <r>
      <rPr>
        <sz val="10"/>
        <rFont val="Calibri"/>
        <family val="2"/>
        <scheme val="minor"/>
      </rPr>
      <t xml:space="preserve"> Asitencias tecnicas, acompañamiento en los comités municipales 
Divulgación ruta de convivencia escolar
*Acompañamiento a los comités de los municipios de Armenia, Filandia, Circasia, La Tebaida y Córdoba.
</t>
    </r>
  </si>
  <si>
    <r>
      <t xml:space="preserve">
</t>
    </r>
    <r>
      <rPr>
        <b/>
        <sz val="10"/>
        <rFont val="Calibri"/>
        <family val="2"/>
        <scheme val="minor"/>
      </rPr>
      <t>Secretaría de Familia:</t>
    </r>
    <r>
      <rPr>
        <sz val="10"/>
        <rFont val="Calibri"/>
        <family val="2"/>
        <scheme val="minor"/>
      </rPr>
      <t xml:space="preserve"> la tasa de accidentes fatales viales x 100 mil jóvenes es 131 según fuente de verificación, sin embargo la tasa nacional no fue encontrada en esta fuente.
</t>
    </r>
    <r>
      <rPr>
        <b/>
        <sz val="10"/>
        <rFont val="Calibri"/>
        <family val="2"/>
        <scheme val="minor"/>
      </rPr>
      <t>Alcaldía de Armenia:</t>
    </r>
    <r>
      <rPr>
        <sz val="10"/>
        <rFont val="Calibri"/>
        <family val="2"/>
        <scheme val="minor"/>
      </rPr>
      <t xml:space="preserve"> Realización de educación a personas en todos los cursos de vida en la prevención del accidente de tránsito 301.
</t>
    </r>
    <r>
      <rPr>
        <b/>
        <sz val="10"/>
        <rFont val="Calibri"/>
        <family val="2"/>
        <scheme val="minor"/>
      </rPr>
      <t>Alcaldía Salento:</t>
    </r>
    <r>
      <rPr>
        <sz val="10"/>
        <rFont val="Calibri"/>
        <family val="2"/>
        <scheme val="minor"/>
      </rPr>
      <t xml:space="preserve"> En ejecución la Política Pública de Seguridad Vial, proceso a cargo de la Secretaría de Gobierno
</t>
    </r>
    <r>
      <rPr>
        <b/>
        <sz val="10"/>
        <rFont val="Calibri"/>
        <family val="2"/>
        <scheme val="minor"/>
      </rPr>
      <t>Alcaldía de Calarcá</t>
    </r>
    <r>
      <rPr>
        <sz val="10"/>
        <rFont val="Calibri"/>
        <family val="2"/>
        <scheme val="minor"/>
      </rPr>
      <t xml:space="preserve">: Jornadas de capacitación en las 17 Instituciones Educativas del Municipio.
</t>
    </r>
    <r>
      <rPr>
        <b/>
        <sz val="10"/>
        <rFont val="Calibri"/>
        <family val="2"/>
        <scheme val="minor"/>
      </rPr>
      <t>Alcaldía de Pijao</t>
    </r>
    <r>
      <rPr>
        <sz val="10"/>
        <rFont val="Calibri"/>
        <family val="2"/>
        <scheme val="minor"/>
      </rPr>
      <t xml:space="preserve">: No cuenta con casos, no se adelanta ninguna acción.
</t>
    </r>
    <r>
      <rPr>
        <b/>
        <sz val="10"/>
        <rFont val="Calibri"/>
        <family val="2"/>
        <scheme val="minor"/>
      </rPr>
      <t xml:space="preserve">IDTQ: </t>
    </r>
    <r>
      <rPr>
        <sz val="10"/>
        <rFont val="Calibri"/>
        <family val="2"/>
        <scheme val="minor"/>
      </rPr>
      <t xml:space="preserve">Se implementó el Programa de formación cultural  de la seguridad en la vial , con el desarrollo de las siguientes actividades: 
1. Capacitación de motociclistas en vía, en normatividad y cultura vial  en los municipios de Montenegro, Salento, Circasia y Filandia.                                                                                                                                                                                                                                                                                               2. Capacitación y sensibilización en moto destrezas,  al personal  de los municipios donde el IDTQ tiene  las competencias,  donde se practicaron habilidades y destrezas para la conducción de motos.                                                                                                                                                                          3. Capacitación a Docentes y Directivas en desarrollo de normatividad, seguridad vial, PESV, en la Institución educativa Jesús Maria Córdoba del municipio de Córdoba .                                                                                                                                                                                                                                                                                           4. Reunión de socialización para la consecución de recursos de la estrategia de movilidad segura y sostenible con la secretaria de salud departamental.                                                                                                                                                                                                                                                       5. Reunión secretaria de salud Departamental relacionada con la implementación del programa y división 6. Soporte en  la señalización para los puntos de derrumbes en la vía.   
</t>
    </r>
    <r>
      <rPr>
        <b/>
        <sz val="10"/>
        <rFont val="Calibri"/>
        <family val="2"/>
        <scheme val="minor"/>
      </rPr>
      <t>Alcaldía de Montenegro:</t>
    </r>
    <r>
      <rPr>
        <sz val="10"/>
        <rFont val="Calibri"/>
        <family val="2"/>
        <scheme val="minor"/>
      </rPr>
      <t xml:space="preserve"> Planes adelantados frente a la movilidad, la educación en seguridad vial, fortalecimiento cultural y el compromiso por la seguridad vial por Montenegro. Una coordinación interinstitucional con policía nacional y agentes de tránsito en un recorrido por el municipio para generar conciencia e impacto en la comunidad
</t>
    </r>
  </si>
  <si>
    <r>
      <rPr>
        <b/>
        <sz val="10"/>
        <rFont val="Calibri"/>
        <family val="2"/>
        <scheme val="minor"/>
      </rPr>
      <t xml:space="preserve">Se ejecutó el seguimiento a la ejecución de los planes de acción en un 100%.                                                 
Secretaría del Interior: </t>
    </r>
    <r>
      <rPr>
        <sz val="10"/>
        <rFont val="Calibri"/>
        <family val="2"/>
        <scheme val="minor"/>
      </rPr>
      <t xml:space="preserve">Se realizó la actualización del plan integral departamental de derechos humanos donde se establece la ruta de protección y el plan de prevención de derechos humanos. Cada municipio tiene el plan integral de prevención de derechos humanos.    
</t>
    </r>
  </si>
  <si>
    <r>
      <t xml:space="preserve">Secretaría del Interior: </t>
    </r>
    <r>
      <rPr>
        <sz val="10"/>
        <rFont val="Calibri"/>
        <family val="2"/>
        <scheme val="minor"/>
      </rPr>
      <t xml:space="preserve">Se consultaron fuentes oficiales como la defensoría del pueblo y no se tiene información referente al reclutamiento de jóvenes víctimas del conflicto armado. Para la prevención se han realizado: Jornada de sensibilización prevención y socialización del reclutamiento forzado y Jornada de sensibilización sobre la trata de personas en el Departamento del Quindío.
</t>
    </r>
    <r>
      <rPr>
        <b/>
        <sz val="10"/>
        <rFont val="Calibri"/>
        <family val="2"/>
        <scheme val="minor"/>
      </rPr>
      <t>Policía Nacional:</t>
    </r>
    <r>
      <rPr>
        <sz val="10"/>
        <rFont val="Calibri"/>
        <family val="2"/>
        <scheme val="minor"/>
      </rPr>
      <t xml:space="preserve"> nos encontramos dando aplicabilidad al programa de prevención  “Abre Tus Ojos” de la Dirección de Protección a la Infancia y adolescencia, en el Departamento del Quindío teniendo en cuenta planes de trabajo internos.   </t>
    </r>
  </si>
  <si>
    <r>
      <t xml:space="preserve">
</t>
    </r>
    <r>
      <rPr>
        <b/>
        <sz val="10"/>
        <rFont val="Calibri"/>
        <family val="2"/>
        <scheme val="minor"/>
      </rPr>
      <t>Alcaldía Quimbaya:</t>
    </r>
    <r>
      <rPr>
        <sz val="10"/>
        <rFont val="Calibri"/>
        <family val="2"/>
        <scheme val="minor"/>
      </rPr>
      <t xml:space="preserve"> Actualmente las siete (7) instituciones educativas cuentan con las Zonas de Orientación Escolar, donde se trabaja el PESCC
</t>
    </r>
    <r>
      <rPr>
        <b/>
        <sz val="10"/>
        <rFont val="Calibri"/>
        <family val="2"/>
        <scheme val="minor"/>
      </rPr>
      <t>Alcaldía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para el primer trimestre no se han realizado acciones pare este indicador, pero se ha adelantado el proceso de convenio por medio del PIC con el ESE San Roque que se encarga de estos proyectos ya que cuenta con el personal idóneo en materia de educación sexual.
</t>
    </r>
    <r>
      <rPr>
        <b/>
        <sz val="10"/>
        <rFont val="Calibri"/>
        <family val="2"/>
        <scheme val="minor"/>
      </rPr>
      <t xml:space="preserve">Alcaldía de Montenegro: </t>
    </r>
    <r>
      <rPr>
        <sz val="10"/>
        <rFont val="Calibri"/>
        <family val="2"/>
        <scheme val="minor"/>
      </rPr>
      <t xml:space="preserve">se han realizado talleres enfocados en el autoestima al igual que talleres sobre la promoción del respeto y la garantía de los derechos sexuales y la igualdad entre hombres y mujeres.
</t>
    </r>
    <r>
      <rPr>
        <b/>
        <sz val="10"/>
        <rFont val="Calibri"/>
        <family val="2"/>
        <scheme val="minor"/>
      </rPr>
      <t xml:space="preserve">Alcaldía de Pijao: </t>
    </r>
    <r>
      <rPr>
        <sz val="10"/>
        <rFont val="Calibri"/>
        <family val="2"/>
        <scheme val="minor"/>
      </rPr>
      <t xml:space="preserve">Se llevó a cabo la proyección de la dimensión de salud sexual, derechos sexuales y reproductivos
</t>
    </r>
    <r>
      <rPr>
        <b/>
        <sz val="10"/>
        <rFont val="Calibri"/>
        <family val="2"/>
        <scheme val="minor"/>
      </rPr>
      <t xml:space="preserve">Alcaldía de Calarcá: </t>
    </r>
    <r>
      <rPr>
        <sz val="10"/>
        <rFont val="Calibri"/>
        <family val="2"/>
        <scheme val="minor"/>
      </rPr>
      <t xml:space="preserve">se realizaron 5 talleres a grupos focales de jóvenes de 14 a 28 años en riesgo en el marco de la implementacion de la política pública de juventud en 4 instituciones educativas del municipio de Calarcá. Por otra parte, se realizó un taller para socializar la ley estatutaria de juventudes con los líderes de consejos estudiantiles de las 14 instituciones del municipio.
</t>
    </r>
    <r>
      <rPr>
        <b/>
        <sz val="10"/>
        <rFont val="Calibri"/>
        <family val="2"/>
        <scheme val="minor"/>
      </rPr>
      <t>Alcaldía de Armenia:</t>
    </r>
    <r>
      <rPr>
        <sz val="10"/>
        <rFont val="Calibri"/>
        <family val="2"/>
        <scheme val="minor"/>
      </rPr>
      <t xml:space="preserve"> Personas sensibilizadas en el cuidado de la salud sexual y derechos sexuales y reproductivos (410 participantes).
A</t>
    </r>
    <r>
      <rPr>
        <b/>
        <sz val="10"/>
        <rFont val="Calibri"/>
        <family val="2"/>
        <scheme val="minor"/>
      </rPr>
      <t>lcaldia Buenavista: L</t>
    </r>
    <r>
      <rPr>
        <sz val="10"/>
        <rFont val="Calibri"/>
        <family val="2"/>
        <scheme val="minor"/>
      </rPr>
      <t xml:space="preserve">as instituciones educativas del municipio, tienen el Proyecto Educativo Institucional PEI, en el cual abordan estos temas por medio de campañas o talleres, también dede la comisaría de familia se realizan campañas a nivel municipal, que involucran a las instituciones educativas.
</t>
    </r>
    <r>
      <rPr>
        <b/>
        <sz val="10"/>
        <rFont val="Calibri"/>
        <family val="2"/>
        <scheme val="minor"/>
      </rPr>
      <t xml:space="preserve">Secretaría de Educación: </t>
    </r>
    <r>
      <rPr>
        <sz val="10"/>
        <rFont val="Calibri"/>
        <family val="2"/>
        <scheme val="minor"/>
      </rPr>
      <t xml:space="preserve">* Cada Institución Educativa tiene dentro de sus objetivos misionales la ejecución de proyectos transversales en torno a educación sexual y construcción de ciudadanía (Gobierno Escolar) los cuales están planeados dentro de su plan de acción institucional y tienen ejecución dentro del año académico. 
* Emprende Líder: Establece la participación de los jóvenes de grados 10 y 11 en la construcción de ciudadanías conscientes para el desarrollo de territorios.  </t>
    </r>
  </si>
  <si>
    <r>
      <rPr>
        <b/>
        <sz val="10"/>
        <rFont val="Calibri"/>
        <family val="2"/>
        <scheme val="minor"/>
      </rPr>
      <t xml:space="preserve">Observación: </t>
    </r>
    <r>
      <rPr>
        <sz val="10"/>
        <rFont val="Calibri"/>
        <family val="2"/>
        <scheme val="minor"/>
      </rPr>
      <t xml:space="preserve">Según el observatorio de Drogas los últimos datos corresponden al año 2013 y el Quindío se sitúa por encima de la media nacional.
</t>
    </r>
    <r>
      <rPr>
        <b/>
        <sz val="10"/>
        <rFont val="Calibri"/>
        <family val="2"/>
        <scheme val="minor"/>
      </rPr>
      <t>Secretaría de Salud:</t>
    </r>
    <r>
      <rPr>
        <sz val="10"/>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envió para revisión la propuesta de Decreto y se ajustó el Plan de Acción para la adopción de la Resolución 089.
</t>
    </r>
    <r>
      <rPr>
        <b/>
        <sz val="10"/>
        <rFont val="Calibri"/>
        <family val="2"/>
        <scheme val="minor"/>
      </rPr>
      <t>Secretaría de Familia</t>
    </r>
    <r>
      <rPr>
        <sz val="10"/>
        <rFont val="Calibri"/>
        <family val="2"/>
        <scheme val="minor"/>
      </rPr>
      <t xml:space="preserve">: La prevalencia de consumo de sustancias psicoactivas en escolares y último año en escolares es del  6,8% según fuente de verificación,  sin embargo la tasa nacional no fue encontrada en esta fuente.
</t>
    </r>
    <r>
      <rPr>
        <b/>
        <sz val="10"/>
        <rFont val="Calibri"/>
        <family val="2"/>
        <scheme val="minor"/>
      </rPr>
      <t>Secretaría de Educación</t>
    </r>
    <r>
      <rPr>
        <sz val="10"/>
        <rFont val="Calibri"/>
        <family val="2"/>
        <scheme val="minor"/>
      </rPr>
      <t xml:space="preserve">: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
</t>
    </r>
    <r>
      <rPr>
        <b/>
        <sz val="10"/>
        <rFont val="Calibri"/>
        <family val="2"/>
        <scheme val="minor"/>
      </rPr>
      <t>Secretaría del Interior:</t>
    </r>
    <r>
      <rPr>
        <sz val="10"/>
        <rFont val="Calibri"/>
        <family val="2"/>
        <scheme val="minor"/>
      </rPr>
      <t xml:space="preserve"> Se tienen 4 jóvenes dentro del programa de seguimiento judicial al tratamiento de drogas en el sistema penal para adolescentes que se encuentran privados de la libertad, para el estudio de sus casos
</t>
    </r>
    <r>
      <rPr>
        <b/>
        <sz val="10"/>
        <rFont val="Calibri"/>
        <family val="2"/>
        <scheme val="minor"/>
      </rPr>
      <t>Alcaldia Armenia:</t>
    </r>
    <r>
      <rPr>
        <sz val="10"/>
        <rFont val="Calibri"/>
        <family val="2"/>
        <scheme val="minor"/>
      </rPr>
      <t xml:space="preserve"> Población cubierta con acciones educativas para el fortalecimiento de habilidades psicosociales y difusión de riesgos relacionados a la salud mental 897.
A</t>
    </r>
    <r>
      <rPr>
        <b/>
        <sz val="10"/>
        <rFont val="Calibri"/>
        <family val="2"/>
        <scheme val="minor"/>
      </rPr>
      <t>lcaldia Montenegro:</t>
    </r>
    <r>
      <rPr>
        <sz val="10"/>
        <rFont val="Calibri"/>
        <family val="2"/>
        <scheme val="minor"/>
      </rPr>
      <t xml:space="preserve"> se han realizado talleres en los colegios sobre prevención al consumo de spa y salud mental al igual que intervenciones para activación de rutas en salud mental
</t>
    </r>
    <r>
      <rPr>
        <b/>
        <sz val="10"/>
        <rFont val="Calibri"/>
        <family val="2"/>
        <scheme val="minor"/>
      </rPr>
      <t>Alcaldia Calarca:</t>
    </r>
    <r>
      <rPr>
        <sz val="10"/>
        <rFont val="Calibri"/>
        <family val="2"/>
        <scheme val="minor"/>
      </rPr>
      <t xml:space="preserve"> se realizó una jornada ppedagogica en articulacion con la subsecretaria de cultura en la fundacion familiar FARO, sede san gabriel del municipio de calarcá 
</t>
    </r>
    <r>
      <rPr>
        <b/>
        <sz val="10"/>
        <rFont val="Calibri"/>
        <family val="2"/>
        <scheme val="minor"/>
      </rPr>
      <t>Alcaldia Buenavista:</t>
    </r>
    <r>
      <rPr>
        <sz val="10"/>
        <rFont val="Calibri"/>
        <family val="2"/>
        <scheme val="minor"/>
      </rPr>
      <t xml:space="preserve"> Las instituciones educativas del municipio, tiene el Proyecto Educativo Institucional PEI, en el cual abordan estos temas por medio de campañas o talleres, tambien dede la comisaria de familia se realizan campañas a nivel municipal, que involucran a las instituciones educativas
</t>
    </r>
    <r>
      <rPr>
        <b/>
        <sz val="10"/>
        <rFont val="Calibri"/>
        <family val="2"/>
        <scheme val="minor"/>
      </rPr>
      <t xml:space="preserve">Alcaldía de Pijao: </t>
    </r>
    <r>
      <rPr>
        <sz val="10"/>
        <rFont val="Calibri"/>
        <family val="2"/>
        <scheme val="minor"/>
      </rPr>
      <t xml:space="preserve">Se llevó a cabo la proyección de la dimensión de salud mental y convivencia social.
</t>
    </r>
    <r>
      <rPr>
        <b/>
        <sz val="10"/>
        <rFont val="Calibri"/>
        <family val="2"/>
        <scheme val="minor"/>
      </rPr>
      <t>Alcaldia Quimbaya:</t>
    </r>
    <r>
      <rPr>
        <sz val="10"/>
        <rFont val="Calibri"/>
        <family val="2"/>
        <scheme val="minor"/>
      </rPr>
      <t xml:space="preserve"> Este indicador no es claro en su medición. El municipio realiza campañas en entornos escolares para prevenir el consumo de sustencias psicoactivas.
</t>
    </r>
  </si>
  <si>
    <r>
      <t xml:space="preserve">
</t>
    </r>
    <r>
      <rPr>
        <b/>
        <sz val="10"/>
        <rFont val="Calibri"/>
        <family val="2"/>
        <scheme val="minor"/>
      </rPr>
      <t xml:space="preserve">Secretaría de Salud: </t>
    </r>
    <r>
      <rPr>
        <sz val="10"/>
        <rFont val="Calibri"/>
        <family val="2"/>
        <scheme val="minor"/>
      </rPr>
      <t xml:space="preserve">Se realizaron talleres pedagógicos con 289 padres de familia y 686 estudiantes para el tema salud sexual y reproductiva en las que se trataron derechos sexuales y reproductivos, prevención del embarazo en adolescentes, prevención del embarazo subsiguiente, ruta y proceso de acercamiento a las IPS para adolescentes.
</t>
    </r>
    <r>
      <rPr>
        <b/>
        <sz val="10"/>
        <rFont val="Calibri"/>
        <family val="2"/>
        <scheme val="minor"/>
      </rPr>
      <t xml:space="preserve">Secretaría de Familia: </t>
    </r>
    <r>
      <rPr>
        <sz val="10"/>
        <rFont val="Calibri"/>
        <family val="2"/>
        <scheme val="minor"/>
      </rPr>
      <t xml:space="preserve">el número de embarazos en menores de 20 años es de 4358 según fuente de verificación. 
</t>
    </r>
    <r>
      <rPr>
        <b/>
        <sz val="10"/>
        <rFont val="Calibri"/>
        <family val="2"/>
        <scheme val="minor"/>
      </rPr>
      <t>Alcaldía Buenavista:</t>
    </r>
    <r>
      <rPr>
        <sz val="10"/>
        <rFont val="Calibri"/>
        <family val="2"/>
        <scheme val="minor"/>
      </rPr>
      <t xml:space="preserve"> Las instituciones educativas del municipio, tiene el Proyecto Educativo Institucional PEI, en el cual abordan estos temas por medio de campañas o talleres, también debe la comisaria de familia se realizan campañas a nivel municipal, que involucran a las instituciones educativas.
</t>
    </r>
    <r>
      <rPr>
        <b/>
        <sz val="10"/>
        <rFont val="Calibri"/>
        <family val="2"/>
        <scheme val="minor"/>
      </rPr>
      <t xml:space="preserve">Alcaldía Armenia: </t>
    </r>
    <r>
      <rPr>
        <sz val="10"/>
        <rFont val="Calibri"/>
        <family val="2"/>
        <scheme val="minor"/>
      </rPr>
      <t xml:space="preserve">Se implementan </t>
    </r>
    <r>
      <rPr>
        <b/>
        <sz val="10"/>
        <rFont val="Calibri"/>
        <family val="2"/>
        <scheme val="minor"/>
      </rPr>
      <t>e</t>
    </r>
    <r>
      <rPr>
        <sz val="10"/>
        <rFont val="Calibri"/>
        <family val="2"/>
        <scheme val="minor"/>
      </rPr>
      <t xml:space="preserve">strategias de garantía de derechos de los jóvenes a través de actividades en prevención de riesgos, para un total de 1102 jóvenes impactados .
</t>
    </r>
    <r>
      <rPr>
        <b/>
        <sz val="10"/>
        <rFont val="Calibri"/>
        <family val="2"/>
        <scheme val="minor"/>
      </rPr>
      <t xml:space="preserve">Alcaldía de Salento: </t>
    </r>
    <r>
      <rPr>
        <sz val="10"/>
        <rFont val="Calibri"/>
        <family val="2"/>
        <scheme val="minor"/>
      </rPr>
      <t xml:space="preserve">Sostenimiento de los programas de atención psicológica establecidos en el municipio.
</t>
    </r>
    <r>
      <rPr>
        <b/>
        <sz val="10"/>
        <rFont val="Calibri"/>
        <family val="2"/>
        <scheme val="minor"/>
      </rPr>
      <t>Alcaldía de Montenegro:</t>
    </r>
    <r>
      <rPr>
        <sz val="10"/>
        <rFont val="Calibri"/>
        <family val="2"/>
        <scheme val="minor"/>
      </rPr>
      <t xml:space="preserve"> al momento se registran 51 embarazos en adolescentes menores de 20 años
</t>
    </r>
    <r>
      <rPr>
        <b/>
        <sz val="10"/>
        <rFont val="Calibri"/>
        <family val="2"/>
        <scheme val="minor"/>
      </rPr>
      <t>Alcaldía de Calarcá</t>
    </r>
    <r>
      <rPr>
        <sz val="10"/>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rFont val="Calibri"/>
        <family val="2"/>
        <scheme val="minor"/>
      </rPr>
      <t xml:space="preserve">ICBF: </t>
    </r>
    <r>
      <rPr>
        <sz val="10"/>
        <rFont val="Calibri"/>
        <family val="2"/>
        <scheme val="minor"/>
      </rPr>
      <t>Formación en Agentes en Derechos Sexuales y Reprouductivos 
Asistencia Téncia en temas de Prevención de Derechos Sexuales y Reproductivos 
Acompañamiento en los PESCC de las I.E del Departamento a demanda de las instotuiones 
*Para el presente trimestre se esta cumplimiento con 73 agentes para la meta total del cuatrenio
A</t>
    </r>
    <r>
      <rPr>
        <b/>
        <sz val="10"/>
        <rFont val="Calibri"/>
        <family val="2"/>
        <scheme val="minor"/>
      </rPr>
      <t xml:space="preserve">lcadia Buenavista:  </t>
    </r>
    <r>
      <rPr>
        <sz val="10"/>
        <rFont val="Calibri"/>
        <family val="2"/>
        <scheme val="minor"/>
      </rPr>
      <t xml:space="preserve">las instituciones educativas del municipio, tiene el Proyecto Educativo Institucional PEI, en el cual abordan estos temas por medio de campañas o talleres, tambien dede la comisaria de familia se realizan campañas a nivel municipal, que involucran a las instituciones educativas.
</t>
    </r>
    <r>
      <rPr>
        <b/>
        <sz val="10"/>
        <rFont val="Calibri"/>
        <family val="2"/>
        <scheme val="minor"/>
      </rPr>
      <t>Alcaldia Calarca:</t>
    </r>
    <r>
      <rPr>
        <sz val="10"/>
        <rFont val="Calibri"/>
        <family val="2"/>
        <scheme val="minor"/>
      </rPr>
      <t xml:space="preserve"> Seguimiento a casos de interés en salud pública, embarazos en adolescentes, celebración de la Semana Andina, conversatorio para la prevención del embarazo y salud sexual en adolescentes.
</t>
    </r>
    <r>
      <rPr>
        <b/>
        <sz val="10"/>
        <rFont val="Calibri"/>
        <family val="2"/>
        <scheme val="minor"/>
      </rPr>
      <t xml:space="preserve">Alcaldía de Pijao: </t>
    </r>
    <r>
      <rPr>
        <sz val="10"/>
        <rFont val="Calibri"/>
        <family val="2"/>
        <scheme val="minor"/>
      </rPr>
      <t xml:space="preserve">Se llevó a cabo la proyección de la dimensión de salud sexual, derechos sexuales y reproductivos.
</t>
    </r>
  </si>
  <si>
    <r>
      <rPr>
        <b/>
        <sz val="10"/>
        <rFont val="Calibri"/>
        <family val="2"/>
        <scheme val="minor"/>
      </rPr>
      <t xml:space="preserve">Indeportes: </t>
    </r>
    <r>
      <rPr>
        <sz val="10"/>
        <rFont val="Calibri"/>
        <family val="2"/>
        <scheme val="minor"/>
      </rPr>
      <t>115 deportistas jóvenes quindianos de alto rendimiento apoyados en la preparación para Juegos Nacionales y Paranacionales 2023.</t>
    </r>
  </si>
  <si>
    <r>
      <rPr>
        <b/>
        <sz val="10"/>
        <rFont val="Calibri"/>
        <family val="2"/>
        <scheme val="minor"/>
      </rPr>
      <t>Indeportes:</t>
    </r>
    <r>
      <rPr>
        <sz val="10"/>
        <rFont val="Calibri"/>
        <family val="2"/>
        <scheme val="minor"/>
      </rPr>
      <t xml:space="preserve"> 20 deportistas jóvenes de alto rendimiento apoyados económicamente de manera mensual</t>
    </r>
  </si>
  <si>
    <r>
      <rPr>
        <b/>
        <sz val="10"/>
        <rFont val="Calibri"/>
        <family val="2"/>
        <scheme val="minor"/>
      </rPr>
      <t>Se beneficiaron en total 7592 jóvenes</t>
    </r>
    <r>
      <rPr>
        <sz val="10"/>
        <rFont val="Calibri"/>
        <family val="2"/>
        <scheme val="minor"/>
      </rPr>
      <t xml:space="preserve">
</t>
    </r>
    <r>
      <rPr>
        <b/>
        <sz val="10"/>
        <rFont val="Calibri"/>
        <family val="2"/>
        <scheme val="minor"/>
      </rPr>
      <t>Alcaldía Salento:</t>
    </r>
    <r>
      <rPr>
        <sz val="10"/>
        <rFont val="Calibri"/>
        <family val="2"/>
        <scheme val="minor"/>
      </rPr>
      <t xml:space="preserve"> Fortalecimiento y apoyo a las Escuelas de Formación Deportiva, reactivación de torneos de fútbol, fútbol de salón.
</t>
    </r>
    <r>
      <rPr>
        <b/>
        <sz val="10"/>
        <rFont val="Calibri"/>
        <family val="2"/>
        <scheme val="minor"/>
      </rPr>
      <t xml:space="preserve">Alcaldía de Buenavista: </t>
    </r>
    <r>
      <rPr>
        <sz val="10"/>
        <rFont val="Calibri"/>
        <family val="2"/>
        <scheme val="minor"/>
      </rPr>
      <t xml:space="preserve"> el Municipio cuenta con grupo de 30 adultos que trabajan de manera semanal aeróbicos y otro grupo de adultos que trabajan de 20 adultos que trabajan actividad física moderada y se cuenta con dos grupos de 60 adultos mayores que trabajan actividad fisica moderada de manera mensual.
</t>
    </r>
    <r>
      <rPr>
        <b/>
        <sz val="10"/>
        <rFont val="Calibri"/>
        <family val="2"/>
        <scheme val="minor"/>
      </rPr>
      <t>Alcaldía Córdoba:</t>
    </r>
    <r>
      <rPr>
        <sz val="10"/>
        <rFont val="Calibri"/>
        <family val="2"/>
        <scheme val="minor"/>
      </rPr>
      <t xml:space="preserve"> Por medio de las escuelas de formación deportiva participan en las actividades físicas un total de 146 personas.
</t>
    </r>
    <r>
      <rPr>
        <b/>
        <sz val="10"/>
        <rFont val="Calibri"/>
        <family val="2"/>
        <scheme val="minor"/>
      </rPr>
      <t>Alcaldia Calarca:</t>
    </r>
    <r>
      <rPr>
        <sz val="10"/>
        <rFont val="Calibri"/>
        <family val="2"/>
        <scheme val="minor"/>
      </rPr>
      <t xml:space="preserve"> Desde la Subsecretaría de educación, recreación y deporte se ofrecen los programas de atletismo, fútbol urbano, fútbol rural, patinaje, voleibol, baloncesto, fútbol de salón, fitnes kits.
</t>
    </r>
    <r>
      <rPr>
        <b/>
        <sz val="10"/>
        <rFont val="Calibri"/>
        <family val="2"/>
        <scheme val="minor"/>
      </rPr>
      <t>Alcaldía de la Tebaida:</t>
    </r>
    <r>
      <rPr>
        <sz val="10"/>
        <rFont val="Calibri"/>
        <family val="2"/>
        <scheme val="minor"/>
      </rPr>
      <t xml:space="preserve">  177 jóvenes reportados por las escuelas deportivas.
</t>
    </r>
    <r>
      <rPr>
        <b/>
        <sz val="10"/>
        <rFont val="Calibri"/>
        <family val="2"/>
        <scheme val="minor"/>
      </rPr>
      <t>Alcaldía Génova:</t>
    </r>
    <r>
      <rPr>
        <sz val="10"/>
        <rFont val="Calibri"/>
        <family val="2"/>
        <scheme val="minor"/>
      </rPr>
      <t xml:space="preserve"> Menores integrados a las actividades de los programas de actividad física y recreación
</t>
    </r>
    <r>
      <rPr>
        <b/>
        <sz val="10"/>
        <rFont val="Calibri"/>
        <family val="2"/>
        <scheme val="minor"/>
      </rPr>
      <t>Alcaldía Armenia:</t>
    </r>
    <r>
      <rPr>
        <sz val="10"/>
        <rFont val="Calibri"/>
        <family val="2"/>
        <scheme val="minor"/>
      </rPr>
      <t xml:space="preserve"> Se implementan escuelas de formación deportiva en diferentes disciplinas, 144 escuelas y  4225 jóvenes impactados 
</t>
    </r>
    <r>
      <rPr>
        <b/>
        <sz val="10"/>
        <rFont val="Calibri"/>
        <family val="2"/>
        <scheme val="minor"/>
      </rPr>
      <t>Alcaldía de Montenegro:</t>
    </r>
    <r>
      <rPr>
        <sz val="10"/>
        <rFont val="Calibri"/>
        <family val="2"/>
        <scheme val="minor"/>
      </rPr>
      <t xml:space="preserve"> vías activas y saludables, festivales, clases monitoreadas, campeonatos de la categoría 10%
</t>
    </r>
    <r>
      <rPr>
        <b/>
        <sz val="10"/>
        <rFont val="Calibri"/>
        <family val="2"/>
        <scheme val="minor"/>
      </rPr>
      <t>Alcaldía Quimbaya:</t>
    </r>
    <r>
      <rPr>
        <sz val="10"/>
        <rFont val="Calibri"/>
        <family val="2"/>
        <scheme val="minor"/>
      </rPr>
      <t xml:space="preserve"> A la fecha de corte del presente trimestre no se aportó la información que de cuenta de este indicador. 
</t>
    </r>
    <r>
      <rPr>
        <b/>
        <sz val="10"/>
        <rFont val="Calibri"/>
        <family val="2"/>
        <scheme val="minor"/>
      </rPr>
      <t xml:space="preserve">Alcaldía de Filandia: </t>
    </r>
    <r>
      <rPr>
        <sz val="10"/>
        <rFont val="Calibri"/>
        <family val="2"/>
        <scheme val="minor"/>
      </rPr>
      <t xml:space="preserve">230 menores.
</t>
    </r>
    <r>
      <rPr>
        <b/>
        <sz val="10"/>
        <rFont val="Calibri"/>
        <family val="2"/>
        <scheme val="minor"/>
      </rPr>
      <t xml:space="preserve">Alcaldía de Pijao: </t>
    </r>
    <r>
      <rPr>
        <sz val="10"/>
        <rFont val="Calibri"/>
        <family val="2"/>
        <scheme val="minor"/>
      </rPr>
      <t xml:space="preserve"> entrenamiento diarios de escuelas deportivas a nivel urbano y rural.
</t>
    </r>
    <r>
      <rPr>
        <b/>
        <sz val="10"/>
        <rFont val="Calibri"/>
        <family val="2"/>
        <scheme val="minor"/>
      </rPr>
      <t>Indeportes:</t>
    </r>
    <r>
      <rPr>
        <sz val="10"/>
        <rFont val="Calibri"/>
        <family val="2"/>
        <scheme val="minor"/>
      </rPr>
      <t xml:space="preserve"> 51 deportistas jóvenes que invierten como mínimo 60 minutos diarios en actividad física con intensidad moderada a vigorosa.
</t>
    </r>
    <r>
      <rPr>
        <b/>
        <sz val="10"/>
        <rFont val="Calibri"/>
        <family val="2"/>
        <scheme val="minor"/>
      </rPr>
      <t>Universidad del Quindío:</t>
    </r>
    <r>
      <rPr>
        <sz val="10"/>
        <rFont val="Calibri"/>
        <family val="2"/>
        <scheme val="minor"/>
      </rPr>
      <t xml:space="preserve"> Se dictaron 20 cursos deportivos de los cuales hacen parte del área temática de actividad física, deportes y recreación de la Universidad del Quindío, los cursos son:
Ajedrez, Atletismo, Bádminton, Balón Mano, Baloncesto, Ultimate, Fútbol, Fútbol Femenino, Porrismo, Tenis De Campo, Tenis De Mesa, Voleibol, Squash, Judo, Karate Do, Tae Kwon Do, Fútbol tenis, Yoga, Pilates, Inclusión Deportiva.
Con un total de 16.475 estudiantes de los cuales el 3% hace parte de la práctica deportiva.
</t>
    </r>
    <r>
      <rPr>
        <b/>
        <sz val="10"/>
        <rFont val="Calibri"/>
        <family val="2"/>
        <scheme val="minor"/>
      </rPr>
      <t xml:space="preserve">Universidad San  Buenaventura: </t>
    </r>
    <r>
      <rPr>
        <sz val="10"/>
        <rFont val="Calibri"/>
        <family val="2"/>
        <scheme val="minor"/>
      </rPr>
      <t xml:space="preserve">En la universidad de San Buenaventura,103 de 122 estudiantes, entre las edades de 19 a 27 años, practican actividad física de 60 minutos 
</t>
    </r>
    <r>
      <rPr>
        <b/>
        <sz val="10"/>
        <rFont val="Calibri"/>
        <family val="2"/>
        <scheme val="minor"/>
      </rPr>
      <t xml:space="preserve">Universidad EAM: </t>
    </r>
    <r>
      <rPr>
        <sz val="10"/>
        <rFont val="Calibri"/>
        <family val="2"/>
        <scheme val="minor"/>
      </rPr>
      <t xml:space="preserve">41 estudiantes en cátedra de deporte formativo (programas de pregrado)
</t>
    </r>
    <r>
      <rPr>
        <b/>
        <sz val="10"/>
        <rFont val="Calibri"/>
        <family val="2"/>
        <scheme val="minor"/>
      </rPr>
      <t>Universidad la Gran Colombia:</t>
    </r>
    <r>
      <rPr>
        <sz val="10"/>
        <rFont val="Calibri"/>
        <family val="2"/>
        <scheme val="minor"/>
      </rPr>
      <t xml:space="preserve"> La UGCA no realizó actividades de promoción de la actividad física con entornos comunitarios.
</t>
    </r>
    <r>
      <rPr>
        <b/>
        <sz val="10"/>
        <rFont val="Calibri"/>
        <family val="2"/>
        <scheme val="minor"/>
      </rPr>
      <t xml:space="preserve">Secretaría de Educación: </t>
    </r>
    <r>
      <rPr>
        <sz val="10"/>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r>
      <rPr>
        <b/>
        <sz val="10"/>
        <rFont val="Calibri"/>
        <family val="2"/>
        <scheme val="minor"/>
      </rPr>
      <t xml:space="preserve">Indeportes: </t>
    </r>
    <r>
      <rPr>
        <sz val="10"/>
        <rFont val="Calibri"/>
        <family val="2"/>
        <scheme val="minor"/>
      </rPr>
      <t xml:space="preserve">115 menores de edad que invierten como mínimo 60 minutos diarios en actividad fisica con intensidad moderada a vigorosa.
</t>
    </r>
    <r>
      <rPr>
        <b/>
        <sz val="10"/>
        <rFont val="Calibri"/>
        <family val="2"/>
        <scheme val="minor"/>
      </rPr>
      <t xml:space="preserve">Universidad Von Humbolt: </t>
    </r>
    <r>
      <rPr>
        <sz val="10"/>
        <rFont val="Calibri"/>
        <family val="2"/>
        <scheme val="minor"/>
      </rPr>
      <t xml:space="preserve">Como Facultad no se desarrolla esta acción, pero a través de la Dirección de Proyección Social, todas las facultades a través de Brigadas en barrios y en veredas se desarrollan alguinas acciones.
</t>
    </r>
  </si>
  <si>
    <r>
      <rPr>
        <b/>
        <sz val="10"/>
        <rFont val="Calibri"/>
        <family val="2"/>
        <scheme val="minor"/>
      </rPr>
      <t xml:space="preserve">
Se beneficiaron: 11693 Personas 79% Por encima de la línea de base de 6500 beneficiados.   
 Alcaldía de Circasia: </t>
    </r>
    <r>
      <rPr>
        <sz val="10"/>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rFont val="Calibri"/>
        <family val="2"/>
        <scheme val="minor"/>
      </rPr>
      <t>Alcaldía de la Tebaida:</t>
    </r>
    <r>
      <rPr>
        <sz val="10"/>
        <rFont val="Calibri"/>
        <family val="2"/>
        <scheme val="minor"/>
      </rPr>
      <t xml:space="preserve">  de acuerdo a lo reportado 8 adultos entre 18 a 28 años se benefician de actividad física
</t>
    </r>
    <r>
      <rPr>
        <b/>
        <sz val="10"/>
        <rFont val="Calibri"/>
        <family val="2"/>
        <scheme val="minor"/>
      </rPr>
      <t>Universidad del Quindío:</t>
    </r>
    <r>
      <rPr>
        <sz val="10"/>
        <rFont val="Calibri"/>
        <family val="2"/>
        <scheme val="minor"/>
      </rPr>
      <t xml:space="preserve"> Se dictaron 20 cursos deportivos de los cuales hacen parte del área temática de actividad física, deportes y recreación de la Universidad del Quindío, los cursos son:
Ajedrez, Atletismo, Bádminton, Balón Mano, Baloncesto, Ultimate, Fútbol, Fútbol Femenino, Porrismo, Tenis De Campo, Tenis De Mesa, Voleibol, Squash, Judo, Karate Do, Tae Kwon Do, Fútbol tenis, Yoga, Pilates, Inclusión Deportiva.
19 selecciones deportivas Representativas: Ajedrez, Atletismo, Bádminton, Balón Mano Ambas Ramas, Baloncesto Ambas Ramas, Disco Volador, Fútbol Ambas Ramas, Fútbol Sala Ambas Ramas, Levantamiento De Pesas, Natación, Porrismo, Tenis De Campo, Tenis De Mesa, Voleibol Ambas Ramas, Triatlón, Squash, Judo, Karate Do, Tae Kwon Do. Con un total 18.091 funcionarios y estudiantes mayores de edad, de los cuales el 3% hace parte de la práctica deportiva.</t>
    </r>
    <r>
      <rPr>
        <b/>
        <sz val="10"/>
        <rFont val="Calibri"/>
        <family val="2"/>
        <scheme val="minor"/>
      </rPr>
      <t xml:space="preserve">
Alcaldía de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Alcaldía de Calarcá: </t>
    </r>
    <r>
      <rPr>
        <sz val="10"/>
        <rFont val="Calibri"/>
        <family val="2"/>
        <scheme val="minor"/>
      </rPr>
      <t>Programa recreativo para adolescencia y juventud y programa recreativo y fitness.</t>
    </r>
    <r>
      <rPr>
        <b/>
        <sz val="10"/>
        <rFont val="Calibri"/>
        <family val="2"/>
        <scheme val="minor"/>
      </rPr>
      <t xml:space="preserve">
Alcaldia Montenegro: </t>
    </r>
    <r>
      <rPr>
        <sz val="10"/>
        <rFont val="Calibri"/>
        <family val="2"/>
        <scheme val="minor"/>
      </rPr>
      <t>Se realiza</t>
    </r>
    <r>
      <rPr>
        <b/>
        <sz val="10"/>
        <rFont val="Calibri"/>
        <family val="2"/>
        <scheme val="minor"/>
      </rPr>
      <t xml:space="preserve"> </t>
    </r>
    <r>
      <rPr>
        <sz val="10"/>
        <rFont val="Calibri"/>
        <family val="2"/>
        <scheme val="minor"/>
      </rPr>
      <t>actividad fisica adulto mayor ,torneos y campeonatos de futlbol para un total de 650 deportistas participando.</t>
    </r>
    <r>
      <rPr>
        <b/>
        <sz val="10"/>
        <rFont val="Calibri"/>
        <family val="2"/>
        <scheme val="minor"/>
      </rPr>
      <t xml:space="preserve">
Alcaldía Filandia: </t>
    </r>
    <r>
      <rPr>
        <sz val="10"/>
        <rFont val="Calibri"/>
        <family val="2"/>
        <scheme val="minor"/>
      </rPr>
      <t xml:space="preserve">270 adultos
</t>
    </r>
    <r>
      <rPr>
        <b/>
        <sz val="10"/>
        <rFont val="Calibri"/>
        <family val="2"/>
        <scheme val="minor"/>
      </rPr>
      <t xml:space="preserve">Alcaldia de pijao:  </t>
    </r>
    <r>
      <rPr>
        <sz val="10"/>
        <rFont val="Calibri"/>
        <family val="2"/>
        <scheme val="minor"/>
      </rPr>
      <t>120 adultos en los diferentes equipos participantes</t>
    </r>
    <r>
      <rPr>
        <b/>
        <sz val="10"/>
        <rFont val="Calibri"/>
        <family val="2"/>
        <scheme val="minor"/>
      </rPr>
      <t xml:space="preserve">
Alcaldía de Buenavista: </t>
    </r>
    <r>
      <rPr>
        <sz val="10"/>
        <rFont val="Calibri"/>
        <family val="2"/>
        <scheme val="minor"/>
      </rPr>
      <t xml:space="preserve"> El municIpio cuenta con un grupo de 30 adultos que trabajan de manera semanal aeróbicos y otro grupo de 20 adultos que trabajan actividad física moderada y también se cuenta con dos grupos de 60 adultos mayores que trabajan actividad fisica moderada de manera mensual.</t>
    </r>
    <r>
      <rPr>
        <b/>
        <sz val="10"/>
        <rFont val="Calibri"/>
        <family val="2"/>
        <scheme val="minor"/>
      </rPr>
      <t xml:space="preserve">
Alcaldía Córdoba: </t>
    </r>
    <r>
      <rPr>
        <sz val="10"/>
        <rFont val="Calibri"/>
        <family val="2"/>
        <scheme val="minor"/>
      </rPr>
      <t xml:space="preserve">Se realizan actividades recreativas, rumba terapias y actividad física con los adultos internos y externos pertenecientes al CBA Hogar Adulto Mayor Humberto López Vázquez, también con los dos grupos de adulto mayor del municipio Amor y vida y Vida Activa. 
La información no puede ser socializada en porcentaje (%) por el municipio. 
</t>
    </r>
    <r>
      <rPr>
        <b/>
        <sz val="10"/>
        <rFont val="Calibri"/>
        <family val="2"/>
        <scheme val="minor"/>
      </rPr>
      <t>Alcaldía de Armenia: Se i</t>
    </r>
    <r>
      <rPr>
        <sz val="10"/>
        <rFont val="Calibri"/>
        <family val="2"/>
        <scheme val="minor"/>
      </rPr>
      <t>mplementan, ejecutan y dotan programas de Hábitos y Estilos de Vida Saludable y Actividad Física</t>
    </r>
    <r>
      <rPr>
        <b/>
        <sz val="10"/>
        <rFont val="Calibri"/>
        <family val="2"/>
        <scheme val="minor"/>
      </rPr>
      <t xml:space="preserve">
Universidad EAM: </t>
    </r>
    <r>
      <rPr>
        <sz val="10"/>
        <rFont val="Calibri"/>
        <family val="2"/>
        <scheme val="minor"/>
      </rPr>
      <t>135 estudiantes en procesos de formación complementaria (deporte formativo)
50 estudiantes en promedio por mes en actividad física en el centro de acondicionamiento físico
5 estudiantes en cátedra de deporte formativo (programas de pregrado)</t>
    </r>
    <r>
      <rPr>
        <b/>
        <sz val="10"/>
        <rFont val="Calibri"/>
        <family val="2"/>
        <scheme val="minor"/>
      </rPr>
      <t xml:space="preserve">
Universidad la Gran Colombia: </t>
    </r>
    <r>
      <rPr>
        <sz val="10"/>
        <rFont val="Calibri"/>
        <family val="2"/>
        <scheme val="minor"/>
      </rPr>
      <t xml:space="preserve">La UGCA no realizó actividades de promoción de la actividad física con entornos comunitarios.
</t>
    </r>
    <r>
      <rPr>
        <b/>
        <sz val="10"/>
        <rFont val="Calibri"/>
        <family val="2"/>
        <scheme val="minor"/>
      </rPr>
      <t xml:space="preserve">Universidad San Buenaventura: </t>
    </r>
    <r>
      <rPr>
        <sz val="10"/>
        <rFont val="Calibri"/>
        <family val="2"/>
        <scheme val="minor"/>
      </rPr>
      <t xml:space="preserve">En la Universidad De San Buenaventura, 19 de 122 estudiantes, entre de las edades de 28 a 46 años,  practican entre 150 y 75 minutos de actividad física
</t>
    </r>
    <r>
      <rPr>
        <b/>
        <sz val="10"/>
        <rFont val="Calibri"/>
        <family val="2"/>
        <scheme val="minor"/>
      </rPr>
      <t>Universidad Von Humbolt:</t>
    </r>
    <r>
      <rPr>
        <sz val="10"/>
        <rFont val="Calibri"/>
        <family val="2"/>
        <scheme val="minor"/>
      </rPr>
      <t xml:space="preserve"> La Facultad no desarrolla este tipo de actividades. Apoya si las activdades de Bienestar Universitario para nuestra comunidad académica.
</t>
    </r>
    <r>
      <rPr>
        <b/>
        <sz val="10"/>
        <rFont val="Calibri"/>
        <family val="2"/>
        <scheme val="minor"/>
      </rPr>
      <t>Indeportes:</t>
    </r>
    <r>
      <rPr>
        <sz val="10"/>
        <rFont val="Calibri"/>
        <family val="2"/>
        <scheme val="minor"/>
      </rPr>
      <t xml:space="preserve"> 358 adultos que  dedican como mínimo 150 minutos semanales a la práctica de actividad física aeróbica, de intensidad moderada, o bien 75 minutos de actividad física aeróbica vigorosa cada semana, o bien una combinación equivalente de actividades moderadas y vigorosas.
</t>
    </r>
  </si>
  <si>
    <r>
      <t xml:space="preserve">Indeportes: </t>
    </r>
    <r>
      <rPr>
        <sz val="10"/>
        <rFont val="Calibri"/>
        <family val="2"/>
        <scheme val="minor"/>
      </rPr>
      <t>11 modalidades de deporte no convencional apoyadas, a través de la asistencia técnica y metodológica y apoyo para realización de exámenes médicos especializados.</t>
    </r>
    <r>
      <rPr>
        <b/>
        <sz val="10"/>
        <rFont val="Calibri"/>
        <family val="2"/>
        <scheme val="minor"/>
      </rPr>
      <t xml:space="preserve">
Alcaldía de La Tebaida: </t>
    </r>
    <r>
      <rPr>
        <sz val="10"/>
        <rFont val="Calibri"/>
        <family val="2"/>
        <scheme val="minor"/>
      </rPr>
      <t>Microfútbol (grupo 01) 21 jóvenes;  Natación 13 jóvenes;  Fútbol 15 jóvenes;  Microfútbol (grupo 02) 24 jóvenes;  Baloncesto 24 jóvenes; Fútbol de mujer 8 jóvenes; Fútbol 12 jóvenes; jóvenes; Nueva modalidad ajedrez 9 jóvenes; Nueva modalidad patinaje 14 jóvenes; Nueva modalidad levantamiento de pesas 07 jóvenes.</t>
    </r>
    <r>
      <rPr>
        <b/>
        <sz val="10"/>
        <rFont val="Calibri"/>
        <family val="2"/>
        <scheme val="minor"/>
      </rPr>
      <t xml:space="preserve">
Alcaldía Buenavista: E</t>
    </r>
    <r>
      <rPr>
        <sz val="10"/>
        <rFont val="Calibri"/>
        <family val="2"/>
        <scheme val="minor"/>
      </rPr>
      <t>l municipio cuenta con un grupo de 10 jóvenes que asisten a campamentos juveniles, el cual es liderado por un contratista de la Gobernación del Quindío.</t>
    </r>
    <r>
      <rPr>
        <b/>
        <sz val="10"/>
        <rFont val="Calibri"/>
        <family val="2"/>
        <scheme val="minor"/>
      </rPr>
      <t xml:space="preserve">
Alcaldía Quimbaya: </t>
    </r>
    <r>
      <rPr>
        <sz val="10"/>
        <rFont val="Calibri"/>
        <family val="2"/>
        <scheme val="minor"/>
      </rPr>
      <t xml:space="preserve">Actualmente se cuenta con escuela formativa de boxeo, tejo y BMX. 
</t>
    </r>
    <r>
      <rPr>
        <b/>
        <sz val="10"/>
        <rFont val="Calibri"/>
        <family val="2"/>
        <scheme val="minor"/>
      </rPr>
      <t xml:space="preserve">Alcaldía Montenegro: </t>
    </r>
    <r>
      <rPr>
        <sz val="10"/>
        <rFont val="Calibri"/>
        <family val="2"/>
        <scheme val="minor"/>
      </rPr>
      <t>4: skatepark, porrismo, gimnasia y hapkido</t>
    </r>
    <r>
      <rPr>
        <b/>
        <sz val="10"/>
        <rFont val="Calibri"/>
        <family val="2"/>
        <scheme val="minor"/>
      </rPr>
      <t xml:space="preserve">
Alcaldia de pijao: </t>
    </r>
    <r>
      <rPr>
        <sz val="10"/>
        <rFont val="Calibri"/>
        <family val="2"/>
        <scheme val="minor"/>
      </rPr>
      <t xml:space="preserve">natacion y patinaje.
</t>
    </r>
    <r>
      <rPr>
        <b/>
        <sz val="10"/>
        <rFont val="Calibri"/>
        <family val="2"/>
        <scheme val="minor"/>
      </rPr>
      <t xml:space="preserve">Alcaldia Armenia: </t>
    </r>
    <r>
      <rPr>
        <sz val="10"/>
        <rFont val="Calibri"/>
        <family val="2"/>
        <scheme val="minor"/>
      </rPr>
      <t>Se implementan mecanismos de asesoría y seguimiento a clubes y organizaciones deportivas fomentando su funcionamiento desde la formalidad y legalidad.</t>
    </r>
  </si>
  <si>
    <r>
      <t>Secretaria de Turismo, Industria y Comercio:</t>
    </r>
    <r>
      <rPr>
        <sz val="10"/>
        <rFont val="Calibri"/>
        <family val="2"/>
        <scheme val="minor"/>
      </rPr>
      <t xml:space="preserve"> Dos alianzas para la promoción del turismo establecidas para jóvenes 
En la Vitrina Turística de ANATO que se llevó a cabo del 22 al 24 de febrero de 2023, participó la empresa turística "Escuela de aves de Salento". 
Así mismo se realizó visita al municipio de Filandia, finca Lusitania, con el fin de conocer las potencialidades del producto de naturaleza de observación de aves.  Para el segundo trimestre no hubo avance del indicador 
</t>
    </r>
    <r>
      <rPr>
        <b/>
        <sz val="10"/>
        <rFont val="Calibri"/>
        <family val="2"/>
        <scheme val="minor"/>
      </rPr>
      <t xml:space="preserve">Secretaría de Familia: </t>
    </r>
    <r>
      <rPr>
        <sz val="10"/>
        <rFont val="Calibri"/>
        <family val="2"/>
        <scheme val="minor"/>
      </rPr>
      <t xml:space="preserve">Informa la promoción del turismo de naturaleza de aventura a través de la participación de la feria ANATO.
</t>
    </r>
    <r>
      <rPr>
        <b/>
        <sz val="10"/>
        <rFont val="Calibri"/>
        <family val="2"/>
        <scheme val="minor"/>
      </rPr>
      <t>Alcaldía Salento:</t>
    </r>
    <r>
      <rPr>
        <sz val="10"/>
        <rFont val="Calibri"/>
        <family val="2"/>
        <scheme val="minor"/>
      </rPr>
      <t xml:space="preserve"> Actividades desarrolladas por parte del programa Cátedra de la Salentinidad hacia las instituciones educativas y población joven del municipio (Capacitación docentes y dotación material pedagógico).
</t>
    </r>
    <r>
      <rPr>
        <b/>
        <sz val="10"/>
        <rFont val="Calibri"/>
        <family val="2"/>
        <scheme val="minor"/>
      </rPr>
      <t>Alcaldía de Córdoba:</t>
    </r>
    <r>
      <rPr>
        <sz val="10"/>
        <rFont val="Calibri"/>
        <family val="2"/>
        <scheme val="minor"/>
      </rPr>
      <t xml:space="preserve">  a la fecha no existen alianzas para la promoción de turismo establecida para jóvenes, sin embargo empresas privadas como Soñarte y Café restaurante 1920, Los cainos, Cáfe mujer  ubicadas en el municipio, fomentan  la promoción de turismo en jóvenes, buscando emplearlos en las diferentes áreas de dichas empresas. 
</t>
    </r>
    <r>
      <rPr>
        <b/>
        <sz val="10"/>
        <rFont val="Calibri"/>
        <family val="2"/>
        <scheme val="minor"/>
      </rPr>
      <t>Alcaldía de Calarcá:</t>
    </r>
    <r>
      <rPr>
        <sz val="10"/>
        <rFont val="Calibri"/>
        <family val="2"/>
        <scheme val="minor"/>
      </rPr>
      <t xml:space="preserve"> Desde la Secretaría de Desarrollo Económico, Ambiental y Comunitario se realizó con la IE Segundo Henao, jornada de socialización sobre el sector turístico del municipio en la Hacienda la Pradera. 
</t>
    </r>
    <r>
      <rPr>
        <b/>
        <sz val="10"/>
        <rFont val="Calibri"/>
        <family val="2"/>
        <scheme val="minor"/>
      </rPr>
      <t>Alcaldía Buenavista:</t>
    </r>
    <r>
      <rPr>
        <sz val="10"/>
        <rFont val="Calibri"/>
        <family val="2"/>
        <scheme val="minor"/>
      </rPr>
      <t xml:space="preserve"> no tiene reportes a la fecha.
</t>
    </r>
    <r>
      <rPr>
        <b/>
        <sz val="10"/>
        <rFont val="Calibri"/>
        <family val="2"/>
        <scheme val="minor"/>
      </rPr>
      <t>Alcaldía Quimbaya:</t>
    </r>
    <r>
      <rPr>
        <sz val="10"/>
        <rFont val="Calibri"/>
        <family val="2"/>
        <scheme val="minor"/>
      </rPr>
      <t xml:space="preserve"> Esta meta no se encuentra programada para ser ejecutada durante el presente trimestre
</t>
    </r>
    <r>
      <rPr>
        <b/>
        <sz val="10"/>
        <rFont val="Calibri"/>
        <family val="2"/>
        <scheme val="minor"/>
      </rPr>
      <t xml:space="preserve">Alcaldia Armenia: </t>
    </r>
    <r>
      <rPr>
        <sz val="10"/>
        <rFont val="Calibri"/>
        <family val="2"/>
        <scheme val="minor"/>
      </rPr>
      <t xml:space="preserve">DESARROLLO ECONOMICO NO REPORTA INFORMACION.
</t>
    </r>
    <r>
      <rPr>
        <b/>
        <sz val="10"/>
        <rFont val="Calibri"/>
        <family val="2"/>
        <scheme val="minor"/>
      </rPr>
      <t xml:space="preserve">Alcaldia Montengro: </t>
    </r>
    <r>
      <rPr>
        <sz val="10"/>
        <rFont val="Calibri"/>
        <family val="2"/>
        <scheme val="minor"/>
      </rPr>
      <t xml:space="preserve">alianza con el instituto - apoyo sobre informacion tutistica.
</t>
    </r>
    <r>
      <rPr>
        <b/>
        <sz val="10"/>
        <rFont val="Calibri"/>
        <family val="2"/>
        <scheme val="minor"/>
      </rPr>
      <t xml:space="preserve">Secretaria de Cultura: </t>
    </r>
    <r>
      <rPr>
        <sz val="10"/>
        <rFont val="Calibri"/>
        <family val="2"/>
        <scheme val="minor"/>
      </rPr>
      <t>Se realizaron un taller orientado a recoger y evaluar las actividades  de lectura crítica y cultural (histórico) con los estudiantes que pertenecen l proyecto del paisaje cultural cafetero de la institución educativa Rafael Uribe Uribe del municipio de Calarcá.
Se realizaron charlas en la semana ambiental titulada amenezas sobre la diversidad acuícola local en la institución educativa mercadotecnia del municipio de Quimbaya,  se abordaron temas como conservación e impactos ambientales.</t>
    </r>
    <r>
      <rPr>
        <b/>
        <sz val="10"/>
        <rFont val="Calibri"/>
        <family val="2"/>
        <scheme val="minor"/>
      </rPr>
      <t xml:space="preserve">
</t>
    </r>
  </si>
  <si>
    <r>
      <rPr>
        <b/>
        <sz val="10"/>
        <rFont val="Calibri"/>
        <family val="2"/>
        <scheme val="minor"/>
      </rPr>
      <t>Secretaría de Cultura:</t>
    </r>
    <r>
      <rPr>
        <sz val="10"/>
        <rFont val="Calibri"/>
        <family val="2"/>
        <scheme val="minor"/>
      </rPr>
      <t xml:space="preserve"> Realización de talleres de tejidos en macramé, trapillo, acabado de manillas con jóvenes del Amparo de niños Juan XXXIII, con asistencia de 34 jóvenes.</t>
    </r>
  </si>
  <si>
    <r>
      <rPr>
        <b/>
        <sz val="10"/>
        <rFont val="Calibri"/>
        <family val="2"/>
        <scheme val="minor"/>
      </rPr>
      <t>Secretaría de Familia</t>
    </r>
    <r>
      <rPr>
        <sz val="10"/>
        <rFont val="Calibri"/>
        <family val="2"/>
        <scheme val="minor"/>
      </rPr>
      <t xml:space="preserve">: Se actualizó un micro sitio en la página web de la Gobernación orientado a difundir y socializar las actividades realizadas en el marco de la implementación de la Política Pública de Juventud.
</t>
    </r>
  </si>
  <si>
    <r>
      <rPr>
        <b/>
        <sz val="10"/>
        <rFont val="Calibri"/>
        <family val="2"/>
        <scheme val="minor"/>
      </rPr>
      <t>Secretaría de Educación:</t>
    </r>
    <r>
      <rPr>
        <sz val="10"/>
        <rFont val="Calibri"/>
        <family val="2"/>
        <scheme val="minor"/>
      </rPr>
      <t xml:space="preserve"> * Participación en proyecto ONDAS Quindío. 43 de 60 proyectos de investigación escolar continúan activos en los propósitos del programa ONDAS el cual es promovido por el Ministerio de Ciencias.
* Desarrollo de alianza institucional para promover la Cultura de la Ciencia, la tecnología y la innovación en las instituciones educativas del departamento.
</t>
    </r>
    <r>
      <rPr>
        <b/>
        <sz val="10"/>
        <rFont val="Calibri"/>
        <family val="2"/>
        <scheme val="minor"/>
      </rPr>
      <t>Universidad del Quindío:</t>
    </r>
    <r>
      <rPr>
        <sz val="10"/>
        <rFont val="Calibri"/>
        <family val="2"/>
        <scheme val="minor"/>
      </rPr>
      <t xml:space="preserve"> Durante el trimestre referenciado, estuvieron en ejecución los siguientes proyectos de investigación, relacionados con dinámicas juveniles: 
Desarrollo, enfoques y retos entre el uso y la apropiación de la interacción tecnología - comunicación - educación en el aula virtual para el aprehender mediático en los programas de CSP de Uniquindío y CSOD de Uniminuto. Análisis del rendimiento académico de los estudiantes de la Universidad del Quindío aplicando técnicas de minería de datos.  Incidencia del camino lector infantil en la formación del adulto - mediador de lectura: un estudio de caso desarrollado con estudiantes de la Licenciatura en Literatura y Lengua Castellana de la Universidad del Quindío Ocio y tiempo libre en la comunidad educativa UNIQUINDIANA.
</t>
    </r>
    <r>
      <rPr>
        <b/>
        <sz val="10"/>
        <rFont val="Calibri"/>
        <family val="2"/>
        <scheme val="minor"/>
      </rPr>
      <t>Secretaría de Familia:</t>
    </r>
    <r>
      <rPr>
        <sz val="10"/>
        <rFont val="Calibri"/>
        <family val="2"/>
        <scheme val="minor"/>
      </rPr>
      <t xml:space="preserve">  Desde la jefatura de juventud no se realizan investigaciones sobre dinámicas juveniles. 
</t>
    </r>
    <r>
      <rPr>
        <b/>
        <sz val="10"/>
        <rFont val="Calibri"/>
        <family val="2"/>
        <scheme val="minor"/>
      </rPr>
      <t>Universidad la Gran Colombia:</t>
    </r>
    <r>
      <rPr>
        <sz val="10"/>
        <rFont val="Calibri"/>
        <family val="2"/>
        <scheme val="minor"/>
      </rPr>
      <t xml:space="preserve"> 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rFont val="Calibri"/>
        <family val="2"/>
        <scheme val="minor"/>
      </rPr>
      <t xml:space="preserve">Universidad San Buenaventura: </t>
    </r>
    <r>
      <rPr>
        <sz val="10"/>
        <rFont val="Calibri"/>
        <family val="2"/>
        <scheme val="minor"/>
      </rPr>
      <t xml:space="preserve">La Universidad De San Buenaventura tiene un proyecto que relaciona las tres facultades y su nombre es: Convivir, Incluir y Cohabitar: imaginarios sobre diversidad en las prácticas cotidianas de dos comunidades de educación superior en Armenia (Q.)
</t>
    </r>
    <r>
      <rPr>
        <b/>
        <sz val="10"/>
        <rFont val="Calibri"/>
        <family val="2"/>
        <scheme val="minor"/>
      </rPr>
      <t>Universidad Vom Humbolt:</t>
    </r>
    <r>
      <rPr>
        <sz val="10"/>
        <rFont val="Calibri"/>
        <family val="2"/>
        <scheme val="minor"/>
      </rPr>
      <t xml:space="preserve"> La Facultad de Ciencias Administrativas en este momento no cuenta con investigaciones relacionadas con dinámicas juveniles.
</t>
    </r>
  </si>
  <si>
    <r>
      <rPr>
        <b/>
        <sz val="10"/>
        <rFont val="Calibri"/>
        <family val="2"/>
        <scheme val="minor"/>
      </rPr>
      <t>Universidad San  Buenaventura</t>
    </r>
    <r>
      <rPr>
        <sz val="10"/>
        <rFont val="Calibri"/>
        <family val="2"/>
        <scheme val="minor"/>
      </rPr>
      <t xml:space="preserve">: La Univerisdad De San Buenaventura tiene las facultades de psicologia, arquitectura y licenciatura en eduacación infantil estan el proceso de desarollo en cursos, seminarios y diplomados para ofertar en el Departamento del Quindio 
</t>
    </r>
    <r>
      <rPr>
        <b/>
        <sz val="10"/>
        <rFont val="Calibri"/>
        <family val="2"/>
        <scheme val="minor"/>
      </rPr>
      <t>Universidad EAM:</t>
    </r>
    <r>
      <rPr>
        <sz val="10"/>
        <rFont val="Calibri"/>
        <family val="2"/>
        <scheme val="minor"/>
      </rPr>
      <t xml:space="preserve">Tres (3) cursos de cátedra de emprendimiento con la participación de 92 estudiantes con una intensidad de 64 horas.
</t>
    </r>
    <r>
      <rPr>
        <b/>
        <sz val="10"/>
        <rFont val="Calibri"/>
        <family val="2"/>
        <scheme val="minor"/>
      </rPr>
      <t>Secretaría de Familia:</t>
    </r>
    <r>
      <rPr>
        <sz val="10"/>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rFont val="Calibri"/>
        <family val="2"/>
        <scheme val="minor"/>
      </rPr>
      <t>Universidad Vom Humbolt:</t>
    </r>
    <r>
      <rPr>
        <sz val="10"/>
        <rFont val="Calibri"/>
        <family val="2"/>
        <scheme val="minor"/>
      </rPr>
      <t xml:space="preserve"> 441 personas impactadas en 5 programas en educación continua.
</t>
    </r>
    <r>
      <rPr>
        <b/>
        <sz val="10"/>
        <rFont val="Calibri"/>
        <family val="2"/>
        <scheme val="minor"/>
      </rPr>
      <t>Universidad la Gran Colombia:</t>
    </r>
    <r>
      <rPr>
        <sz val="10"/>
        <rFont val="Calibri"/>
        <family val="2"/>
        <scheme val="minor"/>
      </rPr>
      <t xml:space="preserve"> 1. Diplomado en Planificación Participativa y Estratégica, el cual ha contado con la participación de 6 jóvenes - Consejeros Territoriales de Planeación.
</t>
    </r>
    <r>
      <rPr>
        <b/>
        <sz val="10"/>
        <rFont val="Calibri"/>
        <family val="2"/>
        <scheme val="minor"/>
      </rPr>
      <t xml:space="preserve"> Secretaría de Educación: </t>
    </r>
    <r>
      <rPr>
        <sz val="10"/>
        <rFont val="Calibri"/>
        <family val="2"/>
        <scheme val="minor"/>
      </rPr>
      <t>* Articulación de la Educación Media con el Servicio Nacional de Aprendizaje SENA en torno a la doble titulación de los estudiantes de grado 10 y 11, fortaleciendo el perfil productivo del territorio y creando una nueva generación de emprendedores jóvenes en el departamento del Quindío.
* Instituciones atendidas con programa de emrpendimiento de la Universidad del Quindío.</t>
    </r>
  </si>
  <si>
    <r>
      <t xml:space="preserve">
</t>
    </r>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</si>
  <si>
    <r>
      <rPr>
        <b/>
        <sz val="10"/>
        <rFont val="Calibri"/>
        <family val="2"/>
        <scheme val="minor"/>
      </rPr>
      <t>Secretaría Familia:</t>
    </r>
    <r>
      <rPr>
        <sz val="10"/>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</si>
  <si>
    <r>
      <t>Secretaría de Planeación</t>
    </r>
    <r>
      <rPr>
        <sz val="10"/>
        <rFont val="Calibri"/>
        <family val="2"/>
        <scheme val="minor"/>
      </rPr>
      <t>: La Secretaria de Planeación coordinó  durante el primer y segundo trimestre  acciones a través de Comité de Aprestamiento, la Rendición Pública de Cuentas de la Administración Departamental vigencia 2022, que se llevó a cabo el día 21 de junio de 2023  ,   en cumplimiento de las  metas del  Plan de Desarrollo 2020-2023 , por medio de las diferentes líneas estratégicas ( Inclusión Social y Equidad, Productividad y Competitividad, Territorio, Ambiente y Desarrollo Sostenible y Liderazgo Gobernabilidad y Transparencia) , en la cual se encuentran descritos logros de la política Pública  de juventud</t>
    </r>
  </si>
  <si>
    <r>
      <rPr>
        <b/>
        <sz val="10"/>
        <rFont val="Calibri"/>
        <family val="2"/>
        <scheme val="minor"/>
      </rPr>
      <t>Secretaría de Familia:</t>
    </r>
    <r>
      <rPr>
        <sz val="10"/>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rFont val="Calibri"/>
        <family val="2"/>
        <scheme val="minor"/>
      </rPr>
      <t>Alcaldia Calarca:</t>
    </r>
    <r>
      <rPr>
        <sz val="10"/>
        <rFont val="Calibri"/>
        <family val="2"/>
        <scheme val="minor"/>
      </rPr>
      <t xml:space="preserve"> el consejo  municipal de juventudes actualmente se encuentra funcionando con 6 consejeros activos los cuales sesionan cada 1 vez al mes.
</t>
    </r>
    <r>
      <rPr>
        <b/>
        <sz val="10"/>
        <rFont val="Calibri"/>
        <family val="2"/>
        <scheme val="minor"/>
      </rPr>
      <t>Alcaldía Tebaida:</t>
    </r>
    <r>
      <rPr>
        <sz val="10"/>
        <rFont val="Calibri"/>
        <family val="2"/>
        <scheme val="minor"/>
      </rPr>
      <t xml:space="preserve"> Consejo de Juventud en funcionamiento,1. El 17 de mayo se realizó entrega de implementación de papelería al consejo de juventud en virtud de que puedan desarrollar sus actividades. 2. El día 06 de junio se llevó a cabo mesa de trabajo con el consejo de juventud y el delegado regional para el eje cafetero. Se discutieron temas de las sesiones del consejo, el reglamento interno y las vacantes del consejo. </t>
    </r>
    <r>
      <rPr>
        <b/>
        <sz val="10"/>
        <rFont val="Calibri"/>
        <family val="2"/>
        <scheme val="minor"/>
      </rPr>
      <t xml:space="preserve">
Alcaldía Buenavista: </t>
    </r>
    <r>
      <rPr>
        <sz val="10"/>
        <rFont val="Calibri"/>
        <family val="2"/>
        <scheme val="minor"/>
      </rPr>
      <t>Se cuenta con un consejo de juventud funcionando y se posesionó por medio del decreto 007 del 11 enero del 2022.</t>
    </r>
    <r>
      <rPr>
        <b/>
        <sz val="10"/>
        <rFont val="Calibri"/>
        <family val="2"/>
        <scheme val="minor"/>
      </rPr>
      <t xml:space="preserve"> 
Alcaldía Córdoba. </t>
    </r>
    <r>
      <rPr>
        <sz val="10"/>
        <rFont val="Calibri"/>
        <family val="2"/>
        <scheme val="minor"/>
      </rPr>
      <t xml:space="preserve">Se cuenta con el consejo municipal de Juventud mediante Resolución Nº06 de enero 11 de 2022. El día 28 de febrero del 2023, realizó sesión ordinaria para la postulación y elección del delegado y/o representante al CDJ. El día 21 de marzo del 2023, realizó sesión ordinaria para la aprobación de la agenda municipal de juventud. 
</t>
    </r>
    <r>
      <rPr>
        <b/>
        <sz val="10"/>
        <rFont val="Calibri"/>
        <family val="2"/>
        <scheme val="minor"/>
      </rPr>
      <t>Alcaldía Montenegro: E</t>
    </r>
    <r>
      <rPr>
        <sz val="10"/>
        <rFont val="Calibri"/>
        <family val="2"/>
        <scheme val="minor"/>
      </rPr>
      <t xml:space="preserve">n el momento tenemos un consejo de juventud, con 04 consejeros en donde al momento no se encuentran operando de una manera activa
</t>
    </r>
    <r>
      <rPr>
        <b/>
        <sz val="10"/>
        <rFont val="Calibri"/>
        <family val="2"/>
        <scheme val="minor"/>
      </rPr>
      <t>Alcaldía Quimbaya:</t>
    </r>
    <r>
      <rPr>
        <sz val="10"/>
        <rFont val="Calibri"/>
        <family val="2"/>
        <scheme val="minor"/>
      </rPr>
      <t xml:space="preserve"> El CMJ se encuentra operando de manera autónoma.
</t>
    </r>
    <r>
      <rPr>
        <b/>
        <sz val="10"/>
        <rFont val="Calibri"/>
        <family val="2"/>
        <scheme val="minor"/>
      </rPr>
      <t>Alcaldía de Pijao:</t>
    </r>
    <r>
      <rPr>
        <sz val="10"/>
        <rFont val="Calibri"/>
        <family val="2"/>
        <scheme val="minor"/>
      </rPr>
      <t xml:space="preserve"> 1 Consejo de Juvetud funcionando. 
</t>
    </r>
    <r>
      <rPr>
        <b/>
        <sz val="10"/>
        <rFont val="Calibri"/>
        <family val="2"/>
        <scheme val="minor"/>
      </rPr>
      <t xml:space="preserve">Alcaldia Armenia: </t>
    </r>
    <r>
      <rPr>
        <sz val="10"/>
        <rFont val="Calibri"/>
        <family val="2"/>
        <scheme val="minor"/>
      </rPr>
      <t xml:space="preserve">1 Consejo Municipal de Juventud el cual se posesionó el día 17 de enero de 2022 resolución 11 de posesión de 2022 19 consejeros.
</t>
    </r>
    <r>
      <rPr>
        <b/>
        <sz val="10"/>
        <rFont val="Calibri"/>
        <family val="2"/>
        <scheme val="minor"/>
      </rPr>
      <t>Alcaldía de Filandia:</t>
    </r>
    <r>
      <rPr>
        <sz val="10"/>
        <rFont val="Calibri"/>
        <family val="2"/>
        <scheme val="minor"/>
      </rPr>
      <t xml:space="preserve"> 1 Consejo de Juventud operando.</t>
    </r>
  </si>
  <si>
    <r>
      <t xml:space="preserve">Secretaría de Familia: </t>
    </r>
    <r>
      <rPr>
        <sz val="10"/>
        <rFont val="Calibri"/>
        <family val="2"/>
        <scheme val="minor"/>
      </rPr>
      <t xml:space="preserve">Reporta que los doce municipios del Quindío, han realizado las asambleas juveniles, conforme al estatuto de ciudadanía juvenil. Además se realizó la asamblea de juventud  departamental de juventud en el recinto de la asamblea departamental en el mes de marzo de 2023.
</t>
    </r>
    <r>
      <rPr>
        <b/>
        <sz val="10"/>
        <rFont val="Calibri"/>
        <family val="2"/>
        <scheme val="minor"/>
      </rPr>
      <t>Alcaldía Tebaida:</t>
    </r>
    <r>
      <rPr>
        <sz val="10"/>
        <rFont val="Calibri"/>
        <family val="2"/>
        <scheme val="minor"/>
      </rPr>
      <t xml:space="preserve"> en este trimestre no se llevó a cabo asamblea de juventud.</t>
    </r>
    <r>
      <rPr>
        <b/>
        <sz val="10"/>
        <rFont val="Calibri"/>
        <family val="2"/>
        <scheme val="minor"/>
      </rPr>
      <t xml:space="preserve">
Alcaldía de Buenavista: S</t>
    </r>
    <r>
      <rPr>
        <sz val="10"/>
        <rFont val="Calibri"/>
        <family val="2"/>
        <scheme val="minor"/>
      </rPr>
      <t>e realizó asamblea de juventud en el mes de junio.</t>
    </r>
    <r>
      <rPr>
        <b/>
        <sz val="10"/>
        <rFont val="Calibri"/>
        <family val="2"/>
        <scheme val="minor"/>
      </rPr>
      <t xml:space="preserve">
Alcaldía de Salento: </t>
    </r>
    <r>
      <rPr>
        <sz val="10"/>
        <rFont val="Calibri"/>
        <family val="2"/>
        <scheme val="minor"/>
      </rPr>
      <t xml:space="preserve">Hasta la fecha se ha realizado una Asamblea Municipal de Juventud, el día 8 de Febrero.
</t>
    </r>
    <r>
      <rPr>
        <b/>
        <sz val="10"/>
        <rFont val="Calibri"/>
        <family val="2"/>
        <scheme val="minor"/>
      </rPr>
      <t>Alcaldia Calarca:</t>
    </r>
    <r>
      <rPr>
        <sz val="10"/>
        <rFont val="Calibri"/>
        <family val="2"/>
        <scheme val="minor"/>
      </rPr>
      <t xml:space="preserve"> se realizó 1 Asamblea de juventudes el 8 de junio del año 2023</t>
    </r>
    <r>
      <rPr>
        <b/>
        <sz val="10"/>
        <rFont val="Calibri"/>
        <family val="2"/>
        <scheme val="minor"/>
      </rPr>
      <t xml:space="preserve">
Alcaldía Quimbaya: </t>
    </r>
    <r>
      <rPr>
        <sz val="10"/>
        <rFont val="Calibri"/>
        <family val="2"/>
        <scheme val="minor"/>
      </rPr>
      <t xml:space="preserve">Se realizó la asamblea municipal de juventud con participación de diferentes sectores juveniles.  </t>
    </r>
    <r>
      <rPr>
        <b/>
        <sz val="10"/>
        <rFont val="Calibri"/>
        <family val="2"/>
        <scheme val="minor"/>
      </rPr>
      <t xml:space="preserve">
Alcaldía Montenegro: </t>
    </r>
    <r>
      <rPr>
        <sz val="10"/>
        <rFont val="Calibri"/>
        <family val="2"/>
        <scheme val="minor"/>
      </rPr>
      <t>Se ha realizado una asamblea de juventud con el fin de socializar el seguimiento a la política pública y las actividades de la semana de la juventud.</t>
    </r>
    <r>
      <rPr>
        <b/>
        <sz val="10"/>
        <rFont val="Calibri"/>
        <family val="2"/>
        <scheme val="minor"/>
      </rPr>
      <t xml:space="preserve">
Alcaldía de Pijao: </t>
    </r>
    <r>
      <rPr>
        <sz val="10"/>
        <rFont val="Calibri"/>
        <family val="2"/>
        <scheme val="minor"/>
      </rPr>
      <t xml:space="preserve">No se han realizado Asambleas de Juventud en este periodo.
</t>
    </r>
    <r>
      <rPr>
        <b/>
        <sz val="10"/>
        <rFont val="Calibri"/>
        <family val="2"/>
        <scheme val="minor"/>
      </rPr>
      <t xml:space="preserve">Alcaldia Armenia: </t>
    </r>
    <r>
      <rPr>
        <sz val="10"/>
        <rFont val="Calibri"/>
        <family val="2"/>
        <scheme val="minor"/>
      </rPr>
      <t xml:space="preserve">1 asamblea juvenil realizada el 18 de febrero de 2023. </t>
    </r>
  </si>
  <si>
    <r>
      <t xml:space="preserve">
Secretaría de Familia: </t>
    </r>
    <r>
      <rPr>
        <sz val="10"/>
        <rFont val="Calibri"/>
        <family val="2"/>
        <scheme val="minor"/>
      </rPr>
      <t>Reporta que los doce municipios del Departamento, han sido asistidos técnicamente desde la Jefatura de Juventud, para la conformación y operación de los sistemas municipales de juventud.</t>
    </r>
    <r>
      <rPr>
        <b/>
        <sz val="10"/>
        <rFont val="Calibri"/>
        <family val="2"/>
        <scheme val="minor"/>
      </rPr>
      <t xml:space="preserve">
Alcaldía de Armenia: </t>
    </r>
    <r>
      <rPr>
        <sz val="10"/>
        <rFont val="Calibri"/>
        <family val="2"/>
        <scheme val="minor"/>
      </rPr>
      <t>A través del Decreto 349 del 09 de noviembre de 2020  se crea el sistema municipal de juventud.</t>
    </r>
    <r>
      <rPr>
        <b/>
        <sz val="10"/>
        <rFont val="Calibri"/>
        <family val="2"/>
        <scheme val="minor"/>
      </rPr>
      <t xml:space="preserve">
Alcaldía de Circasia: </t>
    </r>
    <r>
      <rPr>
        <sz val="10"/>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rFont val="Calibri"/>
        <family val="2"/>
        <scheme val="minor"/>
      </rPr>
      <t xml:space="preserve">
Alcaldía Quimbaya: </t>
    </r>
    <r>
      <rPr>
        <sz val="10"/>
        <rFont val="Calibri"/>
        <family val="2"/>
        <scheme val="minor"/>
      </rPr>
      <t>El municipio de Quimbaya durante el trimestre aportó la información de los delegados departamentales a la plataforma y al consejo de juventud.</t>
    </r>
    <r>
      <rPr>
        <b/>
        <sz val="10"/>
        <rFont val="Calibri"/>
        <family val="2"/>
        <scheme val="minor"/>
      </rPr>
      <t xml:space="preserve">
Alcaldía de Salento: </t>
    </r>
    <r>
      <rPr>
        <sz val="10"/>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rFont val="Calibri"/>
        <family val="2"/>
        <scheme val="minor"/>
      </rPr>
      <t xml:space="preserve">
Alcaldía de Filandia: </t>
    </r>
    <r>
      <rPr>
        <sz val="10"/>
        <rFont val="Calibri"/>
        <family val="2"/>
        <scheme val="minor"/>
      </rPr>
      <t xml:space="preserve">el municipio de Filandia cuenta con Consejo Municipal de Juventud  y Plataforma de Juventud operando. </t>
    </r>
    <r>
      <rPr>
        <b/>
        <sz val="10"/>
        <rFont val="Calibri"/>
        <family val="2"/>
        <scheme val="minor"/>
      </rPr>
      <t xml:space="preserve">
Alcaldía de Calarcá: </t>
    </r>
    <r>
      <rPr>
        <sz val="10"/>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rFont val="Calibri"/>
        <family val="2"/>
        <scheme val="minor"/>
      </rPr>
      <t xml:space="preserve">
Alcaldía de Génova: </t>
    </r>
    <r>
      <rPr>
        <sz val="10"/>
        <rFont val="Calibri"/>
        <family val="2"/>
        <scheme val="minor"/>
      </rPr>
      <t>Plataforma Deptal y Consejo Deptal activo y con delegados de Génova.</t>
    </r>
    <r>
      <rPr>
        <b/>
        <sz val="10"/>
        <rFont val="Calibri"/>
        <family val="2"/>
        <scheme val="minor"/>
      </rPr>
      <t xml:space="preserve">
Alcaldía Pijao: </t>
    </r>
    <r>
      <rPr>
        <sz val="10"/>
        <rFont val="Calibri"/>
        <family val="2"/>
        <scheme val="minor"/>
      </rPr>
      <t xml:space="preserve">Se cuenta con la plataforma Municipal de juventud actualizada, consejo de juventud, cada uno con sus reglamentos internos y en total funcionamiento.
</t>
    </r>
    <r>
      <rPr>
        <b/>
        <sz val="10"/>
        <rFont val="Calibri"/>
        <family val="2"/>
        <scheme val="minor"/>
      </rPr>
      <t>Alcaldiía Córdoba:</t>
    </r>
    <r>
      <rPr>
        <sz val="10"/>
        <rFont val="Calibri"/>
        <family val="2"/>
        <scheme val="minor"/>
      </rPr>
      <t xml:space="preserve"> El Municipio de Córdoba cuenta con el Consejo municipal de juventudes  posesionado mediante Resolución Nº06 de enero 11 de 2022 y la Plataforma de Juventudes mediante Resolución Nº023 de 13 de septiembre de 2022 expedida por la Personería Municipal.
</t>
    </r>
    <r>
      <rPr>
        <b/>
        <sz val="10"/>
        <rFont val="Calibri"/>
        <family val="2"/>
        <scheme val="minor"/>
      </rPr>
      <t xml:space="preserve">Alcaldia Buenavista: </t>
    </r>
    <r>
      <rPr>
        <sz val="10"/>
        <rFont val="Calibri"/>
        <family val="2"/>
        <scheme val="minor"/>
      </rPr>
      <t xml:space="preserve"> Cuenta con los delegados a la diferentes instancias que conforman el Sistema de Juventud.
</t>
    </r>
    <r>
      <rPr>
        <b/>
        <sz val="10"/>
        <rFont val="Calibri"/>
        <family val="2"/>
        <scheme val="minor"/>
      </rPr>
      <t xml:space="preserve">Alcaldia Montenegro: </t>
    </r>
    <r>
      <rPr>
        <sz val="10"/>
        <rFont val="Calibri"/>
        <family val="2"/>
        <scheme val="minor"/>
      </rPr>
      <t>Al</t>
    </r>
    <r>
      <rPr>
        <b/>
        <sz val="10"/>
        <rFont val="Calibri"/>
        <family val="2"/>
        <scheme val="minor"/>
      </rPr>
      <t xml:space="preserve"> </t>
    </r>
    <r>
      <rPr>
        <sz val="10"/>
        <rFont val="Calibri"/>
        <family val="2"/>
        <scheme val="minor"/>
      </rPr>
      <t xml:space="preserve">momento contamos con una plataforma, un consejo de juventud. Sin embargo, la plataforma está funcionando de manera activa pero el consejo se encuentra desarticualdo, solo 1 consejero acompañando los espacios de participación. Por otra parte, se ha cumplido de manera puntual con la asamblea de juventud y con las comisiones de concertación y decisión.
</t>
    </r>
    <r>
      <rPr>
        <b/>
        <sz val="10"/>
        <rFont val="Calibri"/>
        <family val="2"/>
        <scheme val="minor"/>
      </rPr>
      <t xml:space="preserve">Alcadia Calarca: </t>
    </r>
    <r>
      <rPr>
        <sz val="10"/>
        <rFont val="Calibri"/>
        <family val="2"/>
        <scheme val="minor"/>
      </rPr>
      <t>se cuenta con plataforma municipal de juventudes y consejo municipal de juventudes los cuales sesionan 1 vez al mes</t>
    </r>
    <r>
      <rPr>
        <b/>
        <sz val="10"/>
        <rFont val="Calibri"/>
        <family val="2"/>
        <scheme val="minor"/>
      </rPr>
      <t>.</t>
    </r>
    <r>
      <rPr>
        <sz val="10"/>
        <rFont val="Calibri"/>
        <family val="2"/>
        <scheme val="minor"/>
      </rPr>
      <t xml:space="preserve">
</t>
    </r>
  </si>
  <si>
    <r>
      <rPr>
        <b/>
        <sz val="10"/>
        <rFont val="Calibri"/>
        <family val="2"/>
        <scheme val="minor"/>
      </rPr>
      <t xml:space="preserve">
Cámara de Comercio de Armenia y del Quindío:  </t>
    </r>
    <r>
      <rPr>
        <sz val="10"/>
        <rFont val="Calibri"/>
        <family val="2"/>
        <scheme val="minor"/>
      </rPr>
      <t xml:space="preserve">La tasa de desempleo juvenil en la ciudad de Armenia es de 20,5 según el DANE en su último informe publicado
</t>
    </r>
    <r>
      <rPr>
        <b/>
        <sz val="10"/>
        <rFont val="Calibri"/>
        <family val="2"/>
        <scheme val="minor"/>
      </rPr>
      <t>Secretaría de Agricultura:</t>
    </r>
    <r>
      <rPr>
        <sz val="10"/>
        <rFont val="Calibri"/>
        <family val="2"/>
        <scheme val="minor"/>
      </rPr>
      <t xml:space="preserve">  Se aprobaron los proyectos de planta de bioinsumos y proyecto de la plataforma para la captura de informacion en tiempo real del sector agropecuario, con el fin de que la poblacion juvenil puedan hacer parte de este tipo de proyectos, mediante la investigacion y apropiacion del conocimiento.
</t>
    </r>
    <r>
      <rPr>
        <b/>
        <sz val="10"/>
        <rFont val="Calibri"/>
        <family val="2"/>
        <scheme val="minor"/>
      </rPr>
      <t xml:space="preserve">Alcaldía de Filandia: </t>
    </r>
    <r>
      <rPr>
        <sz val="10"/>
        <rFont val="Calibri"/>
        <family val="2"/>
        <scheme val="minor"/>
      </rPr>
      <t xml:space="preserve">55% de jóvenes vinculados laboralmente.
</t>
    </r>
    <r>
      <rPr>
        <b/>
        <sz val="10"/>
        <rFont val="Calibri"/>
        <family val="2"/>
        <scheme val="minor"/>
      </rPr>
      <t xml:space="preserve">Alcaldía Salento: </t>
    </r>
    <r>
      <rPr>
        <sz val="10"/>
        <rFont val="Calibri"/>
        <family val="2"/>
        <scheme val="minor"/>
      </rPr>
      <t xml:space="preserve">Actividades desarrolladas por parte del programa Cátedra de la Salentinidad hacia las instituciones educativas (Capacitacion docentes y dotación material pedagógico)
</t>
    </r>
    <r>
      <rPr>
        <b/>
        <sz val="10"/>
        <rFont val="Calibri"/>
        <family val="2"/>
        <scheme val="minor"/>
      </rPr>
      <t>Alcaldía Córdoba:</t>
    </r>
    <r>
      <rPr>
        <sz val="10"/>
        <rFont val="Calibri"/>
        <family val="2"/>
        <scheme val="minor"/>
      </rPr>
      <t xml:space="preserve"> Esta información no puede ser socializada en porcentaje (%), sin embargo por parte de la Alcaldía Municipal a través de su oficina de empleo se ha realizado 1 feria de empleo con el apoyo y acompañamiento de Comfenalco Quindío, se realizan piezas y publicaciones de ofertas de empleo en los canales digitales y redes sociales de la administración . 
</t>
    </r>
    <r>
      <rPr>
        <b/>
        <sz val="10"/>
        <rFont val="Calibri"/>
        <family val="2"/>
        <scheme val="minor"/>
      </rPr>
      <t>sena:</t>
    </r>
    <r>
      <rPr>
        <sz val="10"/>
        <rFont val="Calibri"/>
        <family val="2"/>
        <scheme val="minor"/>
      </rPr>
      <t xml:space="preserve"> Durante los meses de abril a junio, se realizo orientacion ocupacional a 4440 jovenes a traves de la Agencia Publica de Empleo SENA. De los cuales 959 jovenes quedaron vinculados en las diferentes ofertas laborales en el I semestre del año 2023.
Ademas dentro de la estrategia SENNOVA, se hicieron Actividades de promoción y divulgación de cultura investigadora por medio de proyectos de investigación, Fomento de innovación, Modernización por medio de los Semilleros de investigación y el grupo de investigación
</t>
    </r>
    <r>
      <rPr>
        <b/>
        <sz val="10"/>
        <rFont val="Calibri"/>
        <family val="2"/>
        <scheme val="minor"/>
      </rPr>
      <t xml:space="preserve">Alcaldia Armenia: </t>
    </r>
    <r>
      <rPr>
        <sz val="10"/>
        <rFont val="Calibri"/>
        <family val="2"/>
        <scheme val="minor"/>
      </rPr>
      <t xml:space="preserve">Realizar jornadas de inserción laboral para jóvenes
</t>
    </r>
    <r>
      <rPr>
        <b/>
        <sz val="10"/>
        <rFont val="Calibri"/>
        <family val="2"/>
        <scheme val="minor"/>
      </rPr>
      <t xml:space="preserve">Alcaldía Buenavista: </t>
    </r>
    <r>
      <rPr>
        <sz val="10"/>
        <rFont val="Calibri"/>
        <family val="2"/>
        <scheme val="minor"/>
      </rPr>
      <t xml:space="preserve">se realizó por medio de la agencia de empleo de confenalco Quindio, una jornada de asistencia en el municipio, dirigida a toda la comunidad.
</t>
    </r>
    <r>
      <rPr>
        <b/>
        <sz val="10"/>
        <rFont val="Calibri"/>
        <family val="2"/>
        <scheme val="minor"/>
      </rPr>
      <t xml:space="preserve">Alcaldia Calarca: </t>
    </r>
    <r>
      <rPr>
        <sz val="10"/>
        <rFont val="Calibri"/>
        <family val="2"/>
        <scheme val="minor"/>
      </rPr>
      <t xml:space="preserve">se realizan asesorias, las cuales consisten  en registrar o actualizar la hoja de vida de cada joven en la APE, con el fin de identificar su perfil ocupacional. Seguido a esto se busca una vacante que se ajuste a sus estudios y experiencia (a su perfil laboral); si se encuentra alguna vacante y cumple con todos los requisitos se postula. 
*Las socializaciones consisten sobre la vinculación de la vida laboral y sobre el  manejo de la plataforma Agencia Pública de Empleo para inscripción, actualización, búsqueda de vacantes y postulaciones. 
</t>
    </r>
    <r>
      <rPr>
        <b/>
        <sz val="10"/>
        <rFont val="Calibri"/>
        <family val="2"/>
        <scheme val="minor"/>
      </rPr>
      <t>Alcaldia Quimbaya:</t>
    </r>
    <r>
      <rPr>
        <sz val="10"/>
        <rFont val="Calibri"/>
        <family val="2"/>
        <scheme val="minor"/>
      </rPr>
      <t xml:space="preserve"> El municipio no cuenta con esta informacion estadistica</t>
    </r>
    <r>
      <rPr>
        <b/>
        <sz val="10"/>
        <rFont val="Calibri"/>
        <family val="2"/>
        <scheme val="minor"/>
      </rPr>
      <t xml:space="preserve">
Alcaldía Montenegro: </t>
    </r>
    <r>
      <rPr>
        <sz val="10"/>
        <rFont val="Calibri"/>
        <family val="2"/>
        <scheme val="minor"/>
      </rPr>
      <t xml:space="preserve">al momento no se cuenta con una tasa de desempleo juvenil en el municipio, sin embargo desde la Subsecretría de Desarrollo Social y Educativo se han abierto espacios para que los jóvenes conoscan de algunas ofertas laborales.
</t>
    </r>
    <r>
      <rPr>
        <b/>
        <sz val="10"/>
        <rFont val="Calibri"/>
        <family val="2"/>
        <scheme val="minor"/>
      </rPr>
      <t xml:space="preserve">Alcaldía Pijao: </t>
    </r>
    <r>
      <rPr>
        <sz val="10"/>
        <rFont val="Calibri"/>
        <family val="2"/>
        <scheme val="minor"/>
      </rPr>
      <t xml:space="preserve">convocatorias y apoyo a empresas, recepción de hojas de vida.
</t>
    </r>
  </si>
  <si>
    <r>
      <rPr>
        <b/>
        <sz val="10"/>
        <rFont val="Calibri"/>
        <family val="2"/>
        <scheme val="minor"/>
      </rPr>
      <t xml:space="preserve">Observación: </t>
    </r>
    <r>
      <rPr>
        <sz val="10"/>
        <rFont val="Calibri"/>
        <family val="2"/>
        <scheme val="minor"/>
      </rPr>
      <t>La suma del primero y segundo trimestre del 2023 en cuanto a No de Jóvenes vinculados a proyectos innovadores y de emprendimiento es de 201.</t>
    </r>
    <r>
      <rPr>
        <b/>
        <sz val="10"/>
        <rFont val="Calibri"/>
        <family val="2"/>
        <scheme val="minor"/>
      </rPr>
      <t xml:space="preserve">
Secretaría Turismo, Industria y Comercio: </t>
    </r>
    <r>
      <rPr>
        <sz val="10"/>
        <rFont val="Calibri"/>
        <family val="2"/>
        <scheme val="minor"/>
      </rPr>
      <t xml:space="preserve">Ocho (08) jóvenes vinculados a proyectos innovadores y de emprendimiento en los 12 municipios del departamento del Quindío, en los sectores de industria, agricultura, construcción, comercio, transporte, alojamiento, financiero, educación, entre otros,   a través de servicio de asesoría técnica que presta el CINNE (Centro de Innovación Empresarial), financiado por medio del proyecto de inversión de: "Fortalecimiento del ecosistema de emprendimiento mediante el acompañamiento técnico y servicio de apoyo financiero para emprendedores en el departamento del Quindío." CÓDIGO BPPIN: 2021003630014, financiado con recursos del Sistema General de Regalías (SGR). Donde se busca madurar la idea de negocio, convertirla en un plan de negocio y llegar a fortalecer el emprendimiento hasta con recursos económicos, si llega a cumplir con los requisitos exigidos del fondo emprender SENA.
</t>
    </r>
    <r>
      <rPr>
        <b/>
        <sz val="10"/>
        <rFont val="Calibri"/>
        <family val="2"/>
        <scheme val="minor"/>
      </rPr>
      <t xml:space="preserve">Cámara de Comercio de Armenia y del Quindío: </t>
    </r>
    <r>
      <rPr>
        <sz val="10"/>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rFont val="Calibri"/>
        <family val="2"/>
        <scheme val="minor"/>
      </rPr>
      <t>Secretaría de Agricultura:</t>
    </r>
    <r>
      <rPr>
        <sz val="10"/>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rFont val="Calibri"/>
        <family val="2"/>
        <scheme val="minor"/>
      </rPr>
      <t>SENA:</t>
    </r>
    <r>
      <rPr>
        <sz val="10"/>
        <rFont val="Calibri"/>
        <family val="2"/>
        <scheme val="minor"/>
      </rPr>
      <t xml:space="preserve"> Vinculación de jóvenes en los programas de emprendimiento del Centro de desarrollo Empresarial del SENA Regional Quindío.*28 jóvenes vinculados: 6 en fortalecimiento empresarial, 4 en formulación de fondo emprender y 18 puesta en marcha otras fuentes de financiación.
</t>
    </r>
    <r>
      <rPr>
        <b/>
        <sz val="10"/>
        <rFont val="Calibri"/>
        <family val="2"/>
        <scheme val="minor"/>
      </rPr>
      <t>Universidad del Quindío:</t>
    </r>
    <r>
      <rPr>
        <sz val="10"/>
        <rFont val="Calibri"/>
        <family val="2"/>
        <scheme val="minor"/>
      </rPr>
      <t xml:space="preserve"> Para el presupuesto se cuantifcaron los recursos destinados en especie, que por lo general se relacionan con el rubro de contratación o de asignación de funcionarios al apoyo de dichos procesos.
</t>
    </r>
    <r>
      <rPr>
        <b/>
        <sz val="10"/>
        <rFont val="Calibri"/>
        <family val="2"/>
        <scheme val="minor"/>
      </rPr>
      <t xml:space="preserve">Universidad EAM: </t>
    </r>
    <r>
      <rPr>
        <sz val="10"/>
        <rFont val="Calibri"/>
        <family val="2"/>
        <scheme val="minor"/>
      </rPr>
      <t xml:space="preserve">28 estudiantes con 14 proyectos de creación de empresa y/o emoresa creada (opción de grado programas de pregrado).
</t>
    </r>
    <r>
      <rPr>
        <b/>
        <sz val="10"/>
        <rFont val="Calibri"/>
        <family val="2"/>
        <scheme val="minor"/>
      </rPr>
      <t xml:space="preserve">U Von Humbolt: </t>
    </r>
    <r>
      <rPr>
        <sz val="10"/>
        <rFont val="Calibri"/>
        <family val="2"/>
        <scheme val="minor"/>
      </rPr>
      <t xml:space="preserve">A través de la Ud de Empredimiento Emprendelab de han atendido a cuatro (4) estudiantes de la comunidad académica de la Humboldt, a quienes se les ha acompañado en una ruta de emprendimiento. Asi mismo, a traves de prácticas empresariales se han acompañado a setenta y dos (72) estudiantes del programa de Administración de Empresas, quienes han presentado propuestas de mejora en las empresas
2 graduados con planes de negocio en acompañamiento con 2 emprendimientos
</t>
    </r>
    <r>
      <rPr>
        <b/>
        <sz val="10"/>
        <rFont val="Calibri"/>
        <family val="2"/>
        <scheme val="minor"/>
      </rPr>
      <t>Universidad la Gran Colombia</t>
    </r>
    <r>
      <rPr>
        <sz val="10"/>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rFont val="Calibri"/>
        <family val="2"/>
        <scheme val="minor"/>
      </rPr>
      <t>Alcaldía Buenavista:</t>
    </r>
    <r>
      <rPr>
        <sz val="10"/>
        <rFont val="Calibri"/>
        <family val="2"/>
        <scheme val="minor"/>
      </rPr>
      <t xml:space="preserve"> en Buenavista se cuenta con 8 jóvenes vinculados a un proyecto de emprendimiento que busca formarlos para su vida laboral, y se llama ASOJEX.
</t>
    </r>
    <r>
      <rPr>
        <b/>
        <sz val="10"/>
        <rFont val="Calibri"/>
        <family val="2"/>
        <scheme val="minor"/>
      </rPr>
      <t>Alcaldia Armenia</t>
    </r>
    <r>
      <rPr>
        <sz val="10"/>
        <rFont val="Calibri"/>
        <family val="2"/>
        <scheme val="minor"/>
      </rPr>
      <t xml:space="preserve">: Fomento a espacios de participación y promoción de la Agenda Integrada de Competititividad, Ciencia, Tecnología e Innovación,Se participo activamente en las actividades lideradas por la Gobernación del Quindío para la implementación del Plan reggional de Competitividad las cuales son:
-Socializacion del Plan Regional de Competitividad e Innovacion del Departamento del Quindio
</t>
    </r>
    <r>
      <rPr>
        <b/>
        <sz val="10"/>
        <rFont val="Calibri"/>
        <family val="2"/>
        <scheme val="minor"/>
      </rPr>
      <t>Alcaldía Córdoba</t>
    </r>
    <r>
      <rPr>
        <sz val="10"/>
        <rFont val="Calibri"/>
        <family val="2"/>
        <scheme val="minor"/>
      </rPr>
      <t xml:space="preserve">: Se ha relizado 1 feria gastronómica y de emprendimiento por medio de la Oficina de Turimo Muncipal donde se vincularon 6 jóvenes que poseen emprendimientos e ideas de negocio. 
</t>
    </r>
    <r>
      <rPr>
        <b/>
        <sz val="10"/>
        <rFont val="Calibri"/>
        <family val="2"/>
        <scheme val="minor"/>
      </rPr>
      <t>Alcaldía de Calarcá</t>
    </r>
    <r>
      <rPr>
        <sz val="10"/>
        <rFont val="Calibri"/>
        <family val="2"/>
        <scheme val="minor"/>
      </rPr>
      <t xml:space="preserve">: se realizo convocatoria a jovenes de 14 a 28 años que cuenten con iniciativas juveniles en pro de los jovenes para participar por apoyo de las mismas, asi mismo se realizaron 4 talleres a los jovenes que se postularon con sus propuestas.
</t>
    </r>
    <r>
      <rPr>
        <b/>
        <sz val="10"/>
        <rFont val="Calibri"/>
        <family val="2"/>
        <scheme val="minor"/>
      </rPr>
      <t xml:space="preserve">Alcaldía Filandia: </t>
    </r>
    <r>
      <rPr>
        <sz val="10"/>
        <rFont val="Calibri"/>
        <family val="2"/>
        <scheme val="minor"/>
      </rPr>
      <t xml:space="preserve">12 jóvenes vinculados a proyectos innovadores  y 6 iniciativas empresariales apoyadas.
</t>
    </r>
    <r>
      <rPr>
        <b/>
        <sz val="10"/>
        <rFont val="Calibri"/>
        <family val="2"/>
        <scheme val="minor"/>
      </rPr>
      <t xml:space="preserve">Alcaldía Montenegro: </t>
    </r>
    <r>
      <rPr>
        <sz val="10"/>
        <rFont val="Calibri"/>
        <family val="2"/>
        <scheme val="minor"/>
      </rPr>
      <t xml:space="preserve">no se cuenta en el momento con jovenes vinculados a proyectos innovadores de emprendimiento, sin embargo estamos en la tarea de crear un grupo de jovenes empresarios para fortalecer este proceso
</t>
    </r>
    <r>
      <rPr>
        <b/>
        <sz val="10"/>
        <rFont val="Calibri"/>
        <family val="2"/>
        <scheme val="minor"/>
      </rPr>
      <t>Alcaldía Quimbaya:</t>
    </r>
    <r>
      <rPr>
        <sz val="10"/>
        <rFont val="Calibri"/>
        <family val="2"/>
        <scheme val="minor"/>
      </rPr>
      <t xml:space="preserve"> A través del apoyo a las iniciativas de emprendimiento juvenil se brinda acompañamiento a 40 jóvenes emprendedores.
</t>
    </r>
    <r>
      <rPr>
        <b/>
        <sz val="10"/>
        <rFont val="Calibri"/>
        <family val="2"/>
        <scheme val="minor"/>
      </rPr>
      <t>Alcaldía de Pijao:</t>
    </r>
    <r>
      <rPr>
        <sz val="10"/>
        <rFont val="Calibri"/>
        <family val="2"/>
        <scheme val="minor"/>
      </rPr>
      <t xml:space="preserve"> No cuenta con Jovenes vinculados a proyectos innovadores y de emprendimiento.
</t>
    </r>
    <r>
      <rPr>
        <b/>
        <sz val="10"/>
        <rFont val="Calibri"/>
        <family val="2"/>
        <scheme val="minor"/>
      </rPr>
      <t>Alcaldia Buenavista:</t>
    </r>
    <r>
      <rPr>
        <sz val="10"/>
        <rFont val="Calibri"/>
        <family val="2"/>
        <scheme val="minor"/>
      </rPr>
      <t xml:space="preserve"> en Buenavista se cuenta con 8 jovenes vinculados a un proyecto de emprendimiento que busca formarlos para su vida laboralpor medio de la asociación ASOJEX</t>
    </r>
  </si>
  <si>
    <r>
      <rPr>
        <b/>
        <sz val="10"/>
        <rFont val="Calibri"/>
        <family val="2"/>
        <scheme val="minor"/>
      </rPr>
      <t>Secretaría de Salud:</t>
    </r>
    <r>
      <rPr>
        <sz val="10"/>
        <rFont val="Calibri"/>
        <family val="2"/>
        <scheme val="minor"/>
      </rPr>
      <t xml:space="preserve">  En los 12 municipios del Quindio, se realizaron talleres pedagógicos con 289 padres de familia y 686 estudiantes para el tema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t>
    </r>
  </si>
  <si>
    <r>
      <rPr>
        <b/>
        <sz val="10"/>
        <rFont val="Calibri"/>
        <family val="2"/>
        <scheme val="minor"/>
      </rPr>
      <t xml:space="preserve">Observación: </t>
    </r>
    <r>
      <rPr>
        <sz val="10"/>
        <rFont val="Calibri"/>
        <family val="2"/>
        <scheme val="minor"/>
      </rPr>
      <t>No se encuentra definida la tasa nacional</t>
    </r>
    <r>
      <rPr>
        <b/>
        <sz val="10"/>
        <rFont val="Calibri"/>
        <family val="2"/>
        <scheme val="minor"/>
      </rPr>
      <t xml:space="preserve">
Secretaría del Interior: </t>
    </r>
    <r>
      <rPr>
        <sz val="10"/>
        <rFont val="Calibri"/>
        <family val="2"/>
        <scheme val="minor"/>
      </rPr>
      <t xml:space="preserve">La tasa actual es de  682 por cada 100 mil  jovenes según informe de página JUACO, 2019
</t>
    </r>
    <r>
      <rPr>
        <b/>
        <sz val="10"/>
        <rFont val="Calibri"/>
        <family val="2"/>
        <scheme val="minor"/>
      </rPr>
      <t xml:space="preserve">Comisaria de Familia Buenavista: </t>
    </r>
    <r>
      <rPr>
        <sz val="10"/>
        <rFont val="Calibri"/>
        <family val="2"/>
        <scheme val="minor"/>
      </rPr>
      <t>Se garantizó la operatividad de la mesa de participación de NNA en el municipio de Buenavista Q.        Desde la comisaria de familia se realizan acciones de promoción y prevención por medio de talleres en las instituciones educativas incluidas las sedes rurales, donde se benefician Niños, Niñas Adolescentes y Jóvenes.  en el mes de abril, mayo y junio se realizaron talleres en la institución educativa Rio verde bajo, en la sede los sauces, Sardineros, Paraguay y placer, en  Prevención de violencia en el entorno escolar  e Inteligencia emocional, hábitos y estilos de vida saludables  se realizaron  4 campañas:  "vacúnate contra la violencia " ,   se realizó campaña en articulación con secretaria del interior, ICBF, defensoría del pueblo, donde se socializaron las  funciones de la comisaria de comisaria de familia, derechos y deberes en la institución educativa instituto Buenavista ,  prevención de consumo de  SPA en articulación con la policía nacional,  prevención  para la erradicación del  trabajo infantil  se realizaron  talleres en comunidad indígena de la vereda los sauces  sobre  importancia de la familia en la garantía de derechos y sexualidad.  se realizaron escuelas de familia con el fin de fortalecer las habilidades, salud mental, conocimiento en derechos y deberes de las familias buenavisteñas.</t>
    </r>
    <r>
      <rPr>
        <b/>
        <sz val="10"/>
        <rFont val="Calibri"/>
        <family val="2"/>
        <scheme val="minor"/>
      </rPr>
      <t xml:space="preserve">
Comisaría de Familia La Tebaida</t>
    </r>
    <r>
      <rPr>
        <sz val="10"/>
        <rFont val="Calibri"/>
        <family val="2"/>
        <scheme val="minor"/>
      </rPr>
      <t xml:space="preserve">: 13 DE ABRIL DEL 2023 Por parte del equipo psicosocial de la Comisaria de Familia con acompañamiento de Policía de Infancia y Adolescencia se realiza operativo de requisa en Instituciones educativas priorizadas en el Comité de convivencia escolar, por lo tanto, se brindó dicho acompañamiento en la Institución educativa Pedacito de cielo, Gabriela Mistral y Antonio Nariño; con el fin de prevenir consumo y expendio de sustancias psicoactivas en el entorno escolar. 
11 DE MAYO DEL 2023 Se realizó campaña de prevención de la violencia en la Institución Educativa Antonio Nariño, dicha campaña fue dirigida a la psico-educación de estudiantes y docentes de diferentes grados con el fin de promover las líneas de atención y los espacios de escucha a Niños, Niñas y Adolescentes.                                   14 DE MAYO DEL 2023 Por parte del despacho de la Comisaria de familia y su equipo psicosocial se brindó acompañamiento durante operativo de control a menores de edad, dirigido por Secretaria de Gobierno, Policía Nacional y Ejercito Nacional, en diferentes sectores del municipio, lo anterior con el fin de prevenir el uso de sustancias psicoactivas en menores de edad, permanencia en calle y socializar decreto en horario de restricción a menores de edad.                                27 DE MAYO DEL 2023 Por parte del despacho de la Comisaria de familia y su equipo psicosocial se brindó acompañamiento durante operativo de control a menores de edad en diferentes sectores del municipio, lo anterior con el fin de prevenir el uso de sustancias psicoactivas en menores de edad, permanencia en calle y socializar decreto en horario de restricción a menores de edad.                                 11 DE MAYO DEL 2023 El equipo psicosocial de la Comisaria de Familia hizo parte de la campaña (TE RETO A DECIR NO) sobre prevención de la violencia en entornos escolares y dirigida a Instituciones educativas del municipio, dicha campaña genero impacto a docentes y estudiantes de diferentes grados, así mismo se sustenta la ruta de atención en casos de violencia teniendo en cuenta la Ley 1257 del 2008 .
</t>
    </r>
    <r>
      <rPr>
        <b/>
        <sz val="10"/>
        <rFont val="Calibri"/>
        <family val="2"/>
        <scheme val="minor"/>
      </rPr>
      <t>Comisaría de Familia Córdoba:</t>
    </r>
    <r>
      <rPr>
        <sz val="10"/>
        <rFont val="Calibri"/>
        <family val="2"/>
        <scheme val="minor"/>
      </rPr>
      <t xml:space="preserve"> La Administración municipal cuenta con el Comité Convivencia Escolar, en donde se desarrollaron las cinco (05) sesiones, igualmente se dio cumplimiento con el Plan de Acción. La información no puede ser socializada en porcentaje (%) por el municipio. Igualmente se cuenta con el Comité Civil de Convivencia.  
</t>
    </r>
    <r>
      <rPr>
        <b/>
        <sz val="10"/>
        <rFont val="Calibri"/>
        <family val="2"/>
        <scheme val="minor"/>
      </rPr>
      <t>Comisaria de Familia Génova:</t>
    </r>
    <r>
      <rPr>
        <sz val="10"/>
        <rFont val="Calibri"/>
        <family val="2"/>
        <scheme val="minor"/>
      </rPr>
      <t xml:space="preserve"> Las proyectadas de acuerdo a las actividades de los contratos (Contratista adscrita a la Inspección de Policia Municipal).
</t>
    </r>
    <r>
      <rPr>
        <b/>
        <sz val="10"/>
        <rFont val="Calibri"/>
        <family val="2"/>
        <scheme val="minor"/>
      </rPr>
      <t xml:space="preserve">ICBF: </t>
    </r>
    <r>
      <rPr>
        <sz val="10"/>
        <rFont val="Calibri"/>
        <family val="2"/>
        <scheme val="minor"/>
      </rPr>
      <t xml:space="preserve">Asitencias técnicas, acompañamiento en los comités municipales, divulgación ruta de convivencia escolar.
</t>
    </r>
    <r>
      <rPr>
        <b/>
        <sz val="10"/>
        <rFont val="Calibri"/>
        <family val="2"/>
        <scheme val="minor"/>
      </rPr>
      <t>Alcaldía Montenegro:</t>
    </r>
    <r>
      <rPr>
        <sz val="10"/>
        <rFont val="Calibri"/>
        <family val="2"/>
        <scheme val="minor"/>
      </rPr>
      <t xml:space="preserve"> se realizó junto con jóvenes del barrismo social una actividad en el cae la primavera frente a la violencia por motivos de los colores de los equipos de futbol., actividad en la cual se busca generar conciencia frente a la importancia de la no violencia con otras personas
</t>
    </r>
    <r>
      <rPr>
        <b/>
        <sz val="10"/>
        <rFont val="Calibri"/>
        <family val="2"/>
        <scheme val="minor"/>
      </rPr>
      <t>Alcaldía Buenavista:</t>
    </r>
    <r>
      <rPr>
        <sz val="10"/>
        <rFont val="Calibri"/>
        <family val="2"/>
        <scheme val="minor"/>
      </rPr>
      <t xml:space="preserve"> interpersonal se realizan campañas lideradas por comisaria de familia y se apoyan de manera interinstitucional.
</t>
    </r>
    <r>
      <rPr>
        <b/>
        <sz val="10"/>
        <rFont val="Calibri"/>
        <family val="2"/>
        <scheme val="minor"/>
      </rPr>
      <t>Alcaldía Calarcá:</t>
    </r>
    <r>
      <rPr>
        <sz val="10"/>
        <rFont val="Calibri"/>
        <family val="2"/>
        <scheme val="minor"/>
      </rPr>
      <t xml:space="preserve"> desde los programas de salud mental, discapacidad y juventudes se realizan talleres en instituciones educativas con el fin  de fortalecer la convivencia escolar en estas</t>
    </r>
    <r>
      <rPr>
        <b/>
        <sz val="10"/>
        <rFont val="Calibri"/>
        <family val="2"/>
        <scheme val="minor"/>
      </rPr>
      <t xml:space="preserve">Alcaldía de Pijao: </t>
    </r>
    <r>
      <rPr>
        <sz val="10"/>
        <rFont val="Calibri"/>
        <family val="2"/>
        <scheme val="minor"/>
      </rPr>
      <t xml:space="preserve">No cuenta con casos, no se 
adelanta ninguna acción.
</t>
    </r>
  </si>
  <si>
    <r>
      <t xml:space="preserve">
 No se encuentra definida la tasa nacional
</t>
    </r>
    <r>
      <rPr>
        <b/>
        <sz val="10"/>
        <rFont val="Calibri"/>
        <family val="2"/>
        <scheme val="minor"/>
      </rPr>
      <t xml:space="preserve">Alcaldía Montenegro: </t>
    </r>
    <r>
      <rPr>
        <sz val="10"/>
        <rFont val="Calibri"/>
        <family val="2"/>
        <scheme val="minor"/>
      </rPr>
      <t xml:space="preserve">se han realizado campañas y talleres en las instituciones educativas sobre prevención al sexting, convivencia ciudadana y demás
</t>
    </r>
    <r>
      <rPr>
        <b/>
        <sz val="10"/>
        <rFont val="Calibri"/>
        <family val="2"/>
        <scheme val="minor"/>
      </rPr>
      <t>Alcaldía de Córdoba:</t>
    </r>
    <r>
      <rPr>
        <sz val="10"/>
        <rFont val="Calibri"/>
        <family val="2"/>
        <scheme val="minor"/>
      </rPr>
      <t xml:space="preserve"> Teniendo en cuenta las estadísticas de seguridad de la Estación de Policía, Córdoba cuenta con un 0% de homicidios en el municipio. 
</t>
    </r>
    <r>
      <rPr>
        <b/>
        <sz val="10"/>
        <rFont val="Calibri"/>
        <family val="2"/>
        <scheme val="minor"/>
      </rPr>
      <t xml:space="preserve">Alcaldía de Pijao: </t>
    </r>
    <r>
      <rPr>
        <sz val="10"/>
        <rFont val="Calibri"/>
        <family val="2"/>
        <scheme val="minor"/>
      </rPr>
      <t xml:space="preserve">No cuenta con casos, no se adelanta ninguna acción.
</t>
    </r>
    <r>
      <rPr>
        <b/>
        <sz val="10"/>
        <rFont val="Calibri"/>
        <family val="2"/>
        <scheme val="minor"/>
      </rPr>
      <t xml:space="preserve">Secretaría de Familia: </t>
    </r>
    <r>
      <rPr>
        <sz val="10"/>
        <rFont val="Calibri"/>
        <family val="2"/>
        <scheme val="minor"/>
      </rPr>
      <t xml:space="preserve">Desde la Jefatura de Juventud, se brindan talleres formativos donde de proporcionan herramientas para el diario vivir de los jóvenes.
</t>
    </r>
    <r>
      <rPr>
        <b/>
        <sz val="10"/>
        <rFont val="Calibri"/>
        <family val="2"/>
        <scheme val="minor"/>
      </rPr>
      <t xml:space="preserve">Alcaldía Filandia: </t>
    </r>
    <r>
      <rPr>
        <sz val="10"/>
        <rFont val="Calibri"/>
        <family val="2"/>
        <scheme val="minor"/>
      </rPr>
      <t xml:space="preserve"> El municipio de Filandia no cuenta con homicidios desde hace mas de 5 años.
</t>
    </r>
    <r>
      <rPr>
        <b/>
        <sz val="10"/>
        <rFont val="Calibri"/>
        <family val="2"/>
        <scheme val="minor"/>
      </rPr>
      <t>Secretaría del Interior:</t>
    </r>
    <r>
      <rPr>
        <sz val="10"/>
        <rFont val="Calibri"/>
        <family val="2"/>
        <scheme val="minor"/>
      </rPr>
      <t xml:space="preserve"> La tasa actual es de  56,78 por cada 100 mil jóvenes según informe de página JUACO, 2021.
</t>
    </r>
  </si>
  <si>
    <r>
      <rPr>
        <b/>
        <sz val="10"/>
        <rFont val="Calibri"/>
        <family val="2"/>
        <scheme val="minor"/>
      </rPr>
      <t>Observación</t>
    </r>
    <r>
      <rPr>
        <sz val="10"/>
        <rFont val="Calibri"/>
        <family val="2"/>
        <scheme val="minor"/>
      </rPr>
      <t xml:space="preserve">: No se encuentra definida la tasa nacional
</t>
    </r>
    <r>
      <rPr>
        <b/>
        <sz val="10"/>
        <rFont val="Calibri"/>
        <family val="2"/>
        <scheme val="minor"/>
      </rPr>
      <t xml:space="preserve">Secretaría de Familia: </t>
    </r>
    <r>
      <rPr>
        <sz val="10"/>
        <rFont val="Calibri"/>
        <family val="2"/>
        <scheme val="minor"/>
      </rPr>
      <t>la tasa de suicidios x 100 mil jóvenes es 7,2 según fuente de verificación, sin embargo la tasa nacional no fue encontrada en esta fuente.</t>
    </r>
    <r>
      <rPr>
        <b/>
        <sz val="10"/>
        <rFont val="Calibri"/>
        <family val="2"/>
        <scheme val="minor"/>
      </rPr>
      <t xml:space="preserve">
Secretaría de Salud:</t>
    </r>
    <r>
      <rPr>
        <sz val="10"/>
        <rFont val="Calibri"/>
        <family val="2"/>
        <scheme val="minor"/>
      </rPr>
      <t xml:space="preserve">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t>
    </r>
    <r>
      <rPr>
        <b/>
        <sz val="10"/>
        <rFont val="Calibri"/>
        <family val="2"/>
        <scheme val="minor"/>
      </rPr>
      <t>Alcaldía Génova</t>
    </r>
    <r>
      <rPr>
        <sz val="10"/>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rFont val="Calibri"/>
        <family val="2"/>
        <scheme val="minor"/>
      </rPr>
      <t>Alcaldía de Armenia:</t>
    </r>
    <r>
      <rPr>
        <sz val="10"/>
        <rFont val="Calibri"/>
        <family val="2"/>
        <scheme val="minor"/>
      </rPr>
      <t xml:space="preserve"> Población cubierta con acciones de promoción de factores protectores frente a la conducta suicida, en total 2381 
</t>
    </r>
    <r>
      <rPr>
        <b/>
        <sz val="10"/>
        <rFont val="Calibri"/>
        <family val="2"/>
        <scheme val="minor"/>
      </rPr>
      <t>Alcaldía de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A través del Plan Local de Salud Territorial se implementó la línea de salud mental, con el fin de evitar suicidios en la población del municipio.         
</t>
    </r>
    <r>
      <rPr>
        <b/>
        <sz val="10"/>
        <rFont val="Calibri"/>
        <family val="2"/>
        <scheme val="minor"/>
      </rPr>
      <t xml:space="preserve">Alcaldía de Pijao: </t>
    </r>
    <r>
      <rPr>
        <sz val="10"/>
        <rFont val="Calibri"/>
        <family val="2"/>
        <scheme val="minor"/>
      </rPr>
      <t xml:space="preserve">1 capacitación sobre prevención al suicidio y rutas de atención, en la Institución Educativa Santa Teresita.
</t>
    </r>
    <r>
      <rPr>
        <b/>
        <sz val="10"/>
        <rFont val="Calibri"/>
        <family val="2"/>
        <scheme val="minor"/>
      </rPr>
      <t xml:space="preserve">Alcaldía de Calarcá: </t>
    </r>
    <r>
      <rPr>
        <sz val="10"/>
        <rFont val="Calibri"/>
        <family val="2"/>
        <scheme val="minor"/>
      </rPr>
      <t xml:space="preserve">Se han realizado talleres de prevencion del suicidio, manejo de emociones y habilidades para la vida en diferentes instituciones del municipio de Calarcá 
</t>
    </r>
    <r>
      <rPr>
        <b/>
        <sz val="10"/>
        <rFont val="Calibri"/>
        <family val="2"/>
        <scheme val="minor"/>
      </rPr>
      <t>Secretaría del Interior</t>
    </r>
    <r>
      <rPr>
        <sz val="10"/>
        <rFont val="Calibri"/>
        <family val="2"/>
        <scheme val="minor"/>
      </rPr>
      <t xml:space="preserve">: La tasa actual es de  7.2 por cada 100.000 jóvenes según informe de página JUACO, 2021.
</t>
    </r>
  </si>
  <si>
    <r>
      <rPr>
        <b/>
        <sz val="10"/>
        <rFont val="Calibri"/>
        <family val="2"/>
        <scheme val="minor"/>
      </rPr>
      <t xml:space="preserve">Observación: </t>
    </r>
    <r>
      <rPr>
        <sz val="10"/>
        <rFont val="Calibri"/>
        <family val="2"/>
        <scheme val="minor"/>
      </rPr>
      <t>No se encuentra definida la tasa nacional</t>
    </r>
    <r>
      <rPr>
        <b/>
        <sz val="10"/>
        <rFont val="Calibri"/>
        <family val="2"/>
        <scheme val="minor"/>
      </rPr>
      <t xml:space="preserve">
Secretaría del Interior:</t>
    </r>
    <r>
      <rPr>
        <sz val="10"/>
        <rFont val="Calibri"/>
        <family val="2"/>
        <scheme val="minor"/>
      </rPr>
      <t xml:space="preserve"> Se realizó la actualización del Plan Integral Departamental de Derechos Humanos donde se establece la ruta de protección y el plan de prevención de derechos humanos. Cada municipio tiene el plan integral de prevención de derechos humanos.  
</t>
    </r>
    <r>
      <rPr>
        <b/>
        <sz val="10"/>
        <rFont val="Calibri"/>
        <family val="2"/>
        <scheme val="minor"/>
      </rPr>
      <t xml:space="preserve">Secretaría de Familia: </t>
    </r>
    <r>
      <rPr>
        <sz val="10"/>
        <rFont val="Calibri"/>
        <family val="2"/>
        <scheme val="minor"/>
      </rPr>
      <t xml:space="preserve">la tasa de violencia intrafamiliar x 100 mil jóvenes es del 12,27% según fuente de verificación, sin embargo la tasa nacional no fue encontrada en esta fuente.
</t>
    </r>
  </si>
  <si>
    <r>
      <rPr>
        <b/>
        <sz val="10"/>
        <rFont val="Calibri"/>
        <family val="2"/>
        <scheme val="minor"/>
      </rPr>
      <t xml:space="preserve">Secretaria de Familia: </t>
    </r>
    <r>
      <rPr>
        <sz val="10"/>
        <rFont val="Calibri"/>
        <family val="2"/>
        <scheme val="minor"/>
      </rPr>
      <t xml:space="preserve"> Los datos corresponden a la suma de los dos primeros trimestres 2023.</t>
    </r>
    <r>
      <rPr>
        <b/>
        <sz val="10"/>
        <rFont val="Calibri"/>
        <family val="2"/>
        <scheme val="minor"/>
      </rPr>
      <t xml:space="preserve">
Indeportes: </t>
    </r>
    <r>
      <rPr>
        <sz val="10"/>
        <rFont val="Calibri"/>
        <family val="2"/>
        <scheme val="minor"/>
      </rPr>
      <t xml:space="preserve"> 1 deportista de la Liga de Atletismo del Quindío participó de Torneo en Sevilla-España y 3 deportistas de taekwondo que participaron en campeonato internacional.
</t>
    </r>
    <r>
      <rPr>
        <b/>
        <sz val="10"/>
        <rFont val="Calibri"/>
        <family val="2"/>
        <scheme val="minor"/>
      </rPr>
      <t>Alcaldía de Filandia:</t>
    </r>
    <r>
      <rPr>
        <sz val="10"/>
        <rFont val="Calibri"/>
        <family val="2"/>
        <scheme val="minor"/>
      </rPr>
      <t xml:space="preserve"> 1 joven.
</t>
    </r>
    <r>
      <rPr>
        <b/>
        <sz val="10"/>
        <rFont val="Calibri"/>
        <family val="2"/>
        <scheme val="minor"/>
      </rPr>
      <t>Alcaldía la Tebaida:</t>
    </r>
    <r>
      <rPr>
        <sz val="10"/>
        <rFont val="Calibri"/>
        <family val="2"/>
        <scheme val="minor"/>
      </rPr>
      <t xml:space="preserve"> en el mes de julio se contó con 56 jóvenes para representar al Municipio en los juegos Intercolegiados del Departamento.
</t>
    </r>
    <r>
      <rPr>
        <b/>
        <sz val="10"/>
        <rFont val="Calibri"/>
        <family val="2"/>
        <scheme val="minor"/>
      </rPr>
      <t>Alcaldía Córdoba:</t>
    </r>
    <r>
      <rPr>
        <sz val="10"/>
        <rFont val="Calibri"/>
        <family val="2"/>
        <scheme val="minor"/>
      </rPr>
      <t xml:space="preserve"> se cuenta con las escuelas de formacion deportiva y el centro de alto rendimiento gimnasio, en donde los jóvenes realizan actividad física.  
</t>
    </r>
    <r>
      <rPr>
        <b/>
        <sz val="10"/>
        <rFont val="Calibri"/>
        <family val="2"/>
        <scheme val="minor"/>
      </rPr>
      <t xml:space="preserve">Alcaldía Salento: </t>
    </r>
    <r>
      <rPr>
        <sz val="10"/>
        <rFont val="Calibri"/>
        <family val="2"/>
        <scheme val="minor"/>
      </rPr>
      <t xml:space="preserve">Sostenimiento de los programas de atención psicosocial establecidos en el municipio.
</t>
    </r>
    <r>
      <rPr>
        <b/>
        <sz val="10"/>
        <rFont val="Calibri"/>
        <family val="2"/>
        <scheme val="minor"/>
      </rPr>
      <t xml:space="preserve">Alcaldía de pijao: </t>
    </r>
    <r>
      <rPr>
        <sz val="10"/>
        <rFont val="Calibri"/>
        <family val="2"/>
        <scheme val="minor"/>
      </rPr>
      <t xml:space="preserve">DANIEL VACA atletismo, segundo en los juegos departamentales. Selección juvenil de fútbol, segundo a nivel departamental, selección de fútbol de salon segundos a nivel departamental; baloncesto juvenil tercera a nivel departamental, selección de baloncesto femenina segunda a nivel departamental.
</t>
    </r>
    <r>
      <rPr>
        <b/>
        <sz val="10"/>
        <rFont val="Calibri"/>
        <family val="2"/>
        <scheme val="minor"/>
      </rPr>
      <t>Alcaldia Armenia:</t>
    </r>
    <r>
      <rPr>
        <sz val="10"/>
        <rFont val="Calibri"/>
        <family val="2"/>
        <scheme val="minor"/>
      </rPr>
      <t xml:space="preserve"> Se implementan mecanismos legales de ayudas a deportistas de clubes deportivos y ligas con reconocimiento deportivo.
</t>
    </r>
    <r>
      <rPr>
        <b/>
        <sz val="10"/>
        <rFont val="Calibri"/>
        <family val="2"/>
        <scheme val="minor"/>
      </rPr>
      <t>Alcaldia Montenegro:</t>
    </r>
    <r>
      <rPr>
        <sz val="10"/>
        <rFont val="Calibri"/>
        <family val="2"/>
        <scheme val="minor"/>
      </rPr>
      <t xml:space="preserve"> Se participó en campeonato internacional de hiphop españa</t>
    </r>
  </si>
  <si>
    <r>
      <t xml:space="preserve">  </t>
    </r>
    <r>
      <rPr>
        <b/>
        <sz val="10"/>
        <rFont val="Calibri"/>
        <family val="2"/>
        <scheme val="minor"/>
      </rPr>
      <t>Observacion</t>
    </r>
    <r>
      <rPr>
        <sz val="10"/>
        <rFont val="Calibri"/>
        <family val="2"/>
        <scheme val="minor"/>
      </rPr>
      <t xml:space="preserve">: lo que reporta la secretaria de Cultura no es insumo para reportar avance del indicador planteado
</t>
    </r>
    <r>
      <rPr>
        <b/>
        <sz val="10"/>
        <rFont val="Calibri"/>
        <family val="2"/>
        <scheme val="minor"/>
      </rPr>
      <t xml:space="preserve">Secretaría de Cultura: </t>
    </r>
    <r>
      <rPr>
        <sz val="10"/>
        <rFont val="Calibri"/>
        <family val="2"/>
        <scheme val="minor"/>
      </rPr>
      <t xml:space="preserve"> En el marco  del programa de estímulos "beca de creación",  fueron elegidos 7 jóvenes ganadores del programa. </t>
    </r>
  </si>
  <si>
    <r>
      <rPr>
        <b/>
        <sz val="10"/>
        <rFont val="Calibri"/>
        <family val="2"/>
        <scheme val="minor"/>
      </rPr>
      <t xml:space="preserve">    Observacion:</t>
    </r>
    <r>
      <rPr>
        <sz val="10"/>
        <rFont val="Calibri"/>
        <family val="2"/>
        <scheme val="minor"/>
      </rPr>
      <t xml:space="preserve"> lo que reporta la secretaria de Cultura no es insumo para reportar avance del indicador planteado
</t>
    </r>
    <r>
      <rPr>
        <b/>
        <sz val="10"/>
        <rFont val="Calibri"/>
        <family val="2"/>
        <scheme val="minor"/>
      </rPr>
      <t>Secretaría de Cultura</t>
    </r>
    <r>
      <rPr>
        <sz val="10"/>
        <rFont val="Calibri"/>
        <family val="2"/>
        <scheme val="minor"/>
      </rPr>
      <t xml:space="preserve">: En la convovatoria de concertación se presentó la fundación jóvenes en sociedad. </t>
    </r>
  </si>
  <si>
    <r>
      <rPr>
        <b/>
        <sz val="10"/>
        <rFont val="Calibri"/>
        <family val="2"/>
        <scheme val="minor"/>
      </rPr>
      <t xml:space="preserve">  Observacion:</t>
    </r>
    <r>
      <rPr>
        <sz val="10"/>
        <rFont val="Calibri"/>
        <family val="2"/>
        <scheme val="minor"/>
      </rPr>
      <t xml:space="preserve"> lo que reporta la secretaria de Cultura no es insumo para reportar avance del indicador planteado</t>
    </r>
    <r>
      <rPr>
        <b/>
        <sz val="10"/>
        <rFont val="Calibri"/>
        <family val="2"/>
        <scheme val="minor"/>
      </rPr>
      <t xml:space="preserve">
Secretaría de Cultura:</t>
    </r>
    <r>
      <rPr>
        <sz val="10"/>
        <rFont val="Calibri"/>
        <family val="2"/>
        <scheme val="minor"/>
      </rPr>
      <t xml:space="preserve"> Formación en las diferentes áreas como música, teatro, danza,  artes plásticas en los diferentes municipios de Quimbaya, Circasia, Armenia , Salento, Barcelona, contando con la participación de 334 jóvenes.</t>
    </r>
  </si>
  <si>
    <r>
      <rPr>
        <b/>
        <sz val="10"/>
        <rFont val="Calibri"/>
        <family val="2"/>
        <scheme val="minor"/>
      </rPr>
      <t>Secretaría de Familia:</t>
    </r>
    <r>
      <rPr>
        <sz val="10"/>
        <rFont val="Calibri"/>
        <family val="2"/>
        <scheme val="minor"/>
      </rPr>
      <t xml:space="preserve"> Reporta que en los municipios de Buenavista, Génova, Quimbaya, Circasia, Montenegro, Filandia y Córdoba no ceuntan con Casa de la Juventud.</t>
    </r>
    <r>
      <rPr>
        <b/>
        <sz val="10"/>
        <rFont val="Calibri"/>
        <family val="2"/>
        <scheme val="minor"/>
      </rPr>
      <t xml:space="preserve">
Alcaldía de Salento</t>
    </r>
    <r>
      <rPr>
        <sz val="10"/>
        <rFont val="Calibri"/>
        <family val="2"/>
        <scheme val="minor"/>
      </rPr>
      <t xml:space="preserve">: Casa de la Juventud en funcionamiento, activa la oficina para el CMJ y Plataforma
</t>
    </r>
    <r>
      <rPr>
        <b/>
        <sz val="10"/>
        <rFont val="Calibri"/>
        <family val="2"/>
        <scheme val="minor"/>
      </rPr>
      <t>Alcaldía de Buenavista: S</t>
    </r>
    <r>
      <rPr>
        <sz val="10"/>
        <rFont val="Calibri"/>
        <family val="2"/>
        <scheme val="minor"/>
      </rPr>
      <t xml:space="preserve">e cuenta con una casa de juventud pero no esta funcionando.
</t>
    </r>
    <r>
      <rPr>
        <b/>
        <sz val="10"/>
        <rFont val="Calibri"/>
        <family val="2"/>
        <scheme val="minor"/>
      </rPr>
      <t xml:space="preserve">Alcaldía de Génova: </t>
    </r>
    <r>
      <rPr>
        <sz val="10"/>
        <rFont val="Calibri"/>
        <family val="2"/>
        <scheme val="minor"/>
      </rPr>
      <t xml:space="preserve">No se cuenta con casa de la juventud en el municipio.
</t>
    </r>
    <r>
      <rPr>
        <b/>
        <sz val="10"/>
        <rFont val="Calibri"/>
        <family val="2"/>
        <scheme val="minor"/>
      </rPr>
      <t>Alcaldía Quimbaya:</t>
    </r>
    <r>
      <rPr>
        <sz val="10"/>
        <rFont val="Calibri"/>
        <family val="2"/>
        <scheme val="minor"/>
      </rPr>
      <t xml:space="preserve"> En el municipio de Quimbaya no existe casa de la juventud.
</t>
    </r>
    <r>
      <rPr>
        <b/>
        <sz val="10"/>
        <rFont val="Calibri"/>
        <family val="2"/>
        <scheme val="minor"/>
      </rPr>
      <t xml:space="preserve">Alcaldía de Tebaida: </t>
    </r>
    <r>
      <rPr>
        <sz val="10"/>
        <rFont val="Calibri"/>
        <family val="2"/>
        <scheme val="minor"/>
      </rPr>
      <t xml:space="preserve">Cuenta con una casa de la juventud la cual se encuentra en funcionamiento.
</t>
    </r>
    <r>
      <rPr>
        <b/>
        <sz val="10"/>
        <rFont val="Calibri"/>
        <family val="2"/>
        <scheme val="minor"/>
      </rPr>
      <t>Alcaldía Circasia:</t>
    </r>
    <r>
      <rPr>
        <sz val="10"/>
        <rFont val="Calibri"/>
        <family val="2"/>
        <scheme val="minor"/>
      </rPr>
      <t xml:space="preserve"> No cuenta con casa de la juventud.
</t>
    </r>
    <r>
      <rPr>
        <b/>
        <sz val="10"/>
        <rFont val="Calibri"/>
        <family val="2"/>
        <scheme val="minor"/>
      </rPr>
      <t>Alcaldía de Armenia</t>
    </r>
    <r>
      <rPr>
        <sz val="10"/>
        <rFont val="Calibri"/>
        <family val="2"/>
        <scheme val="minor"/>
      </rPr>
      <t xml:space="preserve">: 1 casa de la juventud funcionando en el barrio 7 de agosto con la estrategia "parche pa todos" 
</t>
    </r>
    <r>
      <rPr>
        <b/>
        <sz val="10"/>
        <rFont val="Calibri"/>
        <family val="2"/>
        <scheme val="minor"/>
      </rPr>
      <t xml:space="preserve">Alcaldía Montenegro: </t>
    </r>
    <r>
      <rPr>
        <sz val="10"/>
        <rFont val="Calibri"/>
        <family val="2"/>
        <scheme val="minor"/>
      </rPr>
      <t xml:space="preserve">al momento contamos con un espacio físico, sin embargo no está dotado de elementos tecnológicos ni logísticos para su operatividad.
</t>
    </r>
    <r>
      <rPr>
        <b/>
        <sz val="10"/>
        <rFont val="Calibri"/>
        <family val="2"/>
        <scheme val="minor"/>
      </rPr>
      <t>Alcaldía de Filandia:</t>
    </r>
    <r>
      <rPr>
        <sz val="10"/>
        <rFont val="Calibri"/>
        <family val="2"/>
        <scheme val="minor"/>
      </rPr>
      <t xml:space="preserve"> El municipio de Filandia cuenta con la casa de la cultura , la cual maneja diversos grupos infantiles y juveniles. </t>
    </r>
    <r>
      <rPr>
        <b/>
        <sz val="10"/>
        <rFont val="Calibri"/>
        <family val="2"/>
        <scheme val="minor"/>
      </rPr>
      <t xml:space="preserve">
Alcaldía Pijao:</t>
    </r>
    <r>
      <rPr>
        <sz val="10"/>
        <rFont val="Calibri"/>
        <family val="2"/>
        <scheme val="minor"/>
      </rPr>
      <t xml:space="preserve"> 1 casa de la juventud funcionando.
 </t>
    </r>
    <r>
      <rPr>
        <b/>
        <sz val="10"/>
        <rFont val="Calibri"/>
        <family val="2"/>
        <scheme val="minor"/>
      </rPr>
      <t xml:space="preserve">Alcaldía de Córdoba: </t>
    </r>
    <r>
      <rPr>
        <sz val="10"/>
        <rFont val="Calibri"/>
        <family val="2"/>
        <scheme val="minor"/>
      </rPr>
      <t xml:space="preserve"> no se cuenta con casa de la Juventud municipal, sin embargo se habilitaron las instalaciones de la casa de la cultura y el Honorable Concejo Municipal para la realizacion de las reuniones juveniles y siempre que sea solicitado un espacio para sus actividades se busca el mas idóneo  para el desarrollo de las mismas. 
</t>
    </r>
  </si>
  <si>
    <r>
      <rPr>
        <b/>
        <sz val="10"/>
        <rFont val="Calibri"/>
        <family val="2"/>
        <scheme val="minor"/>
      </rPr>
      <t xml:space="preserve">
Secretaría de Familia: </t>
    </r>
    <r>
      <rPr>
        <sz val="10"/>
        <rFont val="Calibri"/>
        <family val="2"/>
        <scheme val="minor"/>
      </rPr>
      <t>Reporta que los doce municipios del departamento del Quindío,  tienen Plataforma de Juventud registradas ante personería municipal y funcionando. Además de esto, también se cuenta con Plataforma Departamental de Juventud, la cual está en proceso de actualización.</t>
    </r>
    <r>
      <rPr>
        <b/>
        <sz val="10"/>
        <rFont val="Calibri"/>
        <family val="2"/>
        <scheme val="minor"/>
      </rPr>
      <t xml:space="preserve">
Alcaldía Córdoba:</t>
    </r>
    <r>
      <rPr>
        <sz val="10"/>
        <rFont val="Calibri"/>
        <family val="2"/>
        <scheme val="minor"/>
      </rPr>
      <t xml:space="preserve"> En el Municipio de Córdoba se cuenta con la Plataforma Municipal de Juventud mediante Resolución Nº023 de13 de septiembre de 2022 de la personeria municipal. 
</t>
    </r>
    <r>
      <rPr>
        <b/>
        <sz val="10"/>
        <rFont val="Calibri"/>
        <family val="2"/>
        <scheme val="minor"/>
      </rPr>
      <t>Alcaldía Filandia:</t>
    </r>
    <r>
      <rPr>
        <sz val="10"/>
        <rFont val="Calibri"/>
        <family val="2"/>
        <scheme val="minor"/>
      </rPr>
      <t xml:space="preserve"> 1 en actualización de la línea base.
</t>
    </r>
    <r>
      <rPr>
        <b/>
        <sz val="10"/>
        <rFont val="Calibri"/>
        <family val="2"/>
        <scheme val="minor"/>
      </rPr>
      <t>Alcaldía Buenavista:</t>
    </r>
    <r>
      <rPr>
        <sz val="10"/>
        <rFont val="Calibri"/>
        <family val="2"/>
        <scheme val="minor"/>
      </rPr>
      <t xml:space="preserve"> Se realizó la actualización de la plataforma de juventud en el mes de Abril.
</t>
    </r>
    <r>
      <rPr>
        <b/>
        <sz val="10"/>
        <rFont val="Calibri"/>
        <family val="2"/>
        <scheme val="minor"/>
      </rPr>
      <t xml:space="preserve">Alcaldía Quimbaya: </t>
    </r>
    <r>
      <rPr>
        <sz val="10"/>
        <rFont val="Calibri"/>
        <family val="2"/>
        <scheme val="minor"/>
      </rPr>
      <t xml:space="preserve">La Plataforma Municipal se encuentra funcionando normalmente. 
</t>
    </r>
    <r>
      <rPr>
        <b/>
        <sz val="10"/>
        <rFont val="Calibri"/>
        <family val="2"/>
        <scheme val="minor"/>
      </rPr>
      <t>Alcaldía Montenegro:</t>
    </r>
    <r>
      <rPr>
        <sz val="10"/>
        <rFont val="Calibri"/>
        <family val="2"/>
        <scheme val="minor"/>
      </rPr>
      <t xml:space="preserve"> En el momento contamos con una plataforma activa y funcionando de una manera precisa.</t>
    </r>
    <r>
      <rPr>
        <b/>
        <sz val="10"/>
        <rFont val="Calibri"/>
        <family val="2"/>
        <scheme val="minor"/>
      </rPr>
      <t xml:space="preserve">
Alcaldía La Tebaida:</t>
    </r>
    <r>
      <rPr>
        <sz val="10"/>
        <rFont val="Calibri"/>
        <family val="2"/>
        <scheme val="minor"/>
      </rPr>
      <t xml:space="preserve"> Plataforma de Juventud en funcionamiento,  01. El 17 de mayo se les prestó el espacio del Teatro municipal a miembros de la Plataforma de juventud para realizar un video con el fin de participar en un concurso de arte frente al ministerio de cultura. 
02. El día 23 de mayo se acompañó a los delegados de la Plataforma Municipal a la Plataforma Departamental en donde sesionaron por primera vez y eligieron a los miembros de la comisión de concertación y a los representantes nacionales. 
03. El 17 de junio la Plataforma Municipal  desarrolló en la casa de la cultura un encuentro juvenil de break dance en el cual se tuvo la asistencia de 120 personas. 
</t>
    </r>
    <r>
      <rPr>
        <b/>
        <sz val="10"/>
        <rFont val="Calibri"/>
        <family val="2"/>
        <scheme val="minor"/>
      </rPr>
      <t>Alcaldía de Pijao</t>
    </r>
    <r>
      <rPr>
        <sz val="10"/>
        <rFont val="Calibri"/>
        <family val="2"/>
        <scheme val="minor"/>
      </rPr>
      <t xml:space="preserve">: 1 Consejo de Juventud funcionando.
</t>
    </r>
    <r>
      <rPr>
        <b/>
        <sz val="10"/>
        <rFont val="Calibri"/>
        <family val="2"/>
        <scheme val="minor"/>
      </rPr>
      <t>Alcaldia Armenia:</t>
    </r>
    <r>
      <rPr>
        <sz val="10"/>
        <rFont val="Calibri"/>
        <family val="2"/>
        <scheme val="minor"/>
      </rPr>
      <t xml:space="preserve"> 1 plataforma confrormada bajo resolución expedida por la personería municipal, integrada por 12 organizaciones juveniles. 
</t>
    </r>
  </si>
  <si>
    <r>
      <rPr>
        <b/>
        <sz val="10"/>
        <rFont val="Calibri"/>
        <family val="2"/>
        <scheme val="minor"/>
      </rPr>
      <t xml:space="preserve">Secretaría de Familia: </t>
    </r>
    <r>
      <rPr>
        <sz val="10"/>
        <rFont val="Calibri"/>
        <family val="2"/>
        <scheme val="minor"/>
      </rPr>
      <t xml:space="preserve">Reporta que en el Departamento del Quindío, nueve de los doce municipios cuentan con política pública de juventud formulada y en ejecución. Los municipios que no cuentan con política pública de juventud, son Génova, Córdoba y  Pijao.
</t>
    </r>
    <r>
      <rPr>
        <b/>
        <sz val="10"/>
        <rFont val="Calibri"/>
        <family val="2"/>
        <scheme val="minor"/>
      </rPr>
      <t xml:space="preserve">
Alcaldía de Circasia: </t>
    </r>
    <r>
      <rPr>
        <sz val="10"/>
        <rFont val="Calibri"/>
        <family val="2"/>
        <scheme val="minor"/>
      </rPr>
      <t xml:space="preserve">Cuenta con el Acuerdo Municipal 011 del 29 de mayo de 2015, que adopta la Política Pública de Juventud Municipal "Circasia  para la Juventud" 2015-2024
</t>
    </r>
    <r>
      <rPr>
        <b/>
        <sz val="10"/>
        <rFont val="Calibri"/>
        <family val="2"/>
        <scheme val="minor"/>
      </rPr>
      <t xml:space="preserve">Alcaldía de Salento: </t>
    </r>
    <r>
      <rPr>
        <sz val="10"/>
        <rFont val="Calibri"/>
        <family val="2"/>
        <scheme val="minor"/>
      </rPr>
      <t xml:space="preserve">Salento cuenta con Política Pública de Juventud vigente (Acuerdo Municipal 013 del 15 de Noviembre de 2017), de igual manera, está articulada al Plan de Desarrollo Municipal "Salento Somos Todos" 2020-2023, en conjunto con otras políticas, planes y proyectos de ámbito social.
</t>
    </r>
    <r>
      <rPr>
        <b/>
        <sz val="10"/>
        <rFont val="Calibri"/>
        <family val="2"/>
        <scheme val="minor"/>
      </rPr>
      <t>Alcaldía de Armenia:</t>
    </r>
    <r>
      <rPr>
        <sz val="10"/>
        <rFont val="Calibri"/>
        <family val="2"/>
        <scheme val="minor"/>
      </rPr>
      <t xml:space="preserve"> El Municipio cuenta con la POLÍTICA PÚBLICA JÓVENES "CONSTRUYENDO CIUDAD 2014-2024" adopatada mediante el  DECRETO 169 DEL 11 DE FEBRERO DE 2015 , se realizan dos seguimientos al año de manera semestral y en concordancia en los planes de acción de las diferentes secretrías del municipio, se socializan en el sistema municipal de juventud , Consejo de politica social. 
</t>
    </r>
    <r>
      <rPr>
        <b/>
        <sz val="10"/>
        <rFont val="Calibri"/>
        <family val="2"/>
        <scheme val="minor"/>
      </rPr>
      <t>Alcaldía La  Tebaida:</t>
    </r>
    <r>
      <rPr>
        <sz val="10"/>
        <rFont val="Calibri"/>
        <family val="2"/>
        <scheme val="minor"/>
      </rPr>
      <t xml:space="preserve"> La Administración Municipal, cuenta Política Pública formulada y adoptada mediante el acuerdo municipal 015 de 2019, en el momento se encuentra en etapa de ejecución.
</t>
    </r>
    <r>
      <rPr>
        <b/>
        <sz val="10"/>
        <rFont val="Calibri"/>
        <family val="2"/>
        <scheme val="minor"/>
      </rPr>
      <t>Alcaldía de Quimbaya</t>
    </r>
    <r>
      <rPr>
        <sz val="10"/>
        <rFont val="Calibri"/>
        <family val="2"/>
        <scheme val="minor"/>
      </rPr>
      <t xml:space="preserve">: El Municipio de Quimbaya adoptó la política pública de juventud mediante el acuerdo municipal 016 de 2019.
</t>
    </r>
    <r>
      <rPr>
        <b/>
        <sz val="10"/>
        <rFont val="Calibri"/>
        <family val="2"/>
        <scheme val="minor"/>
      </rPr>
      <t>Alcaldía de Buenavista</t>
    </r>
    <r>
      <rPr>
        <sz val="10"/>
        <rFont val="Calibri"/>
        <family val="2"/>
        <scheme val="minor"/>
      </rPr>
      <t xml:space="preserve">: El Municipio cuenta con la Politica Pública de Juventud, "Buenavista… un lugar para crear, soñar y construir",  adoptada mediante decreto 087 de diciembre 15 de 2017, con 10 años para su ejecución; para lo cual se está implementando y dándole cumplimiento.
</t>
    </r>
    <r>
      <rPr>
        <b/>
        <sz val="10"/>
        <rFont val="Calibri"/>
        <family val="2"/>
        <scheme val="minor"/>
      </rPr>
      <t>Alcaldía Génova:</t>
    </r>
    <r>
      <rPr>
        <sz val="10"/>
        <rFont val="Calibri"/>
        <family val="2"/>
        <scheme val="minor"/>
      </rPr>
      <t xml:space="preserve"> El municipio de Génova se encuentra en etapa de formulación de la política pública de Juventud                         
</t>
    </r>
    <r>
      <rPr>
        <b/>
        <sz val="10"/>
        <rFont val="Calibri"/>
        <family val="2"/>
        <scheme val="minor"/>
      </rPr>
      <t>Alcaldía de Montenegro:</t>
    </r>
    <r>
      <rPr>
        <sz val="10"/>
        <rFont val="Calibri"/>
        <family val="2"/>
        <scheme val="minor"/>
      </rPr>
      <t xml:space="preserve"> el Municipio de Montenegro cuenta con Política Pública de Juventud, la cual fue adoptada  bajo el acuerdo 07 de septiembre de 2022, al momento se encuentra en ejecución.
</t>
    </r>
    <r>
      <rPr>
        <b/>
        <sz val="10"/>
        <rFont val="Calibri"/>
        <family val="2"/>
        <scheme val="minor"/>
      </rPr>
      <t>Alcaldía de Filandia</t>
    </r>
    <r>
      <rPr>
        <sz val="10"/>
        <rFont val="Calibri"/>
        <family val="2"/>
        <scheme val="minor"/>
      </rPr>
      <t xml:space="preserve">: El  municipio de Filandia cuenta con política de juventud adoptada bajo acuerdo N°021 de 2019, cuya medición se realiza en el COMPOS municipal.
</t>
    </r>
    <r>
      <rPr>
        <b/>
        <sz val="10"/>
        <rFont val="Calibri"/>
        <family val="2"/>
        <scheme val="minor"/>
      </rPr>
      <t xml:space="preserve">Alcaldía de Pijao: </t>
    </r>
    <r>
      <rPr>
        <sz val="10"/>
        <rFont val="Calibri"/>
        <family val="2"/>
        <scheme val="minor"/>
      </rPr>
      <t xml:space="preserve">No cuenta con Política Pública.
</t>
    </r>
    <r>
      <rPr>
        <b/>
        <sz val="10"/>
        <rFont val="Calibri"/>
        <family val="2"/>
        <scheme val="minor"/>
      </rPr>
      <t>Alcaldía de Córdoba:</t>
    </r>
    <r>
      <rPr>
        <sz val="10"/>
        <rFont val="Calibri"/>
        <family val="2"/>
        <scheme val="minor"/>
      </rPr>
      <t xml:space="preserve"> El municipio no cuenta con la política pública de juventud implementada, sin embargo se realizan actividades teniendo en cuenta la Política Departamental de Juventud. 
</t>
    </r>
    <r>
      <rPr>
        <b/>
        <sz val="10"/>
        <rFont val="Calibri"/>
        <family val="2"/>
        <scheme val="minor"/>
      </rPr>
      <t>Alcaldía Calarcá:</t>
    </r>
    <r>
      <rPr>
        <sz val="10"/>
        <rFont val="Calibri"/>
        <family val="2"/>
        <scheme val="minor"/>
      </rPr>
      <t xml:space="preserve"> El Municipio cuenta con la Política Pública de Juventudes "LOS JÓVENES SOMOS EL CAMBIO" adopata mediante el acuerdo municipal 019 del 06 de septiembre de 2018. 
</t>
    </r>
  </si>
  <si>
    <r>
      <t xml:space="preserve">Secretaría de Familia: </t>
    </r>
    <r>
      <rPr>
        <sz val="10"/>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r>
      <rPr>
        <b/>
        <sz val="10"/>
        <rFont val="Calibri"/>
        <family val="2"/>
        <scheme val="minor"/>
      </rPr>
      <t xml:space="preserve">
Alcaldía de Salento: </t>
    </r>
    <r>
      <rPr>
        <sz val="10"/>
        <rFont val="Calibri"/>
        <family val="2"/>
        <scheme val="minor"/>
      </rPr>
      <t xml:space="preserve">Actualmente el municipio de Salento cuenta con Enlace de Juventud, el cual está a cargo de la Subsecretaría de Cultura y Deporte.
</t>
    </r>
    <r>
      <rPr>
        <b/>
        <sz val="10"/>
        <rFont val="Calibri"/>
        <family val="2"/>
        <scheme val="minor"/>
      </rPr>
      <t xml:space="preserve">Alcaldía Armenia: </t>
    </r>
    <r>
      <rPr>
        <sz val="10"/>
        <rFont val="Calibri"/>
        <family val="2"/>
        <scheme val="minor"/>
      </rPr>
      <t>Reporta la existencia del Programa "Juventud Pa Todos" desde la Secretaría de Desarrollo Social, la cual cuenta con 4 contratistas.</t>
    </r>
    <r>
      <rPr>
        <b/>
        <sz val="10"/>
        <rFont val="Calibri"/>
        <family val="2"/>
        <scheme val="minor"/>
      </rPr>
      <t xml:space="preserve">
Alcaldía Calarcá: </t>
    </r>
    <r>
      <rPr>
        <sz val="10"/>
        <rFont val="Calibri"/>
        <family val="2"/>
        <scheme val="minor"/>
      </rPr>
      <t xml:space="preserve"> de acuerdo al Plan de Desarrollo Calarca Para Todos en el Eje 1. Arquitectura Institucional Línea de Acción 1.1. Promover la Politica Publica de Juventud en la Meta 1.1.1. Designar dependencia encargada para la articulación de acciones en la implementacion seguimiento y monitoreo de la Política Pública "Los Jóvenes Somos el Cambio,  Se realiza a través de Gestión. y se asigna profesional encargado. </t>
    </r>
    <r>
      <rPr>
        <b/>
        <sz val="10"/>
        <rFont val="Calibri"/>
        <family val="2"/>
        <scheme val="minor"/>
      </rPr>
      <t xml:space="preserve">
Alcaldía Quimbaya: </t>
    </r>
    <r>
      <rPr>
        <sz val="10"/>
        <rFont val="Calibri"/>
        <family val="2"/>
        <scheme val="minor"/>
      </rPr>
      <t xml:space="preserve">El Municipio de Quimbaya cuenta con el profesional universitario de atención a grupos vulnerables, el cual es el encargado de supervisar el proyecto de juventud. </t>
    </r>
    <r>
      <rPr>
        <b/>
        <sz val="10"/>
        <rFont val="Calibri"/>
        <family val="2"/>
        <scheme val="minor"/>
      </rPr>
      <t xml:space="preserve">
Alcaldía de Montenegro:</t>
    </r>
    <r>
      <rPr>
        <sz val="10"/>
        <rFont val="Calibri"/>
        <family val="2"/>
        <scheme val="minor"/>
      </rPr>
      <t xml:space="preserve"> En el momento se cuenta con un programa de juventud adscrito a la Subsecretaría de Desarrollo Social Y Educativo, la cual es la encargada de acompañar al Consejo de Juventud, a la Plataforma de Juventud y de hacer seguimiento a la Política Pública de Juventud.</t>
    </r>
    <r>
      <rPr>
        <b/>
        <sz val="10"/>
        <rFont val="Calibri"/>
        <family val="2"/>
        <scheme val="minor"/>
      </rPr>
      <t xml:space="preserve">
Alcaldía de Filandia: </t>
    </r>
    <r>
      <rPr>
        <sz val="10"/>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rFont val="Calibri"/>
        <family val="2"/>
        <scheme val="minor"/>
      </rPr>
      <t xml:space="preserve">
Alcaldía de Armenia: </t>
    </r>
    <r>
      <rPr>
        <sz val="10"/>
        <rFont val="Calibri"/>
        <family val="2"/>
        <scheme val="minor"/>
      </rPr>
      <t>Cuenta con un</t>
    </r>
    <r>
      <rPr>
        <b/>
        <sz val="10"/>
        <rFont val="Calibri"/>
        <family val="2"/>
        <scheme val="minor"/>
      </rPr>
      <t xml:space="preserve"> </t>
    </r>
    <r>
      <rPr>
        <sz val="10"/>
        <rFont val="Calibri"/>
        <family val="2"/>
        <scheme val="minor"/>
      </rPr>
      <t xml:space="preserve">programa juventud pa todos desde la Secretaría de Desarrollo Social la cual cuenta con 4 contratistas                     </t>
    </r>
    <r>
      <rPr>
        <b/>
        <sz val="10"/>
        <rFont val="Calibri"/>
        <family val="2"/>
        <scheme val="minor"/>
      </rPr>
      <t xml:space="preserve">
Alcaldía de Buenavista: N</t>
    </r>
    <r>
      <rPr>
        <sz val="10"/>
        <rFont val="Calibri"/>
        <family val="2"/>
        <scheme val="minor"/>
      </rPr>
      <t xml:space="preserve">o cuenta con oficina de juventud, no obstante, desde la oficina de Seretaría de Gobierno y Participación Comunitaria, cuenta con un contratista quien es el encargado de realizar seguimiento y cumplimiento a algunas actividades de la Politica Pública de juventud. 
</t>
    </r>
    <r>
      <rPr>
        <b/>
        <sz val="10"/>
        <rFont val="Calibri"/>
        <family val="2"/>
        <scheme val="minor"/>
      </rPr>
      <t xml:space="preserve">Alcaldía Tebaida: </t>
    </r>
    <r>
      <rPr>
        <sz val="10"/>
        <rFont val="Calibri"/>
        <family val="2"/>
        <scheme val="minor"/>
      </rPr>
      <t>Se  encuentra adscrita a la Dirección Administrativa de Servicios Sociales,  la cual cuenta con una profesional de población vulnerable encargada del Sistema de Juventud de acuerdo a la ley 1622 del 2013 y la 1885 del 2018. Finalmente se cuenta con rubro para juventud, el cual es alimentado cada año dependiendo las necesidades de la población juvenil.</t>
    </r>
    <r>
      <rPr>
        <b/>
        <sz val="10"/>
        <rFont val="Calibri"/>
        <family val="2"/>
        <scheme val="minor"/>
      </rPr>
      <t xml:space="preserve">
Alcaldía de Córdoba: </t>
    </r>
    <r>
      <rPr>
        <sz val="10"/>
        <rFont val="Calibri"/>
        <family val="2"/>
        <scheme val="minor"/>
      </rPr>
      <t xml:space="preserve">En el municipio la Secretaría General y de Gobierno tiene a cargo el programa de Juventud y es quien se encarga del desarrollo de actividades con esta población.
</t>
    </r>
  </si>
  <si>
    <r>
      <rPr>
        <b/>
        <sz val="10"/>
        <rFont val="Calibri"/>
        <family val="2"/>
        <scheme val="minor"/>
      </rPr>
      <t xml:space="preserve">Secretaría de Familia: </t>
    </r>
    <r>
      <rPr>
        <sz val="10"/>
        <rFont val="Calibri"/>
        <family val="2"/>
        <scheme val="minor"/>
      </rPr>
      <t xml:space="preserve">Reporta que los planes y políticas del Plan de Desarrollo Departamental se encuentran armonizadas con la política pública de juventud.
</t>
    </r>
    <r>
      <rPr>
        <b/>
        <sz val="10"/>
        <rFont val="Calibri"/>
        <family val="2"/>
        <scheme val="minor"/>
      </rPr>
      <t xml:space="preserve">
Consejo municipal de política Social de Filandia: </t>
    </r>
    <r>
      <rPr>
        <sz val="10"/>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rFont val="Calibri"/>
        <family val="2"/>
        <scheme val="minor"/>
      </rPr>
      <t>Consejo municipal de política Social La Tebaida:</t>
    </r>
    <r>
      <rPr>
        <sz val="10"/>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rFont val="Calibri"/>
        <family val="2"/>
        <scheme val="minor"/>
      </rPr>
      <t>Consejo municipal de política Social Calarcá:</t>
    </r>
    <r>
      <rPr>
        <sz val="10"/>
        <rFont val="Calibri"/>
        <family val="2"/>
        <scheme val="minor"/>
      </rPr>
      <t xml:space="preserve"> La alcaldía municipal designó a la Secretaría de Servicios Sociales y Salud para la articulación y asistencia técnica con las instancias de participación de los jóvenes, así mismo esta Secretaría cuenta con el Programa de  atención a jóvenes del municipio de Calarcá.
</t>
    </r>
    <r>
      <rPr>
        <b/>
        <sz val="10"/>
        <rFont val="Calibri"/>
        <family val="2"/>
        <scheme val="minor"/>
      </rPr>
      <t>Consejo municipal de política Social Córdoba</t>
    </r>
    <r>
      <rPr>
        <sz val="10"/>
        <rFont val="Calibri"/>
        <family val="2"/>
        <scheme val="minor"/>
      </rPr>
      <t xml:space="preserve">: Desde el Consejo Municipal de Política Social de Municipio de Córdoba se realiza seguimiento a las acciones establecidas a las líneas estratégicas de las políticas públicas del municipio las cuales van armonizadas con el plan de desarrollo y el plan de acción del compos, vale resaltar que el municipio aún no cuenta con política pública de juventud.
</t>
    </r>
  </si>
  <si>
    <r>
      <t xml:space="preserve">
</t>
    </r>
    <r>
      <rPr>
        <b/>
        <sz val="10"/>
        <rFont val="Calibri"/>
        <family val="2"/>
        <scheme val="minor"/>
      </rPr>
      <t>Secretaría de Familia:</t>
    </r>
    <r>
      <rPr>
        <sz val="10"/>
        <rFont val="Calibri"/>
        <family val="2"/>
        <scheme val="minor"/>
      </rPr>
      <t xml:space="preserve"> El indicador se observa en estado crítico, toda vez que la unidad de medida está en términos porcentuales, y los actores reportan en términos absolutos, lo que dificulta la medición de avance, sin embargo, se adelantan las siguientes accione que se relacionan a la meta financiera: </t>
    </r>
    <r>
      <rPr>
        <b/>
        <sz val="10"/>
        <rFont val="Calibri"/>
        <family val="2"/>
        <scheme val="minor"/>
      </rPr>
      <t xml:space="preserve">
Cámara de Comercio de Armenia y del Quindío:</t>
    </r>
    <r>
      <rPr>
        <sz val="10"/>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rFont val="Calibri"/>
        <family val="2"/>
        <scheme val="minor"/>
      </rPr>
      <t>SENA:</t>
    </r>
    <r>
      <rPr>
        <sz val="10"/>
        <rFont val="Calibri"/>
        <family val="2"/>
        <scheme val="minor"/>
      </rPr>
      <t xml:space="preserve"> Durante el trimestre no se realizaron ruedas de negocios regionales o nacionales. Se espera realizar para el segundo semestre del año.
</t>
    </r>
    <r>
      <rPr>
        <b/>
        <sz val="10"/>
        <rFont val="Calibri"/>
        <family val="2"/>
        <scheme val="minor"/>
      </rPr>
      <t xml:space="preserve">Alcaldía Filandia: </t>
    </r>
    <r>
      <rPr>
        <sz val="10"/>
        <rFont val="Calibri"/>
        <family val="2"/>
        <scheme val="minor"/>
      </rPr>
      <t xml:space="preserve">2 jóvenes en ruedas de negocio.
</t>
    </r>
    <r>
      <rPr>
        <b/>
        <sz val="10"/>
        <rFont val="Calibri"/>
        <family val="2"/>
        <scheme val="minor"/>
      </rPr>
      <t>Secretaria de Turismo Industria y Comercio:</t>
    </r>
    <r>
      <rPr>
        <sz val="10"/>
        <rFont val="Calibri"/>
        <family val="2"/>
        <scheme val="minor"/>
      </rPr>
      <t xml:space="preserve"> Para este segundo trimestre de la vigencia 2023, no se han realizado actividades que den avance al indicador, con relación a la población objetiva.
</t>
    </r>
    <r>
      <rPr>
        <b/>
        <sz val="10"/>
        <rFont val="Calibri"/>
        <family val="2"/>
        <scheme val="minor"/>
      </rPr>
      <t xml:space="preserve">Alcaldía Salento: </t>
    </r>
    <r>
      <rPr>
        <sz val="10"/>
        <rFont val="Calibri"/>
        <family val="2"/>
        <scheme val="minor"/>
      </rPr>
      <t xml:space="preserve">Fortalecimiento y apoyo a las Escuelas de Formación Artística y Cultural, reactivación de la Agenda Cultural del Municipio.
Secrearia de Familia: No es posible medir el indicador ya que la información reportada por los actores responsables no es la adecuada para medir su avance en porcentaje, es por ello que se encuentra en estado crítico.
</t>
    </r>
    <r>
      <rPr>
        <b/>
        <sz val="10"/>
        <rFont val="Calibri"/>
        <family val="2"/>
        <scheme val="minor"/>
      </rPr>
      <t xml:space="preserve">Alcaldía Buenavista: </t>
    </r>
    <r>
      <rPr>
        <sz val="10"/>
        <rFont val="Calibri"/>
        <family val="2"/>
        <scheme val="minor"/>
      </rPr>
      <t xml:space="preserve"> los jóvenes no asisten a ruedas de negocios a nivel Departametal y Nacional.
</t>
    </r>
    <r>
      <rPr>
        <b/>
        <sz val="10"/>
        <rFont val="Calibri"/>
        <family val="2"/>
        <scheme val="minor"/>
      </rPr>
      <t>Secretaría Turismo, Industria y Comercio:</t>
    </r>
    <r>
      <rPr>
        <sz val="10"/>
        <rFont val="Calibri"/>
        <family val="2"/>
        <scheme val="minor"/>
      </rPr>
      <t xml:space="preserve"> Para este primer trimestre de la vigencia 2023, no se han realizado actividades que den avance al indicador
</t>
    </r>
    <r>
      <rPr>
        <b/>
        <sz val="10"/>
        <rFont val="Calibri"/>
        <family val="2"/>
        <scheme val="minor"/>
      </rPr>
      <t>Alcaldía Quimbaya:</t>
    </r>
    <r>
      <rPr>
        <sz val="10"/>
        <rFont val="Calibri"/>
        <family val="2"/>
        <scheme val="minor"/>
      </rPr>
      <t xml:space="preserve"> Durante el trimestre no se realizaron acciones para dar cumplimiento a la meta.
</t>
    </r>
    <r>
      <rPr>
        <b/>
        <sz val="10"/>
        <rFont val="Calibri"/>
        <family val="2"/>
        <scheme val="minor"/>
      </rPr>
      <t xml:space="preserve">Alcaldía Montenegro: </t>
    </r>
    <r>
      <rPr>
        <sz val="10"/>
        <rFont val="Calibri"/>
        <family val="2"/>
        <scheme val="minor"/>
      </rPr>
      <t xml:space="preserve">Para el segundo trimestre no se cuenta con jóvenes participando de ruedas de negocio regionales
</t>
    </r>
    <r>
      <rPr>
        <b/>
        <sz val="10"/>
        <rFont val="Calibri"/>
        <family val="2"/>
        <scheme val="minor"/>
      </rPr>
      <t>Alcaldía de Pijao</t>
    </r>
    <r>
      <rPr>
        <sz val="10"/>
        <rFont val="Calibri"/>
        <family val="2"/>
        <scheme val="minor"/>
      </rPr>
      <t xml:space="preserve">: no cuenta con un porcentaje de Emprendimientos que participan en Ruedas de Negocios Regionales y Nacionales que son liderados por Jóvenes en el Municipio.
</t>
    </r>
    <r>
      <rPr>
        <b/>
        <sz val="10"/>
        <rFont val="Calibri"/>
        <family val="2"/>
        <scheme val="minor"/>
      </rPr>
      <t>Alcaldia Calarca:</t>
    </r>
    <r>
      <rPr>
        <sz val="10"/>
        <rFont val="Calibri"/>
        <family val="2"/>
        <scheme val="minor"/>
      </rPr>
      <t xml:space="preserve"> Se realizará en agosto semana de la juventud, como se realiza cada año, en la que se pretenden realizar actividades empresariales para jóvenes. </t>
    </r>
    <r>
      <rPr>
        <b/>
        <sz val="10"/>
        <rFont val="Calibri"/>
        <family val="2"/>
        <scheme val="minor"/>
      </rPr>
      <t>Alcaldía Armenia:</t>
    </r>
    <r>
      <rPr>
        <sz val="10"/>
        <rFont val="Calibri"/>
        <family val="2"/>
        <scheme val="minor"/>
      </rPr>
      <t xml:space="preserve"> En Municipio de Armenia se tiene programación para el resto de la vigencia, se solicit´p a la Red Regional de Emprendimiento incluir a la secretaría en las mesas de trabajo programadas.
</t>
    </r>
  </si>
  <si>
    <r>
      <rPr>
        <b/>
        <sz val="10"/>
        <rFont val="Calibri"/>
        <family val="2"/>
        <scheme val="minor"/>
      </rPr>
      <t>OBSERVACIONES:</t>
    </r>
    <r>
      <rPr>
        <sz val="10"/>
        <rFont val="Calibri"/>
        <family val="2"/>
        <scheme val="minor"/>
      </rPr>
      <t xml:space="preserve"> Segun el último  Reporte de la Gran Encuesta Integrada de Hogares-DANE; La tasa de trabajo infantil es del 3 % y la tasa de trabajo infantil ampliado es del 5,3 %.
</t>
    </r>
    <r>
      <rPr>
        <b/>
        <sz val="10"/>
        <rFont val="Calibri"/>
        <family val="2"/>
        <scheme val="minor"/>
      </rPr>
      <t xml:space="preserve">Secretaría de Familia: </t>
    </r>
    <r>
      <rPr>
        <sz val="10"/>
        <rFont val="Calibri"/>
        <family val="2"/>
        <scheme val="minor"/>
      </rPr>
      <t xml:space="preserve">*Atención a niños, niñas y adolescentes y sus familias en riesgos o trabajo infantil, alta permanencia en calle y vida en calle
*Actividades comunitarias de prevención de Riegos o trabajo infantil, alta pernanencia en calle y vida en calle 
*Asistencias Técnicas a agentes del SNBF
*Operativos, jornadas de sensibilización y prevenció, campañas y movilizaciones sociales
*Remisiones autoridades administrativas competenetes para restableciminto de derecho.
</t>
    </r>
    <r>
      <rPr>
        <b/>
        <sz val="10"/>
        <rFont val="Calibri"/>
        <family val="2"/>
        <scheme val="minor"/>
      </rPr>
      <t xml:space="preserve">Secretaría de Agricultura: </t>
    </r>
    <r>
      <rPr>
        <sz val="10"/>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rFont val="Calibri"/>
        <family val="2"/>
        <scheme val="minor"/>
      </rPr>
      <t>Ministerio del Trabajo:</t>
    </r>
    <r>
      <rPr>
        <sz val="10"/>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rFont val="Calibri"/>
        <family val="2"/>
        <scheme val="minor"/>
      </rPr>
      <t>ICBF</t>
    </r>
    <r>
      <rPr>
        <sz val="10"/>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rFont val="Calibri"/>
        <family val="2"/>
        <scheme val="minor"/>
      </rPr>
      <t xml:space="preserve">Alcaldía Calarcá: </t>
    </r>
    <r>
      <rPr>
        <sz val="10"/>
        <rFont val="Calibri"/>
        <family val="2"/>
        <scheme val="minor"/>
      </rPr>
      <t xml:space="preserve">El programa de NNA, realizó  una jornada de prevención del trabajo infantil en el barrio Llanitos Piloto. 
</t>
    </r>
    <r>
      <rPr>
        <b/>
        <sz val="10"/>
        <rFont val="Calibri"/>
        <family val="2"/>
        <scheme val="minor"/>
      </rPr>
      <t xml:space="preserve">Alcaldía Filandia: </t>
    </r>
    <r>
      <rPr>
        <sz val="10"/>
        <rFont val="Calibri"/>
        <family val="2"/>
        <scheme val="minor"/>
      </rPr>
      <t xml:space="preserve">el Municipio de Filandia no cuenta con casos de trabajo infantil.
</t>
    </r>
    <r>
      <rPr>
        <b/>
        <sz val="10"/>
        <rFont val="Calibri"/>
        <family val="2"/>
        <scheme val="minor"/>
      </rPr>
      <t>Alcaldía Quimbaya:</t>
    </r>
    <r>
      <rPr>
        <sz val="10"/>
        <rFont val="Calibri"/>
        <family val="2"/>
        <scheme val="minor"/>
      </rPr>
      <t xml:space="preserve"> El municipio no cuenta con esta información en tasa. 
</t>
    </r>
    <r>
      <rPr>
        <b/>
        <sz val="10"/>
        <rFont val="Calibri"/>
        <family val="2"/>
        <scheme val="minor"/>
      </rPr>
      <t>Alcaldía Buenavista:</t>
    </r>
    <r>
      <rPr>
        <sz val="10"/>
        <rFont val="Calibri"/>
        <family val="2"/>
        <scheme val="minor"/>
      </rPr>
      <t xml:space="preserve"> No cuenta con reportes de trabajo infantil, no obstante se realizan campañas para prevenir esta problemática.
</t>
    </r>
    <r>
      <rPr>
        <b/>
        <sz val="10"/>
        <rFont val="Calibri"/>
        <family val="2"/>
        <scheme val="minor"/>
      </rPr>
      <t xml:space="preserve">Alcaldía Montenegro: </t>
    </r>
    <r>
      <rPr>
        <sz val="10"/>
        <rFont val="Calibri"/>
        <family val="2"/>
        <scheme val="minor"/>
      </rPr>
      <t xml:space="preserve">Campañas en las instituciones educativas y en la poblacion en general con el fin de disminuir la taza de trabajo infantil.
</t>
    </r>
    <r>
      <rPr>
        <b/>
        <sz val="10"/>
        <rFont val="Calibri"/>
        <family val="2"/>
        <scheme val="minor"/>
      </rPr>
      <t xml:space="preserve">Alcaldía Salento: </t>
    </r>
    <r>
      <rPr>
        <sz val="10"/>
        <rFont val="Calibri"/>
        <family val="2"/>
        <scheme val="minor"/>
      </rPr>
      <t xml:space="preserve">Campañas de sensibilización entorno a la prevención del trabajo infantil en los establecimientos de servicios turísticos.
</t>
    </r>
    <r>
      <rPr>
        <b/>
        <sz val="10"/>
        <rFont val="Calibri"/>
        <family val="2"/>
        <scheme val="minor"/>
      </rPr>
      <t>Alcaldía de Pijao</t>
    </r>
    <r>
      <rPr>
        <sz val="10"/>
        <rFont val="Calibri"/>
        <family val="2"/>
        <scheme val="minor"/>
      </rPr>
      <t xml:space="preserve">: Comité de radicación del trabajo infantil implementado  bajo el decreto 021 de 01/08/2016. No se presentan casos.
</t>
    </r>
    <r>
      <rPr>
        <b/>
        <sz val="10"/>
        <rFont val="Calibri"/>
        <family val="2"/>
        <scheme val="minor"/>
      </rPr>
      <t>Alcaldia Armenia:</t>
    </r>
    <r>
      <rPr>
        <sz val="10"/>
        <rFont val="Calibri"/>
        <family val="2"/>
        <scheme val="minor"/>
      </rPr>
      <t xml:space="preserve"> Implementar estrategias de garantía de derechos de la infancia a través de Jornadas para  niños y niñas de 6 a 12 años ( en prevención de las peores formas de trabajo infantil ,  prevención de la utilización de niños, niñas para la comisión de delitos).
</t>
    </r>
    <r>
      <rPr>
        <b/>
        <sz val="10"/>
        <rFont val="Calibri"/>
        <family val="2"/>
        <scheme val="minor"/>
      </rPr>
      <t>Alcaldia Calarca:</t>
    </r>
    <r>
      <rPr>
        <sz val="10"/>
        <rFont val="Calibri"/>
        <family val="2"/>
        <scheme val="minor"/>
      </rPr>
      <t xml:space="preserve"> se realizan escuelas de padres en las instituciones educativas del municipio con el fin de implementar estrategias de erradicacion del trabajo infantil.
</t>
    </r>
    <r>
      <rPr>
        <b/>
        <sz val="10"/>
        <rFont val="Calibri"/>
        <family val="2"/>
        <scheme val="minor"/>
      </rPr>
      <t xml:space="preserve">ICBF: </t>
    </r>
    <r>
      <rPr>
        <sz val="10"/>
        <rFont val="Calibri"/>
        <family val="2"/>
        <scheme val="minor"/>
      </rPr>
      <t xml:space="preserve">*Atención a niños, niñas y adolescentes y sus familias en riesgos o trabajo infantil, alta permanencia en calle y vida en calle
*Actividades comunitarias de prevención de Riegos o trabajo infantil, alta pernanencia en calle y vida en calle 
*Asistencias Técnicas a agentes del SNBF
*Operativos, jornadas de sensibilización y prevención, campañas y movilizaciones sociales
*Remisiones autoridades administrativas competenetes para restablecimiento de derecho </t>
    </r>
  </si>
  <si>
    <t>2023 II TRIMESTRE</t>
  </si>
  <si>
    <t>EJECUTADO HASTA EL II TRIMESTRE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</si>
</sst>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 numFmtId="172" formatCode="_(* #.##0.00_);_(* \(#.##0.00\);_(* &quot;-&quot;??_);_(@_)"/>
    <numFmt numFmtId="173" formatCode="_-&quot;$&quot;* #,##0_-;\-&quot;$&quot;* #,##0_-;_-&quot;$&quot;* &quot;-&quot;_-;_-@_-"/>
    <numFmt numFmtId="174" formatCode="_ [$€-2]\ * #,##0.00_ ;_ [$€-2]\ * \-#,##0.00_ ;_ [$€-2]\ * &quot;-&quot;??_ "/>
    <numFmt numFmtId="175" formatCode="_(&quot;$&quot;\ * #,##0_);_(&quot;$&quot;\ * \(#,##0\);_(&quot;$&quot;\ * &quot;-&quot;??_);_(@_)"/>
    <numFmt numFmtId="176" formatCode="0.0"/>
    <numFmt numFmtId="177" formatCode="_-[$$-240A]\ * #,##0.00_-;\-[$$-240A]\ * #,##0.00_-;_-[$$-240A]\ * &quot;-&quot;??_-;_-@_-"/>
  </numFmts>
  <fonts count="3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
      <b/>
      <sz val="11"/>
      <color theme="1"/>
      <name val="Calibri"/>
      <family val="2"/>
      <scheme val="minor"/>
    </font>
    <font>
      <sz val="11"/>
      <color theme="1"/>
      <name val="Arial Narrow"/>
      <family val="2"/>
    </font>
    <font>
      <sz val="10"/>
      <color indexed="8"/>
      <name val="Calibri"/>
      <family val="2"/>
      <scheme val="minor"/>
    </font>
    <font>
      <b/>
      <sz val="9"/>
      <color rgb="FF000000"/>
      <name val="Tahoma"/>
      <family val="2"/>
    </font>
    <font>
      <sz val="9"/>
      <color rgb="FF000000"/>
      <name val="Tahoma"/>
      <family val="2"/>
    </font>
    <font>
      <sz val="10"/>
      <color indexed="8"/>
      <name val="Arial"/>
      <family val="2"/>
    </font>
    <font>
      <sz val="10"/>
      <color theme="1"/>
      <name val="Arial"/>
      <family val="2"/>
    </font>
    <font>
      <sz val="11"/>
      <color theme="1"/>
      <name val="Arial"/>
      <family val="2"/>
    </font>
    <font>
      <sz val="11"/>
      <name val="Arial"/>
      <family val="2"/>
    </font>
    <font>
      <sz val="12"/>
      <name val="Arial"/>
      <family val="2"/>
    </font>
    <font>
      <sz val="14"/>
      <color theme="1"/>
      <name val="Arial"/>
      <family val="2"/>
    </font>
    <font>
      <b/>
      <sz val="9"/>
      <color indexed="81"/>
      <name val="Tahoma"/>
      <family val="2"/>
    </font>
    <font>
      <sz val="9"/>
      <color indexed="81"/>
      <name val="Tahoma"/>
      <family val="2"/>
    </font>
    <font>
      <sz val="12"/>
      <color theme="1"/>
      <name val="Arial"/>
      <family val="2"/>
    </font>
  </fonts>
  <fills count="21">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5" tint="0.59996337778862885"/>
        <bgColor indexed="64"/>
      </patternFill>
    </fill>
    <fill>
      <patternFill patternType="solid">
        <fgColor rgb="FFF98607"/>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59999389629810485"/>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s>
  <cellStyleXfs count="11">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173" fontId="5" fillId="0" borderId="0" applyFont="0" applyFill="0" applyBorder="0" applyAlignment="0" applyProtection="0"/>
    <xf numFmtId="164" fontId="5" fillId="0" borderId="0" applyFont="0" applyFill="0" applyBorder="0" applyAlignment="0" applyProtection="0"/>
    <xf numFmtId="174" fontId="1" fillId="0" borderId="0"/>
    <xf numFmtId="164" fontId="5" fillId="0" borderId="0" applyFont="0" applyFill="0" applyBorder="0" applyAlignment="0" applyProtection="0"/>
  </cellStyleXfs>
  <cellXfs count="843">
    <xf numFmtId="0" fontId="0" fillId="0" borderId="0" xfId="0"/>
    <xf numFmtId="10" fontId="3" fillId="0" borderId="5" xfId="0" applyNumberFormat="1" applyFont="1" applyBorder="1" applyAlignment="1">
      <alignment horizontal="center" vertical="center" wrapText="1"/>
    </xf>
    <xf numFmtId="0" fontId="0" fillId="3" borderId="0" xfId="0" applyFill="1"/>
    <xf numFmtId="0" fontId="3" fillId="3" borderId="0" xfId="0" applyFont="1" applyFill="1"/>
    <xf numFmtId="0" fontId="0" fillId="0" borderId="0" xfId="0" applyAlignment="1">
      <alignment horizont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7" fillId="7" borderId="9" xfId="0" applyFont="1" applyFill="1" applyBorder="1" applyAlignment="1">
      <alignment horizontal="center" vertical="center"/>
    </xf>
    <xf numFmtId="0" fontId="7" fillId="0" borderId="12" xfId="0" applyFont="1" applyBorder="1" applyAlignment="1">
      <alignment horizontal="center" vertical="center"/>
    </xf>
    <xf numFmtId="0" fontId="7" fillId="9"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3" fillId="5" borderId="12"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2"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9" fillId="0" borderId="9" xfId="0" applyFont="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10" fillId="7" borderId="12" xfId="0" applyFont="1" applyFill="1" applyBorder="1" applyAlignment="1">
      <alignment horizontal="center" vertical="center"/>
    </xf>
    <xf numFmtId="0" fontId="8" fillId="9" borderId="12"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12" xfId="0" applyFont="1" applyFill="1" applyBorder="1" applyAlignment="1">
      <alignment horizontal="center" vertical="center"/>
    </xf>
    <xf numFmtId="0" fontId="8" fillId="14"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7" borderId="9" xfId="0" applyFont="1" applyFill="1" applyBorder="1" applyAlignment="1">
      <alignment horizontal="center" vertical="center"/>
    </xf>
    <xf numFmtId="0" fontId="0" fillId="3" borderId="0" xfId="0" applyFill="1" applyAlignment="1">
      <alignment horizontal="center"/>
    </xf>
    <xf numFmtId="0" fontId="3" fillId="0" borderId="0" xfId="0" applyFont="1"/>
    <xf numFmtId="9" fontId="4" fillId="5" borderId="5" xfId="1" applyFont="1" applyFill="1" applyBorder="1" applyAlignment="1">
      <alignment horizontal="center" vertical="center"/>
    </xf>
    <xf numFmtId="0" fontId="4" fillId="0" borderId="5" xfId="0"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1" fontId="4" fillId="0" borderId="5" xfId="1" applyNumberFormat="1" applyFont="1" applyFill="1" applyBorder="1" applyAlignment="1">
      <alignment horizontal="center" vertical="center"/>
    </xf>
    <xf numFmtId="10" fontId="4" fillId="0" borderId="5" xfId="0" applyNumberFormat="1" applyFont="1" applyBorder="1" applyAlignment="1">
      <alignment horizontal="center" vertical="center" wrapText="1"/>
    </xf>
    <xf numFmtId="10" fontId="4" fillId="3" borderId="5" xfId="0" applyNumberFormat="1"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49"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9" fontId="4" fillId="7" borderId="5" xfId="1" applyFont="1" applyFill="1" applyBorder="1" applyAlignment="1">
      <alignment horizontal="center" vertical="center"/>
    </xf>
    <xf numFmtId="0" fontId="4" fillId="0" borderId="5" xfId="0" applyFont="1" applyBorder="1" applyAlignment="1">
      <alignment horizontal="center" vertical="center" wrapText="1"/>
    </xf>
    <xf numFmtId="0" fontId="0" fillId="0" borderId="0" xfId="0" applyProtection="1">
      <protection locked="0"/>
    </xf>
    <xf numFmtId="0" fontId="15" fillId="7" borderId="12" xfId="0" applyFont="1" applyFill="1" applyBorder="1" applyAlignment="1">
      <alignment horizontal="center" vertical="center"/>
    </xf>
    <xf numFmtId="3" fontId="4" fillId="3" borderId="5" xfId="0" applyNumberFormat="1" applyFont="1" applyFill="1" applyBorder="1" applyAlignment="1">
      <alignment horizontal="center" vertical="center" wrapText="1"/>
    </xf>
    <xf numFmtId="0" fontId="4" fillId="3" borderId="0" xfId="0" applyFont="1" applyFill="1"/>
    <xf numFmtId="165" fontId="4" fillId="3" borderId="5" xfId="0" applyNumberFormat="1" applyFont="1" applyFill="1" applyBorder="1" applyAlignment="1">
      <alignment vertical="center" wrapText="1"/>
    </xf>
    <xf numFmtId="1" fontId="4" fillId="0" borderId="5" xfId="0" applyNumberFormat="1" applyFont="1" applyBorder="1" applyAlignment="1">
      <alignment horizontal="center" vertical="center" wrapText="1"/>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11"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7" xfId="0" applyFont="1" applyBorder="1" applyAlignment="1">
      <alignment horizontal="center" vertical="center" wrapText="1"/>
    </xf>
    <xf numFmtId="6" fontId="4" fillId="3" borderId="5" xfId="4"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3" fillId="0" borderId="5" xfId="0" applyFont="1" applyBorder="1" applyAlignment="1">
      <alignment horizontal="center" vertical="center"/>
    </xf>
    <xf numFmtId="165" fontId="3" fillId="0" borderId="5" xfId="0" applyNumberFormat="1" applyFont="1" applyBorder="1" applyAlignment="1">
      <alignment horizontal="center" vertical="center" wrapText="1"/>
    </xf>
    <xf numFmtId="9" fontId="3" fillId="4" borderId="5"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65"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5" xfId="1" applyFont="1" applyFill="1" applyBorder="1" applyAlignment="1">
      <alignment horizontal="center" vertical="center" wrapText="1"/>
    </xf>
    <xf numFmtId="0" fontId="3" fillId="3" borderId="5" xfId="0" applyFont="1" applyFill="1" applyBorder="1" applyAlignment="1">
      <alignment vertical="center" wrapText="1"/>
    </xf>
    <xf numFmtId="9" fontId="3"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9" fontId="3" fillId="6" borderId="5" xfId="1" applyFont="1" applyFill="1" applyBorder="1" applyAlignment="1">
      <alignment horizontal="center" vertical="center" wrapText="1"/>
    </xf>
    <xf numFmtId="165" fontId="3" fillId="3" borderId="5" xfId="0" applyNumberFormat="1" applyFont="1" applyFill="1" applyBorder="1" applyAlignment="1">
      <alignment vertical="center" wrapText="1"/>
    </xf>
    <xf numFmtId="3" fontId="3" fillId="0" borderId="5" xfId="0" applyNumberFormat="1" applyFont="1" applyBorder="1" applyAlignment="1">
      <alignment horizontal="center" vertical="center" wrapText="1"/>
    </xf>
    <xf numFmtId="9" fontId="18" fillId="4" borderId="5" xfId="1" applyFont="1" applyFill="1" applyBorder="1" applyAlignment="1">
      <alignment horizontal="center" vertical="center" wrapText="1"/>
    </xf>
    <xf numFmtId="0" fontId="3" fillId="0" borderId="5" xfId="0" applyFont="1" applyBorder="1" applyAlignment="1">
      <alignment horizontal="center" vertical="center" wrapText="1"/>
    </xf>
    <xf numFmtId="49" fontId="3"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7" borderId="5" xfId="1" applyFont="1" applyFill="1" applyBorder="1" applyAlignment="1">
      <alignment horizontal="center" vertical="center"/>
    </xf>
    <xf numFmtId="0" fontId="17" fillId="0" borderId="5" xfId="0" applyFont="1" applyBorder="1" applyAlignment="1">
      <alignment horizontal="center" vertical="center" wrapText="1"/>
    </xf>
    <xf numFmtId="9" fontId="17" fillId="0" borderId="5" xfId="0" applyNumberFormat="1" applyFont="1" applyBorder="1" applyAlignment="1">
      <alignment horizontal="center" vertical="center" wrapText="1"/>
    </xf>
    <xf numFmtId="0" fontId="17" fillId="0" borderId="21" xfId="0" applyFont="1" applyBorder="1" applyAlignment="1">
      <alignment horizontal="center" vertical="center" wrapText="1"/>
    </xf>
    <xf numFmtId="1" fontId="4" fillId="3" borderId="21" xfId="3" applyNumberFormat="1" applyFont="1" applyFill="1" applyBorder="1" applyAlignment="1">
      <alignment horizontal="center" vertical="center" wrapText="1"/>
    </xf>
    <xf numFmtId="164" fontId="4" fillId="3" borderId="21" xfId="3" applyFont="1" applyFill="1" applyBorder="1" applyAlignment="1">
      <alignment horizontal="center" vertical="center" wrapText="1"/>
    </xf>
    <xf numFmtId="1"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9" fontId="4" fillId="0" borderId="21" xfId="0" applyNumberFormat="1" applyFont="1" applyBorder="1" applyAlignment="1">
      <alignment horizontal="center" vertical="center"/>
    </xf>
    <xf numFmtId="9" fontId="4"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7" xfId="0" applyFont="1" applyFill="1" applyBorder="1" applyAlignment="1">
      <alignment horizontal="center" vertical="center"/>
    </xf>
    <xf numFmtId="9" fontId="4" fillId="5" borderId="7" xfId="1" applyFont="1" applyFill="1" applyBorder="1" applyAlignment="1">
      <alignment horizontal="center" vertical="center"/>
    </xf>
    <xf numFmtId="165" fontId="4" fillId="3" borderId="7" xfId="0" applyNumberFormat="1" applyFont="1" applyFill="1" applyBorder="1" applyAlignment="1">
      <alignment horizontal="center" vertical="center" wrapText="1"/>
    </xf>
    <xf numFmtId="168" fontId="4" fillId="3" borderId="7" xfId="0" applyNumberFormat="1" applyFont="1" applyFill="1" applyBorder="1" applyAlignment="1">
      <alignment horizontal="center" vertical="center" wrapText="1"/>
    </xf>
    <xf numFmtId="0" fontId="4" fillId="3" borderId="23"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22" xfId="0" applyFont="1" applyBorder="1" applyAlignment="1">
      <alignment horizontal="center" vertical="center" wrapText="1"/>
    </xf>
    <xf numFmtId="9" fontId="4" fillId="0" borderId="2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3" borderId="2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18" fillId="0" borderId="5" xfId="0" applyFont="1" applyBorder="1" applyAlignment="1">
      <alignment horizontal="center" vertical="center" wrapText="1"/>
    </xf>
    <xf numFmtId="0" fontId="3"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9" fontId="3" fillId="0" borderId="5" xfId="0" applyNumberFormat="1" applyFont="1" applyBorder="1" applyAlignment="1">
      <alignment horizontal="center" vertical="center"/>
    </xf>
    <xf numFmtId="171" fontId="5" fillId="0" borderId="5" xfId="5" applyNumberFormat="1" applyFont="1" applyFill="1" applyBorder="1" applyAlignment="1" applyProtection="1">
      <alignment horizontal="center" vertical="center"/>
      <protection locked="0"/>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171" fontId="23" fillId="0" borderId="5" xfId="8" applyNumberFormat="1" applyFont="1" applyFill="1" applyBorder="1" applyAlignment="1">
      <alignment horizontal="center" vertical="center" wrapText="1"/>
    </xf>
    <xf numFmtId="0" fontId="0" fillId="0" borderId="5" xfId="0" applyBorder="1" applyAlignment="1">
      <alignment horizontal="center" vertical="center"/>
    </xf>
    <xf numFmtId="1" fontId="0" fillId="0" borderId="5" xfId="0" applyNumberForma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18" fillId="3" borderId="5" xfId="0" applyFont="1" applyFill="1" applyBorder="1" applyAlignment="1">
      <alignment horizontal="center" vertical="center" wrapText="1"/>
    </xf>
    <xf numFmtId="9" fontId="0" fillId="3" borderId="5" xfId="1" applyFont="1" applyFill="1" applyBorder="1" applyAlignment="1">
      <alignment horizontal="center" vertical="center"/>
    </xf>
    <xf numFmtId="0" fontId="0" fillId="3" borderId="5" xfId="0" applyFill="1" applyBorder="1" applyAlignment="1">
      <alignment horizontal="center" vertical="center"/>
    </xf>
    <xf numFmtId="0" fontId="3" fillId="3" borderId="7" xfId="0" applyFont="1" applyFill="1" applyBorder="1" applyAlignment="1">
      <alignment horizontal="center" vertical="center"/>
    </xf>
    <xf numFmtId="0" fontId="4" fillId="3" borderId="22" xfId="0" applyFont="1" applyFill="1" applyBorder="1" applyAlignment="1">
      <alignment vertical="center" wrapText="1"/>
    </xf>
    <xf numFmtId="9" fontId="4" fillId="3" borderId="21" xfId="0" applyNumberFormat="1" applyFont="1" applyFill="1" applyBorder="1" applyAlignment="1">
      <alignment horizontal="center" vertical="center" wrapText="1"/>
    </xf>
    <xf numFmtId="9" fontId="3" fillId="3" borderId="22" xfId="0" applyNumberFormat="1" applyFont="1" applyFill="1" applyBorder="1" applyAlignment="1">
      <alignment horizontal="left" vertical="center" wrapText="1"/>
    </xf>
    <xf numFmtId="1" fontId="4" fillId="3" borderId="21" xfId="0" applyNumberFormat="1" applyFont="1" applyFill="1" applyBorder="1" applyAlignment="1">
      <alignment horizontal="center" vertical="center" wrapText="1"/>
    </xf>
    <xf numFmtId="0" fontId="4" fillId="3" borderId="22" xfId="0" applyFont="1" applyFill="1" applyBorder="1" applyAlignment="1">
      <alignment horizontal="justify" vertical="center" wrapText="1"/>
    </xf>
    <xf numFmtId="167" fontId="4" fillId="0" borderId="21" xfId="1" applyNumberFormat="1" applyFont="1" applyFill="1" applyBorder="1" applyAlignment="1">
      <alignment horizontal="center" vertical="center" wrapText="1"/>
    </xf>
    <xf numFmtId="0" fontId="4" fillId="3" borderId="21" xfId="0" applyFont="1" applyFill="1" applyBorder="1" applyAlignment="1">
      <alignment vertical="center" wrapText="1"/>
    </xf>
    <xf numFmtId="2" fontId="4" fillId="3" borderId="21" xfId="3" applyNumberFormat="1" applyFont="1" applyFill="1" applyBorder="1" applyAlignment="1">
      <alignment horizontal="center" vertical="center" wrapText="1"/>
    </xf>
    <xf numFmtId="0" fontId="11" fillId="3" borderId="22" xfId="0"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2" fillId="3" borderId="22" xfId="0" applyFont="1" applyFill="1" applyBorder="1" applyAlignment="1">
      <alignment vertical="center" wrapText="1"/>
    </xf>
    <xf numFmtId="0" fontId="14" fillId="3" borderId="22" xfId="0" applyFont="1" applyFill="1" applyBorder="1" applyAlignment="1">
      <alignment vertical="center" wrapText="1"/>
    </xf>
    <xf numFmtId="0" fontId="11" fillId="3" borderId="22" xfId="0" applyFont="1" applyFill="1" applyBorder="1" applyAlignment="1">
      <alignment vertical="center" wrapText="1"/>
    </xf>
    <xf numFmtId="0" fontId="3" fillId="3" borderId="22" xfId="0" applyFont="1" applyFill="1" applyBorder="1" applyAlignment="1">
      <alignment horizontal="left" vertical="center" wrapText="1"/>
    </xf>
    <xf numFmtId="0" fontId="3" fillId="0" borderId="21" xfId="0" applyFont="1" applyBorder="1" applyAlignment="1">
      <alignment horizontal="center" vertical="center"/>
    </xf>
    <xf numFmtId="0" fontId="3" fillId="3" borderId="21"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0" fontId="2" fillId="3" borderId="22" xfId="0" applyFont="1" applyFill="1" applyBorder="1" applyAlignment="1">
      <alignment horizontal="justify" vertical="center" wrapText="1"/>
    </xf>
    <xf numFmtId="0" fontId="3" fillId="3" borderId="21" xfId="0" applyFont="1" applyFill="1" applyBorder="1" applyAlignment="1">
      <alignment vertical="center" wrapText="1"/>
    </xf>
    <xf numFmtId="1" fontId="3" fillId="3" borderId="21" xfId="3"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49" fontId="3" fillId="3" borderId="21" xfId="0"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xf>
    <xf numFmtId="0" fontId="3" fillId="3" borderId="21" xfId="0" applyFont="1" applyFill="1" applyBorder="1" applyAlignment="1">
      <alignment horizontal="center" vertical="center"/>
    </xf>
    <xf numFmtId="0" fontId="3" fillId="3" borderId="20" xfId="0" applyFont="1" applyFill="1" applyBorder="1" applyAlignment="1">
      <alignment horizontal="center" vertical="center"/>
    </xf>
    <xf numFmtId="9" fontId="3" fillId="6" borderId="7" xfId="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3" borderId="22" xfId="0" applyFont="1" applyFill="1" applyBorder="1" applyAlignment="1">
      <alignment horizontal="justify" vertical="center"/>
    </xf>
    <xf numFmtId="0" fontId="18" fillId="3" borderId="21" xfId="0" applyFont="1" applyFill="1" applyBorder="1" applyAlignment="1">
      <alignment horizontal="center" vertical="center" wrapText="1"/>
    </xf>
    <xf numFmtId="0" fontId="18" fillId="3" borderId="22" xfId="0" applyFont="1" applyFill="1" applyBorder="1" applyAlignment="1">
      <alignment horizontal="justify" vertical="center" wrapText="1"/>
    </xf>
    <xf numFmtId="0" fontId="0" fillId="3" borderId="22" xfId="0" applyFill="1" applyBorder="1" applyAlignment="1">
      <alignment horizontal="left" vertical="center" wrapText="1"/>
    </xf>
    <xf numFmtId="0" fontId="0" fillId="3" borderId="7" xfId="0" applyFill="1" applyBorder="1" applyAlignment="1">
      <alignment horizontal="center" vertical="center"/>
    </xf>
    <xf numFmtId="0" fontId="0" fillId="3" borderId="23" xfId="0" applyFill="1" applyBorder="1" applyAlignment="1">
      <alignment horizontal="left" vertical="center" wrapText="1"/>
    </xf>
    <xf numFmtId="0" fontId="0" fillId="0" borderId="21" xfId="0" applyBorder="1" applyAlignment="1">
      <alignment horizontal="center" vertical="center"/>
    </xf>
    <xf numFmtId="9" fontId="3" fillId="0" borderId="22" xfId="0" applyNumberFormat="1" applyFont="1" applyBorder="1" applyAlignment="1">
      <alignment horizontal="center" vertical="center" wrapText="1"/>
    </xf>
    <xf numFmtId="9" fontId="0" fillId="0" borderId="21" xfId="1" applyFont="1" applyFill="1" applyBorder="1" applyAlignment="1">
      <alignment horizontal="center" vertical="center"/>
    </xf>
    <xf numFmtId="0" fontId="0" fillId="0" borderId="22" xfId="0" applyBorder="1" applyAlignment="1">
      <alignment horizontal="left" vertical="center" wrapText="1"/>
    </xf>
    <xf numFmtId="0" fontId="0" fillId="0" borderId="22" xfId="0" applyBorder="1" applyAlignment="1">
      <alignment vertical="center" wrapText="1"/>
    </xf>
    <xf numFmtId="0" fontId="12" fillId="0" borderId="22" xfId="0" applyFont="1" applyBorder="1" applyAlignment="1">
      <alignment vertical="center" wrapText="1"/>
    </xf>
    <xf numFmtId="0" fontId="3" fillId="0" borderId="21" xfId="0" applyFont="1" applyBorder="1" applyAlignment="1">
      <alignment horizontal="center" vertical="center" wrapText="1"/>
    </xf>
    <xf numFmtId="1" fontId="0" fillId="0" borderId="21" xfId="0" applyNumberFormat="1" applyBorder="1" applyAlignment="1">
      <alignment horizontal="center" vertical="center"/>
    </xf>
    <xf numFmtId="9" fontId="3" fillId="0" borderId="21" xfId="1" applyFont="1" applyFill="1" applyBorder="1" applyAlignment="1">
      <alignment horizontal="center" vertical="center"/>
    </xf>
    <xf numFmtId="9" fontId="3" fillId="0" borderId="22" xfId="1" applyFont="1" applyFill="1" applyBorder="1" applyAlignment="1">
      <alignment horizontal="center" vertical="center" wrapText="1"/>
    </xf>
    <xf numFmtId="3" fontId="0" fillId="0" borderId="5" xfId="0" applyNumberFormat="1" applyBorder="1" applyAlignment="1">
      <alignment horizontal="center" vertical="center" wrapText="1"/>
    </xf>
    <xf numFmtId="171" fontId="22" fillId="0" borderId="5" xfId="6"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173" fontId="22" fillId="0" borderId="5" xfId="5" applyNumberFormat="1" applyFont="1" applyFill="1" applyBorder="1" applyAlignment="1">
      <alignment horizontal="center" vertical="center" wrapText="1"/>
    </xf>
    <xf numFmtId="165" fontId="23" fillId="0" borderId="5" xfId="7"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1" fontId="3"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49" fontId="3" fillId="3" borderId="5" xfId="0" applyNumberFormat="1" applyFont="1" applyFill="1" applyBorder="1" applyAlignment="1">
      <alignment horizontal="justify" vertical="center" wrapText="1"/>
    </xf>
    <xf numFmtId="0" fontId="13" fillId="3" borderId="22" xfId="0" applyFont="1" applyFill="1" applyBorder="1" applyAlignment="1">
      <alignment vertical="center" wrapText="1"/>
    </xf>
    <xf numFmtId="0" fontId="4" fillId="0" borderId="22" xfId="0" applyFont="1" applyBorder="1" applyAlignment="1">
      <alignment horizontal="justify" vertical="center" wrapText="1"/>
    </xf>
    <xf numFmtId="0" fontId="3" fillId="0" borderId="22" xfId="0" applyFont="1" applyBorder="1" applyAlignment="1">
      <alignment horizontal="justify" vertical="center" wrapText="1"/>
    </xf>
    <xf numFmtId="0" fontId="18" fillId="0" borderId="21" xfId="0" applyFont="1" applyBorder="1" applyAlignment="1">
      <alignment horizontal="center" vertical="center" wrapText="1"/>
    </xf>
    <xf numFmtId="0" fontId="18" fillId="0" borderId="22" xfId="0"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1" xfId="0" applyFont="1" applyBorder="1" applyAlignment="1">
      <alignment horizontal="justify" vertical="center" wrapText="1"/>
    </xf>
    <xf numFmtId="9" fontId="0" fillId="0" borderId="22" xfId="1" applyFont="1" applyFill="1" applyBorder="1" applyAlignment="1">
      <alignment horizontal="left" vertical="center" wrapText="1"/>
    </xf>
    <xf numFmtId="49" fontId="3" fillId="3" borderId="21" xfId="0" applyNumberFormat="1" applyFont="1" applyFill="1" applyBorder="1" applyAlignment="1">
      <alignment horizontal="justify" vertical="center" wrapText="1"/>
    </xf>
    <xf numFmtId="0" fontId="3" fillId="0" borderId="21" xfId="0" applyFont="1" applyBorder="1" applyAlignment="1">
      <alignment vertical="center" wrapText="1"/>
    </xf>
    <xf numFmtId="0" fontId="3" fillId="0" borderId="5" xfId="0" applyFont="1" applyBorder="1" applyAlignment="1">
      <alignment vertical="center" wrapText="1"/>
    </xf>
    <xf numFmtId="0" fontId="0" fillId="0" borderId="21" xfId="0" applyBorder="1" applyAlignment="1">
      <alignment vertical="center"/>
    </xf>
    <xf numFmtId="0" fontId="0" fillId="0" borderId="5" xfId="0" applyBorder="1" applyAlignment="1">
      <alignment vertical="center"/>
    </xf>
    <xf numFmtId="164" fontId="3" fillId="0" borderId="5" xfId="3" applyFont="1" applyBorder="1" applyAlignment="1">
      <alignment horizontal="center" vertical="center"/>
    </xf>
    <xf numFmtId="0" fontId="4" fillId="0" borderId="29" xfId="0" applyFont="1" applyBorder="1" applyAlignment="1">
      <alignment horizontal="center" vertical="center"/>
    </xf>
    <xf numFmtId="0" fontId="4" fillId="3" borderId="28" xfId="0" applyFont="1" applyFill="1" applyBorder="1" applyAlignment="1">
      <alignment horizontal="center" vertical="center" wrapText="1"/>
    </xf>
    <xf numFmtId="9" fontId="4" fillId="7" borderId="28" xfId="1"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3" borderId="29" xfId="1" applyFont="1" applyFill="1" applyBorder="1" applyAlignment="1">
      <alignment horizontal="center" vertical="center" wrapText="1"/>
    </xf>
    <xf numFmtId="0" fontId="4" fillId="0" borderId="29" xfId="0" applyFont="1" applyBorder="1" applyAlignment="1">
      <alignment horizontal="center" vertical="center" wrapText="1"/>
    </xf>
    <xf numFmtId="10" fontId="4" fillId="0" borderId="28" xfId="1"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10" fontId="4" fillId="3" borderId="29" xfId="1" applyNumberFormat="1" applyFont="1" applyFill="1" applyBorder="1" applyAlignment="1">
      <alignment horizontal="center" vertical="center" wrapText="1"/>
    </xf>
    <xf numFmtId="0" fontId="4" fillId="0" borderId="28" xfId="0" applyFont="1" applyBorder="1" applyAlignment="1">
      <alignment horizontal="center" vertical="center" wrapText="1"/>
    </xf>
    <xf numFmtId="9" fontId="4" fillId="5" borderId="28" xfId="1" applyFont="1" applyFill="1" applyBorder="1" applyAlignment="1">
      <alignment horizontal="center" vertical="center" wrapText="1"/>
    </xf>
    <xf numFmtId="1" fontId="4" fillId="0" borderId="29" xfId="1"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3" borderId="29" xfId="0" applyFont="1" applyFill="1" applyBorder="1" applyAlignment="1">
      <alignment horizontal="center" vertical="center"/>
    </xf>
    <xf numFmtId="9" fontId="0" fillId="0" borderId="0" xfId="0" applyNumberFormat="1"/>
    <xf numFmtId="9" fontId="4" fillId="11" borderId="5" xfId="1"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9" fontId="4" fillId="7" borderId="4" xfId="1" applyFont="1" applyFill="1" applyBorder="1" applyAlignment="1">
      <alignment horizontal="center" vertical="center" wrapText="1"/>
    </xf>
    <xf numFmtId="9" fontId="4" fillId="7" borderId="29" xfId="1" applyFont="1" applyFill="1" applyBorder="1" applyAlignment="1">
      <alignment horizontal="center" vertical="center" wrapText="1"/>
    </xf>
    <xf numFmtId="6" fontId="12" fillId="0" borderId="5" xfId="0" applyNumberFormat="1" applyFont="1" applyBorder="1" applyAlignment="1">
      <alignment horizontal="center" vertical="center" wrapText="1"/>
    </xf>
    <xf numFmtId="42" fontId="4" fillId="0" borderId="5" xfId="0" applyNumberFormat="1" applyFont="1" applyBorder="1" applyAlignment="1">
      <alignment horizontal="center" vertical="center" wrapText="1"/>
    </xf>
    <xf numFmtId="9" fontId="4" fillId="11" borderId="29" xfId="1" applyFont="1" applyFill="1" applyBorder="1" applyAlignment="1">
      <alignment horizontal="center" vertical="center" wrapText="1"/>
    </xf>
    <xf numFmtId="9" fontId="4" fillId="11" borderId="3"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7" borderId="23" xfId="1" applyFont="1" applyFill="1" applyBorder="1" applyAlignment="1">
      <alignment horizontal="center" vertical="center"/>
    </xf>
    <xf numFmtId="2" fontId="3" fillId="0" borderId="5" xfId="0" applyNumberFormat="1" applyFont="1" applyBorder="1" applyAlignment="1">
      <alignment horizontal="center" vertical="center"/>
    </xf>
    <xf numFmtId="2" fontId="4" fillId="3" borderId="5" xfId="1" applyNumberFormat="1" applyFont="1" applyFill="1" applyBorder="1" applyAlignment="1">
      <alignment horizontal="center" vertical="center" wrapText="1"/>
    </xf>
    <xf numFmtId="9" fontId="4" fillId="8" borderId="23" xfId="1" applyFont="1" applyFill="1" applyBorder="1" applyAlignment="1">
      <alignment horizontal="center" vertical="center"/>
    </xf>
    <xf numFmtId="0" fontId="7" fillId="0" borderId="0" xfId="0" applyFont="1" applyAlignment="1">
      <alignment horizontal="center" vertical="center"/>
    </xf>
    <xf numFmtId="9" fontId="0" fillId="8" borderId="5" xfId="0" applyNumberFormat="1" applyFill="1" applyBorder="1"/>
    <xf numFmtId="9" fontId="4" fillId="11" borderId="5" xfId="1" applyFont="1" applyFill="1" applyBorder="1" applyAlignment="1">
      <alignment horizontal="center" vertical="center"/>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3" fillId="0" borderId="5" xfId="0" applyNumberFormat="1" applyFont="1" applyBorder="1" applyAlignment="1">
      <alignment horizontal="center" vertical="center"/>
    </xf>
    <xf numFmtId="176" fontId="4" fillId="0" borderId="5" xfId="1" applyNumberFormat="1" applyFont="1" applyFill="1" applyBorder="1" applyAlignment="1">
      <alignment horizontal="center" vertical="center" wrapText="1"/>
    </xf>
    <xf numFmtId="9" fontId="4" fillId="0" borderId="5" xfId="1" applyFont="1" applyBorder="1" applyAlignment="1">
      <alignment vertical="center" wrapText="1"/>
    </xf>
    <xf numFmtId="177" fontId="4" fillId="3" borderId="29" xfId="4"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9" fontId="3" fillId="3" borderId="5" xfId="0" applyNumberFormat="1" applyFont="1" applyFill="1" applyBorder="1" applyAlignment="1">
      <alignment horizontal="left" vertical="center" wrapText="1"/>
    </xf>
    <xf numFmtId="0" fontId="3" fillId="3" borderId="5" xfId="0" applyFont="1" applyFill="1" applyBorder="1" applyAlignment="1">
      <alignment horizontal="justify" vertical="center" wrapText="1"/>
    </xf>
    <xf numFmtId="0" fontId="3" fillId="3" borderId="28" xfId="0" applyFont="1" applyFill="1" applyBorder="1" applyAlignment="1">
      <alignment vertical="center" wrapText="1"/>
    </xf>
    <xf numFmtId="0" fontId="3" fillId="3" borderId="29" xfId="0" applyFont="1" applyFill="1" applyBorder="1" applyAlignment="1">
      <alignment vertical="center" wrapText="1"/>
    </xf>
    <xf numFmtId="0" fontId="3" fillId="3" borderId="5" xfId="0" applyFont="1" applyFill="1" applyBorder="1" applyAlignment="1">
      <alignment horizontal="left" vertical="center" wrapText="1"/>
    </xf>
    <xf numFmtId="0" fontId="3" fillId="3" borderId="28"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9" fontId="4" fillId="0" borderId="5" xfId="1" applyFont="1" applyFill="1" applyBorder="1" applyAlignment="1">
      <alignment horizontal="center" vertical="center" wrapText="1"/>
    </xf>
    <xf numFmtId="9" fontId="4" fillId="18" borderId="5" xfId="1" applyFont="1" applyFill="1" applyBorder="1" applyAlignment="1">
      <alignment horizontal="center" vertical="center" wrapText="1"/>
    </xf>
    <xf numFmtId="9" fontId="4" fillId="19" borderId="29" xfId="1" applyFont="1" applyFill="1" applyBorder="1" applyAlignment="1">
      <alignment horizontal="center" vertical="center" wrapText="1"/>
    </xf>
    <xf numFmtId="9" fontId="4" fillId="19" borderId="5" xfId="1" applyFont="1" applyFill="1" applyBorder="1" applyAlignment="1">
      <alignment horizontal="center" vertical="center" wrapText="1"/>
    </xf>
    <xf numFmtId="0" fontId="4" fillId="3" borderId="29" xfId="0" applyFont="1" applyFill="1" applyBorder="1" applyAlignment="1">
      <alignment horizontal="center" vertical="center" wrapText="1"/>
    </xf>
    <xf numFmtId="1" fontId="3" fillId="3" borderId="5" xfId="0" applyNumberFormat="1" applyFont="1" applyFill="1" applyBorder="1" applyAlignment="1">
      <alignment horizontal="center" vertical="center"/>
    </xf>
    <xf numFmtId="1" fontId="4" fillId="3" borderId="5" xfId="1"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166" fontId="4" fillId="19" borderId="5"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9" fontId="4" fillId="0" borderId="21" xfId="1" applyFont="1" applyFill="1" applyBorder="1" applyAlignment="1">
      <alignment horizontal="center" vertical="center" wrapText="1"/>
    </xf>
    <xf numFmtId="0" fontId="4" fillId="3" borderId="5" xfId="0" applyFont="1" applyFill="1" applyBorder="1" applyAlignment="1">
      <alignment horizontal="justify" vertical="center" wrapText="1"/>
    </xf>
    <xf numFmtId="9" fontId="4" fillId="3" borderId="5" xfId="0" applyNumberFormat="1" applyFont="1" applyFill="1" applyBorder="1" applyAlignment="1">
      <alignment horizontal="justify" vertical="center" wrapText="1"/>
    </xf>
    <xf numFmtId="165" fontId="4" fillId="0" borderId="5" xfId="0" applyNumberFormat="1" applyFont="1" applyFill="1" applyBorder="1" applyAlignment="1">
      <alignment horizontal="center" vertical="center" wrapText="1"/>
    </xf>
    <xf numFmtId="165" fontId="4" fillId="0" borderId="28" xfId="0" applyNumberFormat="1"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justify" vertical="center" wrapText="1"/>
    </xf>
    <xf numFmtId="0" fontId="17" fillId="0" borderId="5" xfId="0" applyFont="1" applyFill="1" applyBorder="1" applyAlignment="1">
      <alignment horizontal="center" vertical="center" wrapText="1"/>
    </xf>
    <xf numFmtId="170" fontId="4" fillId="0" borderId="5" xfId="0" applyNumberFormat="1" applyFont="1" applyFill="1" applyBorder="1" applyAlignment="1">
      <alignment horizontal="center" vertical="center" wrapText="1"/>
    </xf>
    <xf numFmtId="0" fontId="17"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2"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5" xfId="0" applyFill="1" applyBorder="1" applyAlignment="1">
      <alignment horizontal="center" vertical="center"/>
    </xf>
    <xf numFmtId="0" fontId="3" fillId="0" borderId="22" xfId="0" applyFont="1" applyFill="1" applyBorder="1" applyAlignment="1">
      <alignment vertical="center" wrapText="1"/>
    </xf>
    <xf numFmtId="165" fontId="3" fillId="0" borderId="5"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5" xfId="0" applyFont="1" applyFill="1" applyBorder="1" applyAlignment="1">
      <alignment horizontal="center" vertical="center"/>
    </xf>
    <xf numFmtId="170" fontId="4" fillId="0" borderId="5" xfId="0" applyNumberFormat="1" applyFont="1" applyFill="1" applyBorder="1" applyAlignment="1">
      <alignment horizontal="center" vertical="center"/>
    </xf>
    <xf numFmtId="0" fontId="4" fillId="0" borderId="2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22" xfId="0" applyFont="1" applyFill="1" applyBorder="1" applyAlignment="1">
      <alignment horizontal="left" vertical="center" wrapText="1"/>
    </xf>
    <xf numFmtId="0" fontId="11" fillId="0" borderId="22" xfId="0" applyFont="1" applyFill="1" applyBorder="1" applyAlignment="1">
      <alignment horizontal="left" vertical="center" wrapText="1"/>
    </xf>
    <xf numFmtId="170" fontId="4" fillId="0" borderId="0" xfId="0" applyNumberFormat="1" applyFont="1" applyFill="1" applyAlignment="1">
      <alignment horizontal="center" vertical="center" wrapText="1"/>
    </xf>
    <xf numFmtId="0" fontId="2" fillId="0" borderId="5" xfId="0" applyFont="1" applyFill="1" applyBorder="1" applyAlignment="1">
      <alignment horizontal="left" vertical="center" wrapText="1"/>
    </xf>
    <xf numFmtId="9" fontId="4" fillId="0" borderId="5"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9" fontId="17" fillId="0" borderId="21" xfId="0" applyNumberFormat="1" applyFont="1" applyFill="1" applyBorder="1" applyAlignment="1">
      <alignment horizontal="center" vertical="center" wrapText="1"/>
    </xf>
    <xf numFmtId="9" fontId="17" fillId="0" borderId="5" xfId="0" applyNumberFormat="1" applyFont="1" applyFill="1" applyBorder="1" applyAlignment="1">
      <alignment horizontal="center" vertical="center" wrapText="1"/>
    </xf>
    <xf numFmtId="9" fontId="3" fillId="0" borderId="21" xfId="0" applyNumberFormat="1" applyFont="1" applyFill="1" applyBorder="1" applyAlignment="1">
      <alignment horizontal="center" vertical="center"/>
    </xf>
    <xf numFmtId="9" fontId="3" fillId="0" borderId="5"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wrapText="1"/>
    </xf>
    <xf numFmtId="9" fontId="0" fillId="0" borderId="5" xfId="0" applyNumberFormat="1" applyFill="1" applyBorder="1" applyAlignment="1">
      <alignment horizontal="center" vertical="center"/>
    </xf>
    <xf numFmtId="9" fontId="3" fillId="0" borderId="22" xfId="0" applyNumberFormat="1" applyFont="1" applyFill="1" applyBorder="1" applyAlignment="1">
      <alignment horizontal="left" vertical="center" wrapText="1"/>
    </xf>
    <xf numFmtId="9" fontId="4" fillId="0" borderId="21" xfId="1" applyFont="1" applyFill="1" applyBorder="1" applyAlignment="1">
      <alignment horizontal="center" vertical="center"/>
    </xf>
    <xf numFmtId="170" fontId="4" fillId="0" borderId="5" xfId="1" applyNumberFormat="1" applyFont="1" applyFill="1" applyBorder="1" applyAlignment="1">
      <alignment horizontal="center" vertical="center" wrapText="1"/>
    </xf>
    <xf numFmtId="9" fontId="4" fillId="0" borderId="22" xfId="0" applyNumberFormat="1" applyFont="1" applyFill="1" applyBorder="1" applyAlignment="1">
      <alignment horizontal="left" vertical="center" wrapText="1"/>
    </xf>
    <xf numFmtId="9" fontId="3" fillId="0" borderId="5" xfId="0" applyNumberFormat="1" applyFont="1" applyFill="1" applyBorder="1" applyAlignment="1">
      <alignment horizontal="left" vertical="center" wrapText="1"/>
    </xf>
    <xf numFmtId="9" fontId="3" fillId="0" borderId="5" xfId="0"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1" fontId="3" fillId="0" borderId="21" xfId="1" applyNumberFormat="1" applyFont="1" applyFill="1" applyBorder="1" applyAlignment="1">
      <alignment horizontal="center" vertical="center"/>
    </xf>
    <xf numFmtId="1" fontId="4" fillId="0" borderId="21" xfId="1" applyNumberFormat="1" applyFont="1" applyFill="1" applyBorder="1" applyAlignment="1">
      <alignment horizontal="center" vertical="center"/>
    </xf>
    <xf numFmtId="0" fontId="2" fillId="0" borderId="29" xfId="0" applyFont="1" applyFill="1" applyBorder="1" applyAlignment="1">
      <alignment vertical="center" wrapText="1"/>
    </xf>
    <xf numFmtId="9" fontId="17" fillId="0" borderId="22" xfId="0" applyNumberFormat="1" applyFont="1" applyFill="1" applyBorder="1" applyAlignment="1">
      <alignment horizontal="justify" vertical="center" wrapText="1"/>
    </xf>
    <xf numFmtId="9" fontId="17" fillId="0" borderId="22" xfId="0" applyNumberFormat="1" applyFont="1" applyFill="1" applyBorder="1" applyAlignment="1">
      <alignment horizontal="center" vertical="center" wrapText="1"/>
    </xf>
    <xf numFmtId="10" fontId="3" fillId="0" borderId="21" xfId="0" applyNumberFormat="1" applyFont="1" applyFill="1" applyBorder="1" applyAlignment="1">
      <alignment horizontal="center" vertical="center" wrapText="1"/>
    </xf>
    <xf numFmtId="166" fontId="3" fillId="0" borderId="21"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10" fontId="0" fillId="0" borderId="21" xfId="0" applyNumberFormat="1" applyFill="1" applyBorder="1" applyAlignment="1">
      <alignment vertical="center"/>
    </xf>
    <xf numFmtId="9" fontId="12" fillId="0" borderId="5" xfId="0" applyNumberFormat="1" applyFont="1" applyFill="1" applyBorder="1" applyAlignment="1">
      <alignment vertical="center"/>
    </xf>
    <xf numFmtId="3" fontId="0" fillId="0" borderId="5" xfId="0" applyNumberFormat="1" applyFill="1" applyBorder="1" applyAlignment="1">
      <alignment horizontal="center" vertical="center" wrapText="1"/>
    </xf>
    <xf numFmtId="166" fontId="0" fillId="0" borderId="22" xfId="0" applyNumberFormat="1" applyFill="1" applyBorder="1" applyAlignment="1">
      <alignment vertical="top" wrapText="1"/>
    </xf>
    <xf numFmtId="0" fontId="29" fillId="0" borderId="22" xfId="0" applyFont="1" applyFill="1" applyBorder="1" applyAlignment="1">
      <alignment vertical="top" wrapText="1"/>
    </xf>
    <xf numFmtId="2" fontId="3" fillId="0" borderId="5" xfId="0" applyNumberFormat="1" applyFont="1" applyFill="1" applyBorder="1" applyAlignment="1">
      <alignment horizontal="center" vertical="center" wrapText="1"/>
    </xf>
    <xf numFmtId="10" fontId="4" fillId="0" borderId="21"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9" fontId="4" fillId="0" borderId="3" xfId="1" applyFont="1" applyFill="1" applyBorder="1" applyAlignment="1">
      <alignment horizontal="center" vertical="center" wrapText="1"/>
    </xf>
    <xf numFmtId="0" fontId="3" fillId="0" borderId="2" xfId="0" applyFont="1" applyFill="1" applyBorder="1" applyAlignment="1">
      <alignment horizontal="left" vertical="center" wrapText="1"/>
    </xf>
    <xf numFmtId="0" fontId="0" fillId="0" borderId="21" xfId="1" applyNumberFormat="1" applyFont="1" applyFill="1" applyBorder="1" applyAlignment="1">
      <alignment vertical="center"/>
    </xf>
    <xf numFmtId="0" fontId="12" fillId="0" borderId="5" xfId="0" applyFont="1" applyFill="1" applyBorder="1" applyAlignment="1">
      <alignment vertical="center"/>
    </xf>
    <xf numFmtId="166" fontId="0" fillId="0" borderId="22" xfId="0" applyNumberFormat="1" applyFill="1" applyBorder="1" applyAlignment="1">
      <alignment vertical="center" wrapText="1"/>
    </xf>
    <xf numFmtId="0" fontId="4" fillId="0" borderId="21" xfId="0" applyFont="1" applyFill="1" applyBorder="1" applyAlignment="1">
      <alignment horizontal="center" vertical="center" wrapText="1"/>
    </xf>
    <xf numFmtId="9" fontId="3" fillId="0" borderId="21" xfId="0" applyNumberFormat="1" applyFont="1" applyFill="1" applyBorder="1" applyAlignment="1">
      <alignment horizontal="center" vertical="center" wrapText="1"/>
    </xf>
    <xf numFmtId="9" fontId="0" fillId="0" borderId="21" xfId="0" applyNumberFormat="1" applyFill="1" applyBorder="1" applyAlignment="1">
      <alignment horizontal="center" vertical="center"/>
    </xf>
    <xf numFmtId="166" fontId="0" fillId="0" borderId="22" xfId="0" applyNumberFormat="1" applyFill="1" applyBorder="1" applyAlignment="1">
      <alignment horizontal="left" vertical="center" wrapText="1"/>
    </xf>
    <xf numFmtId="0" fontId="0" fillId="0" borderId="21" xfId="1" applyNumberFormat="1" applyFont="1" applyFill="1" applyBorder="1" applyAlignment="1">
      <alignment horizontal="center" vertical="center"/>
    </xf>
    <xf numFmtId="10" fontId="3" fillId="0" borderId="21" xfId="0" applyNumberFormat="1" applyFont="1" applyFill="1" applyBorder="1" applyAlignment="1">
      <alignment horizontal="center" vertical="center"/>
    </xf>
    <xf numFmtId="10" fontId="3" fillId="0" borderId="5" xfId="0" applyNumberFormat="1" applyFont="1" applyFill="1" applyBorder="1" applyAlignment="1">
      <alignment horizontal="center" vertical="center"/>
    </xf>
    <xf numFmtId="10" fontId="0" fillId="0" borderId="21" xfId="0" applyNumberFormat="1" applyFill="1" applyBorder="1" applyAlignment="1">
      <alignment horizontal="center" vertical="center"/>
    </xf>
    <xf numFmtId="10" fontId="0" fillId="0" borderId="5" xfId="0" applyNumberFormat="1" applyFill="1" applyBorder="1" applyAlignment="1">
      <alignment horizontal="center" vertical="center"/>
    </xf>
    <xf numFmtId="10" fontId="3" fillId="0" borderId="5"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wrapText="1"/>
    </xf>
    <xf numFmtId="0" fontId="3" fillId="0" borderId="5" xfId="0" applyFont="1" applyFill="1" applyBorder="1" applyAlignment="1">
      <alignment vertical="center"/>
    </xf>
    <xf numFmtId="9" fontId="3" fillId="0" borderId="22" xfId="0" applyNumberFormat="1" applyFont="1" applyFill="1" applyBorder="1" applyAlignment="1">
      <alignment horizontal="justify" vertical="center" wrapText="1"/>
    </xf>
    <xf numFmtId="9" fontId="0" fillId="0" borderId="22" xfId="0" applyNumberFormat="1" applyFill="1" applyBorder="1" applyAlignment="1">
      <alignment horizontal="left" vertical="center" wrapText="1"/>
    </xf>
    <xf numFmtId="9" fontId="4" fillId="0" borderId="21"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9" xfId="0" applyFont="1" applyFill="1" applyBorder="1" applyAlignment="1">
      <alignment horizontal="left" vertical="center" wrapText="1"/>
    </xf>
    <xf numFmtId="167" fontId="3" fillId="0" borderId="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10" fontId="16" fillId="0" borderId="5" xfId="0" applyNumberFormat="1" applyFont="1" applyFill="1" applyBorder="1" applyAlignment="1">
      <alignment horizontal="center" vertical="center" wrapText="1"/>
    </xf>
    <xf numFmtId="0" fontId="0" fillId="0" borderId="22" xfId="0" applyFill="1" applyBorder="1" applyAlignment="1">
      <alignment vertical="center" wrapText="1"/>
    </xf>
    <xf numFmtId="171" fontId="22" fillId="0" borderId="5" xfId="0" applyNumberFormat="1" applyFont="1" applyFill="1" applyBorder="1" applyAlignment="1" applyProtection="1">
      <alignment horizontal="center" vertical="center" wrapText="1"/>
      <protection locked="0"/>
    </xf>
    <xf numFmtId="1" fontId="3" fillId="0" borderId="2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1" fontId="4" fillId="0" borderId="21" xfId="0" applyNumberFormat="1" applyFont="1" applyFill="1" applyBorder="1" applyAlignment="1">
      <alignment horizontal="center" vertical="center" wrapText="1"/>
    </xf>
    <xf numFmtId="0" fontId="11" fillId="0" borderId="22" xfId="0" applyFont="1" applyFill="1" applyBorder="1" applyAlignment="1">
      <alignment horizontal="justify" vertical="center" wrapText="1"/>
    </xf>
    <xf numFmtId="1" fontId="3" fillId="0" borderId="5" xfId="0" applyNumberFormat="1" applyFont="1" applyFill="1" applyBorder="1" applyAlignment="1">
      <alignment horizontal="center" vertical="center"/>
    </xf>
    <xf numFmtId="0" fontId="3" fillId="0" borderId="5" xfId="0" applyFont="1" applyFill="1" applyBorder="1" applyAlignment="1">
      <alignment horizontal="justify" vertical="center" wrapText="1"/>
    </xf>
    <xf numFmtId="0" fontId="0" fillId="0" borderId="22" xfId="0" applyFill="1" applyBorder="1" applyAlignment="1">
      <alignment horizontal="left" vertical="center" wrapText="1"/>
    </xf>
    <xf numFmtId="166" fontId="3" fillId="0" borderId="21" xfId="1" applyNumberFormat="1" applyFont="1" applyFill="1" applyBorder="1" applyAlignment="1">
      <alignment horizontal="center" vertical="center" wrapText="1"/>
    </xf>
    <xf numFmtId="166" fontId="3" fillId="0" borderId="5" xfId="1" applyNumberFormat="1" applyFont="1" applyFill="1" applyBorder="1" applyAlignment="1">
      <alignment horizontal="center" vertical="center" wrapText="1"/>
    </xf>
    <xf numFmtId="166" fontId="4" fillId="0" borderId="21" xfId="1" applyNumberFormat="1" applyFont="1" applyFill="1" applyBorder="1" applyAlignment="1">
      <alignment horizontal="center" vertical="center" wrapText="1"/>
    </xf>
    <xf numFmtId="0" fontId="0" fillId="0" borderId="22" xfId="0" applyFill="1" applyBorder="1" applyAlignment="1">
      <alignment horizontal="left" vertical="top" wrapText="1"/>
    </xf>
    <xf numFmtId="10" fontId="3" fillId="0" borderId="21"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0" fontId="4" fillId="0" borderId="21" xfId="1" applyNumberFormat="1" applyFont="1" applyFill="1" applyBorder="1" applyAlignment="1">
      <alignment horizontal="center" vertical="center" wrapText="1"/>
    </xf>
    <xf numFmtId="173" fontId="22" fillId="0" borderId="5" xfId="0" applyNumberFormat="1" applyFont="1" applyFill="1" applyBorder="1" applyAlignment="1" applyProtection="1">
      <alignment horizontal="center" vertical="center" wrapText="1"/>
      <protection locked="0"/>
    </xf>
    <xf numFmtId="166" fontId="3" fillId="0" borderId="21" xfId="0" applyNumberFormat="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166" fontId="4" fillId="0" borderId="21"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0" fontId="3" fillId="0" borderId="28" xfId="0" applyFont="1" applyFill="1" applyBorder="1" applyAlignment="1">
      <alignment vertical="center" wrapText="1"/>
    </xf>
    <xf numFmtId="168" fontId="4" fillId="0" borderId="5"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xf>
    <xf numFmtId="168" fontId="3" fillId="0" borderId="5" xfId="0" applyNumberFormat="1" applyFont="1" applyFill="1" applyBorder="1" applyAlignment="1">
      <alignment horizontal="center" vertical="center" wrapText="1"/>
    </xf>
    <xf numFmtId="177" fontId="4" fillId="0" borderId="29" xfId="4" applyNumberFormat="1" applyFont="1" applyFill="1" applyBorder="1" applyAlignment="1">
      <alignment horizontal="center" vertical="center" wrapText="1"/>
    </xf>
    <xf numFmtId="168" fontId="4" fillId="0" borderId="29" xfId="0" applyNumberFormat="1" applyFont="1" applyFill="1" applyBorder="1" applyAlignment="1">
      <alignment horizontal="center" vertical="center" wrapText="1"/>
    </xf>
    <xf numFmtId="0" fontId="3" fillId="0" borderId="29" xfId="0" applyFont="1" applyFill="1" applyBorder="1" applyAlignment="1">
      <alignment vertical="center" wrapText="1"/>
    </xf>
    <xf numFmtId="9" fontId="3" fillId="0" borderId="21" xfId="1" applyFont="1" applyFill="1" applyBorder="1" applyAlignment="1">
      <alignment horizontal="center" vertical="center" wrapText="1"/>
    </xf>
    <xf numFmtId="0" fontId="4" fillId="0" borderId="22" xfId="0" applyFont="1" applyFill="1" applyBorder="1" applyAlignment="1">
      <alignment horizontal="justify" vertical="center" wrapText="1"/>
    </xf>
    <xf numFmtId="3" fontId="3" fillId="0" borderId="5" xfId="0" applyNumberFormat="1" applyFont="1" applyFill="1" applyBorder="1" applyAlignment="1">
      <alignment horizontal="center" vertical="center"/>
    </xf>
    <xf numFmtId="0" fontId="13" fillId="0" borderId="22" xfId="0" applyFont="1" applyFill="1" applyBorder="1" applyAlignment="1">
      <alignment horizontal="justify" vertical="center" wrapText="1"/>
    </xf>
    <xf numFmtId="1" fontId="3" fillId="0" borderId="5" xfId="0" applyNumberFormat="1" applyFont="1" applyFill="1" applyBorder="1" applyAlignment="1">
      <alignment horizontal="center" vertical="center" wrapText="1"/>
    </xf>
    <xf numFmtId="0" fontId="3" fillId="0" borderId="29" xfId="0" applyFont="1" applyFill="1" applyBorder="1" applyAlignment="1">
      <alignment horizontal="justify" vertical="center" wrapText="1"/>
    </xf>
    <xf numFmtId="2" fontId="3" fillId="0" borderId="21" xfId="0" applyNumberFormat="1" applyFont="1" applyFill="1" applyBorder="1" applyAlignment="1">
      <alignment horizontal="center" vertical="center" wrapText="1"/>
    </xf>
    <xf numFmtId="9" fontId="3" fillId="0" borderId="5" xfId="0" applyNumberFormat="1" applyFont="1" applyFill="1" applyBorder="1" applyAlignment="1">
      <alignment horizontal="justify" vertical="center" wrapText="1"/>
    </xf>
    <xf numFmtId="0" fontId="0" fillId="0" borderId="22" xfId="0" applyFill="1" applyBorder="1" applyAlignment="1">
      <alignment vertical="top" wrapText="1"/>
    </xf>
    <xf numFmtId="2" fontId="3" fillId="0" borderId="5" xfId="0" applyNumberFormat="1" applyFont="1" applyFill="1" applyBorder="1" applyAlignment="1">
      <alignment horizontal="center" vertical="center"/>
    </xf>
    <xf numFmtId="167" fontId="3" fillId="0" borderId="21" xfId="1"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171" fontId="4" fillId="0" borderId="21" xfId="3"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21" fillId="0" borderId="22" xfId="0" applyFont="1" applyFill="1" applyBorder="1" applyAlignment="1">
      <alignment horizontal="justify" vertical="center" wrapText="1"/>
    </xf>
    <xf numFmtId="9" fontId="3" fillId="0" borderId="22" xfId="0" applyNumberFormat="1" applyFont="1" applyFill="1" applyBorder="1" applyAlignment="1">
      <alignment vertical="center" wrapText="1"/>
    </xf>
    <xf numFmtId="9" fontId="11" fillId="0" borderId="22" xfId="0" applyNumberFormat="1" applyFont="1" applyFill="1" applyBorder="1" applyAlignment="1">
      <alignment vertical="center" wrapText="1"/>
    </xf>
    <xf numFmtId="9" fontId="3" fillId="0" borderId="29" xfId="0" applyNumberFormat="1" applyFont="1" applyFill="1" applyBorder="1" applyAlignment="1">
      <alignment vertical="center" wrapText="1"/>
    </xf>
    <xf numFmtId="0" fontId="3" fillId="0" borderId="21" xfId="0" applyFont="1" applyFill="1" applyBorder="1" applyAlignment="1">
      <alignment vertical="center" wrapText="1"/>
    </xf>
    <xf numFmtId="165" fontId="3" fillId="0" borderId="5" xfId="0" applyNumberFormat="1" applyFont="1" applyFill="1" applyBorder="1" applyAlignment="1">
      <alignment vertical="center" wrapText="1"/>
    </xf>
    <xf numFmtId="1" fontId="3" fillId="0" borderId="22" xfId="0" applyNumberFormat="1" applyFont="1" applyFill="1" applyBorder="1" applyAlignment="1">
      <alignment horizontal="center" vertical="center" wrapText="1"/>
    </xf>
    <xf numFmtId="1" fontId="0" fillId="0" borderId="22" xfId="0" applyNumberFormat="1" applyFill="1" applyBorder="1" applyAlignment="1">
      <alignment horizontal="left" vertical="center" wrapText="1"/>
    </xf>
    <xf numFmtId="9" fontId="0" fillId="0" borderId="21" xfId="0" applyNumberFormat="1" applyFill="1" applyBorder="1" applyAlignment="1">
      <alignment vertical="center"/>
    </xf>
    <xf numFmtId="9" fontId="0" fillId="0" borderId="5" xfId="0" applyNumberFormat="1" applyFill="1" applyBorder="1" applyAlignment="1">
      <alignment vertical="center"/>
    </xf>
    <xf numFmtId="1" fontId="0" fillId="0" borderId="22" xfId="0" applyNumberFormat="1" applyFill="1" applyBorder="1" applyAlignment="1">
      <alignment vertical="center" wrapText="1"/>
    </xf>
    <xf numFmtId="176" fontId="3" fillId="0" borderId="5"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0" fontId="4" fillId="0" borderId="28"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11" fillId="0" borderId="5" xfId="0" applyFont="1" applyFill="1" applyBorder="1" applyAlignment="1">
      <alignment horizontal="justify" vertical="center" wrapText="1"/>
    </xf>
    <xf numFmtId="165" fontId="4" fillId="0" borderId="4"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4" xfId="0" applyFont="1" applyFill="1" applyBorder="1" applyAlignment="1">
      <alignment horizontal="justify" vertical="center" wrapText="1"/>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165" fontId="12" fillId="0" borderId="5" xfId="0" applyNumberFormat="1" applyFont="1" applyBorder="1" applyAlignment="1">
      <alignment horizontal="center" vertical="center" wrapText="1"/>
    </xf>
    <xf numFmtId="165" fontId="4" fillId="3" borderId="0" xfId="0" applyNumberFormat="1" applyFont="1" applyFill="1" applyAlignment="1">
      <alignment horizontal="center" vertical="center" wrapText="1"/>
    </xf>
    <xf numFmtId="165" fontId="4" fillId="0" borderId="5" xfId="0" applyNumberFormat="1" applyFont="1" applyBorder="1" applyAlignment="1">
      <alignment horizontal="center" vertical="center" wrapText="1"/>
    </xf>
    <xf numFmtId="165" fontId="0" fillId="0" borderId="0" xfId="0" applyNumberFormat="1"/>
    <xf numFmtId="166" fontId="4" fillId="3" borderId="3" xfId="1" applyNumberFormat="1" applyFont="1" applyFill="1" applyBorder="1" applyAlignment="1">
      <alignment horizontal="center" vertical="center" wrapText="1"/>
    </xf>
    <xf numFmtId="0" fontId="11" fillId="0" borderId="29" xfId="0" applyFont="1" applyFill="1" applyBorder="1" applyAlignment="1">
      <alignment horizontal="justify" vertical="center" wrapText="1"/>
    </xf>
    <xf numFmtId="0" fontId="4" fillId="0" borderId="2" xfId="0" applyFont="1" applyFill="1" applyBorder="1" applyAlignment="1">
      <alignment horizontal="justify" vertical="center" wrapText="1"/>
    </xf>
    <xf numFmtId="9" fontId="4" fillId="0" borderId="5" xfId="0" applyNumberFormat="1" applyFont="1" applyFill="1" applyBorder="1" applyAlignment="1">
      <alignment horizontal="justify" vertical="center" wrapText="1"/>
    </xf>
    <xf numFmtId="9" fontId="4" fillId="0" borderId="29" xfId="0" applyNumberFormat="1" applyFont="1" applyFill="1" applyBorder="1" applyAlignment="1">
      <alignment horizontal="justify" vertical="center" wrapText="1"/>
    </xf>
    <xf numFmtId="0" fontId="12" fillId="0" borderId="0" xfId="0" applyFont="1" applyAlignment="1">
      <alignment horizontal="justify"/>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2" fontId="3" fillId="0" borderId="28"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4" fillId="0" borderId="5" xfId="0" applyFont="1" applyBorder="1" applyAlignment="1">
      <alignment horizontal="center" vertical="center" wrapText="1"/>
    </xf>
    <xf numFmtId="9" fontId="4" fillId="4" borderId="5" xfId="1" applyFont="1" applyFill="1" applyBorder="1" applyAlignment="1">
      <alignment horizontal="center" vertical="center" wrapText="1"/>
    </xf>
    <xf numFmtId="42" fontId="4" fillId="0" borderId="28" xfId="0" applyNumberFormat="1" applyFont="1" applyFill="1" applyBorder="1" applyAlignment="1">
      <alignment horizontal="center" vertical="center" wrapText="1"/>
    </xf>
    <xf numFmtId="42" fontId="4" fillId="0" borderId="4" xfId="0" applyNumberFormat="1" applyFont="1" applyFill="1" applyBorder="1" applyAlignment="1">
      <alignment horizontal="center" vertical="center" wrapText="1"/>
    </xf>
    <xf numFmtId="42" fontId="4" fillId="0" borderId="29" xfId="0" applyNumberFormat="1" applyFont="1" applyFill="1" applyBorder="1" applyAlignment="1">
      <alignment horizontal="center" vertical="center" wrapText="1"/>
    </xf>
    <xf numFmtId="165" fontId="4" fillId="0" borderId="28"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9" fontId="4" fillId="4" borderId="29" xfId="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8" xfId="0" applyFont="1" applyFill="1" applyBorder="1" applyAlignment="1">
      <alignment horizontal="justify" vertical="center" wrapText="1"/>
    </xf>
    <xf numFmtId="0" fontId="4" fillId="0" borderId="4" xfId="0" applyFont="1" applyFill="1" applyBorder="1" applyAlignment="1">
      <alignment horizontal="justify" vertical="center" wrapText="1"/>
    </xf>
    <xf numFmtId="1" fontId="3" fillId="0" borderId="28" xfId="0" applyNumberFormat="1" applyFont="1" applyBorder="1" applyAlignment="1">
      <alignment horizontal="center" vertical="center"/>
    </xf>
    <xf numFmtId="1" fontId="3" fillId="0" borderId="29" xfId="0" applyNumberFormat="1" applyFont="1" applyBorder="1" applyAlignment="1">
      <alignment horizontal="center" vertical="center"/>
    </xf>
    <xf numFmtId="9" fontId="4" fillId="5" borderId="5" xfId="1" applyFont="1" applyFill="1" applyBorder="1" applyAlignment="1">
      <alignment horizontal="center" vertical="center" wrapText="1"/>
    </xf>
    <xf numFmtId="170" fontId="4" fillId="3" borderId="28" xfId="1" applyNumberFormat="1" applyFont="1" applyFill="1" applyBorder="1" applyAlignment="1">
      <alignment horizontal="center" vertical="center" wrapText="1"/>
    </xf>
    <xf numFmtId="170" fontId="4" fillId="3" borderId="29" xfId="1" applyNumberFormat="1" applyFont="1" applyFill="1" applyBorder="1" applyAlignment="1">
      <alignment horizontal="center" vertical="center" wrapText="1"/>
    </xf>
    <xf numFmtId="165" fontId="4" fillId="0" borderId="28" xfId="0" applyNumberFormat="1"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9" fontId="4" fillId="5" borderId="28" xfId="1" applyFont="1" applyFill="1" applyBorder="1" applyAlignment="1">
      <alignment horizontal="center" vertical="center" wrapText="1"/>
    </xf>
    <xf numFmtId="9" fontId="4" fillId="5" borderId="6" xfId="1" applyFont="1" applyFill="1" applyBorder="1" applyAlignment="1">
      <alignment horizontal="center" vertical="center" wrapText="1"/>
    </xf>
    <xf numFmtId="0" fontId="11" fillId="0" borderId="5" xfId="0" applyFont="1" applyFill="1" applyBorder="1" applyAlignment="1">
      <alignment horizontal="justify" vertical="center" wrapText="1"/>
    </xf>
    <xf numFmtId="0" fontId="4" fillId="0" borderId="5" xfId="0" applyFont="1" applyFill="1" applyBorder="1" applyAlignment="1">
      <alignment horizontal="justify" vertical="center" wrapText="1"/>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5" xfId="1" applyNumberFormat="1" applyFont="1" applyFill="1" applyBorder="1" applyAlignment="1">
      <alignment horizontal="center" vertical="center" wrapText="1"/>
    </xf>
    <xf numFmtId="9" fontId="4" fillId="5" borderId="29" xfId="1" applyFont="1" applyFill="1" applyBorder="1" applyAlignment="1">
      <alignment horizontal="center" vertical="center" wrapText="1"/>
    </xf>
    <xf numFmtId="1" fontId="3" fillId="0" borderId="26" xfId="0" applyNumberFormat="1" applyFont="1" applyBorder="1" applyAlignment="1">
      <alignment horizontal="center" vertical="center"/>
    </xf>
    <xf numFmtId="1" fontId="3" fillId="0" borderId="27" xfId="0" applyNumberFormat="1" applyFont="1" applyBorder="1" applyAlignment="1">
      <alignment horizontal="center" vertical="center"/>
    </xf>
    <xf numFmtId="165" fontId="4" fillId="3" borderId="5" xfId="0" applyNumberFormat="1" applyFont="1" applyFill="1" applyBorder="1" applyAlignment="1">
      <alignment horizontal="center" vertical="center" wrapText="1"/>
    </xf>
    <xf numFmtId="0" fontId="3" fillId="0" borderId="29" xfId="0" applyFont="1" applyBorder="1" applyAlignment="1">
      <alignment horizontal="center" vertical="center" wrapText="1"/>
    </xf>
    <xf numFmtId="9" fontId="3" fillId="0" borderId="28" xfId="0" applyNumberFormat="1"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xf>
    <xf numFmtId="9" fontId="4" fillId="0" borderId="5" xfId="0" applyNumberFormat="1" applyFont="1" applyBorder="1" applyAlignment="1">
      <alignment horizontal="center" vertical="center" wrapText="1"/>
    </xf>
    <xf numFmtId="9" fontId="4" fillId="5" borderId="4" xfId="1" applyFont="1" applyFill="1" applyBorder="1" applyAlignment="1">
      <alignment horizontal="center" vertical="center" wrapText="1"/>
    </xf>
    <xf numFmtId="0" fontId="3" fillId="0" borderId="2" xfId="0" applyFont="1" applyBorder="1" applyAlignment="1">
      <alignment horizontal="center" vertical="center" wrapText="1"/>
    </xf>
    <xf numFmtId="0" fontId="4" fillId="3" borderId="4" xfId="0" applyFont="1" applyFill="1" applyBorder="1" applyAlignment="1">
      <alignment horizontal="justify" vertical="center" wrapText="1"/>
    </xf>
    <xf numFmtId="0" fontId="4" fillId="3" borderId="29" xfId="0" applyFont="1" applyFill="1" applyBorder="1" applyAlignment="1">
      <alignment horizontal="justify" vertical="center" wrapText="1"/>
    </xf>
    <xf numFmtId="9" fontId="3" fillId="0" borderId="28" xfId="0" applyNumberFormat="1" applyFont="1" applyFill="1" applyBorder="1" applyAlignment="1">
      <alignment horizontal="center" vertical="center"/>
    </xf>
    <xf numFmtId="9" fontId="3" fillId="0" borderId="29" xfId="0" applyNumberFormat="1" applyFont="1" applyFill="1" applyBorder="1" applyAlignment="1">
      <alignment horizontal="center" vertical="center"/>
    </xf>
    <xf numFmtId="9" fontId="4" fillId="0" borderId="5" xfId="1" applyFont="1" applyFill="1" applyBorder="1" applyAlignment="1">
      <alignment horizontal="center" vertical="center" wrapText="1"/>
    </xf>
    <xf numFmtId="9" fontId="4" fillId="6" borderId="5" xfId="1" applyFont="1" applyFill="1" applyBorder="1" applyAlignment="1">
      <alignment horizontal="center" vertical="center" wrapText="1"/>
    </xf>
    <xf numFmtId="9" fontId="4" fillId="6" borderId="28" xfId="1" applyFont="1" applyFill="1" applyBorder="1" applyAlignment="1">
      <alignment horizontal="center" vertical="center" wrapText="1"/>
    </xf>
    <xf numFmtId="9" fontId="4" fillId="6" borderId="29" xfId="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0" fontId="4" fillId="0" borderId="29" xfId="0" applyFont="1" applyFill="1" applyBorder="1" applyAlignment="1">
      <alignment horizontal="justify"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10" fontId="4" fillId="0" borderId="5" xfId="0" applyNumberFormat="1" applyFont="1" applyBorder="1" applyAlignment="1">
      <alignment horizontal="center" vertical="center" wrapText="1"/>
    </xf>
    <xf numFmtId="165" fontId="11" fillId="3" borderId="29"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9" fontId="4" fillId="8" borderId="5" xfId="1" applyFont="1" applyFill="1" applyBorder="1" applyAlignment="1">
      <alignment horizontal="center" vertical="center" wrapText="1"/>
    </xf>
    <xf numFmtId="165" fontId="4" fillId="3" borderId="5" xfId="4"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9" fontId="4" fillId="8" borderId="29" xfId="1" applyFont="1" applyFill="1" applyBorder="1" applyAlignment="1">
      <alignment horizontal="center" vertical="center" wrapText="1"/>
    </xf>
    <xf numFmtId="9" fontId="4" fillId="7" borderId="28" xfId="1" applyFont="1" applyFill="1" applyBorder="1" applyAlignment="1">
      <alignment horizontal="center" vertical="center" wrapText="1"/>
    </xf>
    <xf numFmtId="9" fontId="4" fillId="7" borderId="29" xfId="1" applyFont="1" applyFill="1" applyBorder="1" applyAlignment="1">
      <alignment horizontal="center" vertical="center" wrapText="1"/>
    </xf>
    <xf numFmtId="0" fontId="11" fillId="0" borderId="28" xfId="0" applyFont="1" applyFill="1" applyBorder="1" applyAlignment="1">
      <alignment horizontal="justify" vertical="center" wrapText="1"/>
    </xf>
    <xf numFmtId="0" fontId="4" fillId="3" borderId="28" xfId="0" applyFont="1" applyFill="1" applyBorder="1" applyAlignment="1">
      <alignment horizontal="justify" vertical="center" wrapText="1"/>
    </xf>
    <xf numFmtId="9"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9" fontId="4" fillId="3" borderId="5" xfId="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44" fontId="4" fillId="3" borderId="28" xfId="4" applyFont="1" applyFill="1" applyBorder="1" applyAlignment="1">
      <alignment horizontal="center" vertical="center" wrapText="1"/>
    </xf>
    <xf numFmtId="44" fontId="4" fillId="3" borderId="29" xfId="4" applyFont="1" applyFill="1" applyBorder="1" applyAlignment="1">
      <alignment horizontal="center" vertical="center" wrapText="1"/>
    </xf>
    <xf numFmtId="9" fontId="4" fillId="7" borderId="5" xfId="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170" fontId="4" fillId="3" borderId="5" xfId="4" applyNumberFormat="1" applyFont="1" applyFill="1" applyBorder="1" applyAlignment="1">
      <alignment horizontal="center" vertical="center" wrapText="1"/>
    </xf>
    <xf numFmtId="9" fontId="4" fillId="0" borderId="28" xfId="0" applyNumberFormat="1" applyFont="1" applyFill="1" applyBorder="1" applyAlignment="1">
      <alignment horizontal="justify" vertical="center" wrapText="1"/>
    </xf>
    <xf numFmtId="9" fontId="4" fillId="0" borderId="4" xfId="0" applyNumberFormat="1" applyFont="1" applyFill="1" applyBorder="1" applyAlignment="1">
      <alignment horizontal="justify" vertical="center" wrapText="1"/>
    </xf>
    <xf numFmtId="9" fontId="4" fillId="0" borderId="29" xfId="0" applyNumberFormat="1" applyFont="1" applyFill="1" applyBorder="1" applyAlignment="1">
      <alignment horizontal="justify" vertical="center" wrapText="1"/>
    </xf>
    <xf numFmtId="10" fontId="4" fillId="3" borderId="28" xfId="0" applyNumberFormat="1"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9" fontId="4" fillId="11" borderId="28"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1" borderId="29" xfId="1" applyFont="1" applyFill="1" applyBorder="1" applyAlignment="1">
      <alignment horizontal="center" vertical="center" wrapText="1"/>
    </xf>
    <xf numFmtId="9" fontId="3" fillId="0" borderId="26" xfId="0" applyNumberFormat="1" applyFont="1" applyFill="1" applyBorder="1" applyAlignment="1">
      <alignment horizontal="center" vertical="center"/>
    </xf>
    <xf numFmtId="9" fontId="3" fillId="0" borderId="27" xfId="0" applyNumberFormat="1" applyFont="1" applyFill="1" applyBorder="1" applyAlignment="1">
      <alignment horizontal="center" vertical="center"/>
    </xf>
    <xf numFmtId="10" fontId="4" fillId="0" borderId="28" xfId="0" applyNumberFormat="1" applyFont="1" applyFill="1" applyBorder="1" applyAlignment="1">
      <alignment horizontal="justify" vertical="center" wrapText="1"/>
    </xf>
    <xf numFmtId="10" fontId="4" fillId="0" borderId="4" xfId="0" applyNumberFormat="1" applyFont="1" applyFill="1" applyBorder="1" applyAlignment="1">
      <alignment horizontal="justify" vertical="center" wrapText="1"/>
    </xf>
    <xf numFmtId="10" fontId="4" fillId="0" borderId="29" xfId="0" applyNumberFormat="1" applyFont="1" applyFill="1" applyBorder="1" applyAlignment="1">
      <alignment horizontal="justify" vertical="center" wrapText="1"/>
    </xf>
    <xf numFmtId="0" fontId="16" fillId="2" borderId="19" xfId="0" applyFont="1" applyFill="1" applyBorder="1" applyAlignment="1">
      <alignment horizontal="center"/>
    </xf>
    <xf numFmtId="0" fontId="16" fillId="2" borderId="17" xfId="0" applyFont="1" applyFill="1" applyBorder="1" applyAlignment="1">
      <alignment horizontal="center"/>
    </xf>
    <xf numFmtId="0" fontId="16" fillId="2" borderId="11" xfId="0" applyFont="1" applyFill="1" applyBorder="1" applyAlignment="1">
      <alignment horizontal="center"/>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9" fontId="11" fillId="2" borderId="8" xfId="1" applyFont="1" applyFill="1" applyBorder="1" applyAlignment="1">
      <alignment horizontal="center" vertical="center" wrapText="1"/>
    </xf>
    <xf numFmtId="9" fontId="11" fillId="2" borderId="13" xfId="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0" fontId="11" fillId="2" borderId="30" xfId="0" applyFont="1" applyFill="1" applyBorder="1" applyAlignment="1">
      <alignment horizontal="center" vertical="center" wrapText="1"/>
    </xf>
    <xf numFmtId="9" fontId="4" fillId="7" borderId="4" xfId="1" applyFont="1" applyFill="1" applyBorder="1" applyAlignment="1">
      <alignment horizontal="center" vertical="center" wrapText="1"/>
    </xf>
    <xf numFmtId="9" fontId="4" fillId="7" borderId="6"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3" borderId="6" xfId="0" applyFont="1" applyFill="1" applyBorder="1" applyAlignment="1">
      <alignment horizontal="justify" vertical="center" wrapText="1"/>
    </xf>
    <xf numFmtId="9" fontId="4" fillId="4" borderId="28" xfId="1" applyFont="1" applyFill="1" applyBorder="1" applyAlignment="1">
      <alignment horizontal="center" vertical="center"/>
    </xf>
    <xf numFmtId="9" fontId="4" fillId="4" borderId="29" xfId="1" applyFont="1" applyFill="1" applyBorder="1" applyAlignment="1">
      <alignment horizontal="center" vertical="center"/>
    </xf>
    <xf numFmtId="0" fontId="4" fillId="0" borderId="21"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166" fontId="3" fillId="0" borderId="28" xfId="1" applyNumberFormat="1" applyFont="1" applyFill="1" applyBorder="1" applyAlignment="1">
      <alignment horizontal="center" vertical="center"/>
    </xf>
    <xf numFmtId="166" fontId="3" fillId="0" borderId="29" xfId="1" applyNumberFormat="1" applyFont="1" applyFill="1" applyBorder="1" applyAlignment="1">
      <alignment horizontal="center" vertical="center"/>
    </xf>
    <xf numFmtId="10" fontId="4" fillId="0" borderId="28" xfId="0" applyNumberFormat="1" applyFont="1" applyFill="1" applyBorder="1" applyAlignment="1">
      <alignment horizontal="center" vertical="center" wrapText="1"/>
    </xf>
    <xf numFmtId="10" fontId="4" fillId="0" borderId="29"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9" fontId="4" fillId="0" borderId="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5"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11" fillId="2" borderId="19"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textRotation="90"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6" xfId="0" applyFont="1" applyBorder="1" applyAlignment="1">
      <alignment horizontal="center" vertical="center" wrapText="1"/>
    </xf>
    <xf numFmtId="165" fontId="4" fillId="0" borderId="5"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42" fontId="12" fillId="0" borderId="5"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17" fillId="0" borderId="22" xfId="0" applyFont="1" applyFill="1" applyBorder="1" applyAlignment="1">
      <alignment horizontal="justify" vertical="center" wrapText="1"/>
    </xf>
    <xf numFmtId="0" fontId="17" fillId="0"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22" xfId="0" applyFont="1" applyBorder="1" applyAlignment="1">
      <alignment horizontal="left" vertical="center" wrapText="1"/>
    </xf>
    <xf numFmtId="0" fontId="4" fillId="3" borderId="22"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7" fillId="0" borderId="22" xfId="0" applyFont="1" applyBorder="1" applyAlignment="1">
      <alignment horizontal="center" vertical="center" wrapText="1"/>
    </xf>
    <xf numFmtId="1" fontId="4" fillId="0" borderId="21" xfId="0" applyNumberFormat="1" applyFont="1" applyBorder="1" applyAlignment="1">
      <alignment horizontal="center" vertical="center" wrapText="1"/>
    </xf>
    <xf numFmtId="170" fontId="4" fillId="3" borderId="5" xfId="1" applyNumberFormat="1" applyFont="1" applyFill="1" applyBorder="1" applyAlignment="1">
      <alignment horizontal="center" vertical="center" wrapText="1"/>
    </xf>
    <xf numFmtId="6" fontId="4" fillId="3" borderId="5" xfId="1" applyNumberFormat="1" applyFont="1" applyFill="1" applyBorder="1" applyAlignment="1">
      <alignment horizontal="center" vertical="center" wrapText="1"/>
    </xf>
    <xf numFmtId="0" fontId="4" fillId="0" borderId="22"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5" xfId="0" applyBorder="1" applyAlignment="1">
      <alignment horizontal="center" vertical="center" wrapText="1"/>
    </xf>
    <xf numFmtId="164" fontId="17" fillId="0" borderId="5" xfId="3" applyFont="1" applyFill="1" applyBorder="1" applyAlignment="1">
      <alignment horizontal="center" vertical="center" wrapText="1"/>
    </xf>
    <xf numFmtId="164" fontId="0" fillId="0" borderId="5" xfId="3" applyFont="1" applyBorder="1" applyAlignment="1">
      <alignment horizontal="center" vertical="center" wrapText="1"/>
    </xf>
    <xf numFmtId="9" fontId="4" fillId="0" borderId="21" xfId="0" applyNumberFormat="1" applyFont="1" applyBorder="1" applyAlignment="1">
      <alignment horizontal="center" vertical="center" wrapText="1"/>
    </xf>
    <xf numFmtId="1" fontId="4" fillId="3" borderId="21" xfId="3" applyNumberFormat="1" applyFont="1" applyFill="1" applyBorder="1" applyAlignment="1">
      <alignment horizontal="center" vertical="center" wrapText="1"/>
    </xf>
    <xf numFmtId="1" fontId="4" fillId="0" borderId="21" xfId="3" applyNumberFormat="1" applyFont="1" applyFill="1" applyBorder="1" applyAlignment="1">
      <alignment horizontal="center" vertical="center" wrapText="1"/>
    </xf>
    <xf numFmtId="0" fontId="4" fillId="0" borderId="5" xfId="2" applyFont="1" applyFill="1" applyBorder="1" applyAlignment="1">
      <alignment horizontal="center" vertical="center" wrapText="1"/>
    </xf>
    <xf numFmtId="0" fontId="3" fillId="0" borderId="21" xfId="0" applyFont="1" applyBorder="1" applyAlignment="1">
      <alignment horizontal="center" vertical="center" wrapText="1"/>
    </xf>
    <xf numFmtId="9" fontId="3" fillId="0" borderId="21" xfId="0" applyNumberFormat="1" applyFont="1" applyFill="1" applyBorder="1" applyAlignment="1">
      <alignment horizontal="center" vertical="center" wrapText="1"/>
    </xf>
    <xf numFmtId="169" fontId="4" fillId="0" borderId="5" xfId="0" applyNumberFormat="1" applyFont="1" applyFill="1" applyBorder="1" applyAlignment="1">
      <alignment horizontal="center" vertical="center" wrapText="1"/>
    </xf>
    <xf numFmtId="165" fontId="11" fillId="0" borderId="5" xfId="0" applyNumberFormat="1" applyFont="1" applyFill="1" applyBorder="1" applyAlignment="1">
      <alignment horizontal="center" vertical="center" wrapText="1"/>
    </xf>
    <xf numFmtId="9" fontId="4" fillId="0" borderId="22" xfId="0" applyNumberFormat="1" applyFont="1" applyBorder="1" applyAlignment="1">
      <alignment horizontal="center" vertical="center" wrapText="1"/>
    </xf>
    <xf numFmtId="9" fontId="17" fillId="0" borderId="22" xfId="0" applyNumberFormat="1" applyFont="1" applyFill="1" applyBorder="1" applyAlignment="1">
      <alignment horizontal="justify" vertical="center" wrapText="1"/>
    </xf>
    <xf numFmtId="0" fontId="17" fillId="0" borderId="22" xfId="0" applyFont="1" applyBorder="1" applyAlignment="1">
      <alignment horizontal="justify" vertical="center" wrapText="1"/>
    </xf>
    <xf numFmtId="0" fontId="16" fillId="16" borderId="19" xfId="0" applyFont="1" applyFill="1" applyBorder="1" applyAlignment="1">
      <alignment horizontal="center"/>
    </xf>
    <xf numFmtId="0" fontId="16" fillId="16" borderId="17" xfId="0" applyFont="1" applyFill="1" applyBorder="1" applyAlignment="1">
      <alignment horizontal="center"/>
    </xf>
    <xf numFmtId="0" fontId="16" fillId="16" borderId="11" xfId="0" applyFont="1" applyFill="1" applyBorder="1" applyAlignment="1">
      <alignment horizontal="center"/>
    </xf>
    <xf numFmtId="9" fontId="3" fillId="0" borderId="22"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xf>
    <xf numFmtId="9" fontId="3" fillId="0" borderId="5"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9"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10" fontId="3" fillId="0" borderId="21" xfId="0" applyNumberFormat="1" applyFont="1" applyFill="1" applyBorder="1" applyAlignment="1">
      <alignment horizontal="center" vertical="center"/>
    </xf>
    <xf numFmtId="10" fontId="3" fillId="0" borderId="5" xfId="0" applyNumberFormat="1"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5" xfId="0" applyFont="1" applyFill="1" applyBorder="1" applyAlignment="1">
      <alignment horizontal="center" vertical="center" wrapText="1"/>
    </xf>
    <xf numFmtId="1" fontId="3" fillId="0" borderId="21"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0" fontId="3" fillId="0" borderId="5" xfId="0" applyNumberFormat="1" applyFont="1" applyFill="1" applyBorder="1" applyAlignment="1">
      <alignment horizontal="center" vertical="center" wrapText="1"/>
    </xf>
    <xf numFmtId="9" fontId="3" fillId="0" borderId="21"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9" fontId="3" fillId="0" borderId="5" xfId="0" applyNumberFormat="1" applyFont="1" applyBorder="1" applyAlignment="1">
      <alignment horizontal="center" vertical="center"/>
    </xf>
    <xf numFmtId="165" fontId="3" fillId="0" borderId="5" xfId="0" applyNumberFormat="1"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xf>
    <xf numFmtId="0" fontId="3" fillId="0" borderId="21" xfId="0" applyFont="1" applyBorder="1" applyAlignment="1">
      <alignment horizontal="center" vertical="center"/>
    </xf>
    <xf numFmtId="9" fontId="0" fillId="0" borderId="21" xfId="0" applyNumberFormat="1" applyFill="1" applyBorder="1" applyAlignment="1">
      <alignment horizontal="center" vertical="center"/>
    </xf>
    <xf numFmtId="0" fontId="0" fillId="0" borderId="21" xfId="0" applyFill="1" applyBorder="1" applyAlignment="1">
      <alignment horizontal="center" vertical="center"/>
    </xf>
    <xf numFmtId="9" fontId="0" fillId="0" borderId="5" xfId="0" applyNumberFormat="1" applyFill="1" applyBorder="1" applyAlignment="1">
      <alignment horizontal="center" vertical="center"/>
    </xf>
    <xf numFmtId="0" fontId="0" fillId="0" borderId="5" xfId="0" applyFill="1" applyBorder="1" applyAlignment="1">
      <alignment horizontal="center" vertical="center"/>
    </xf>
    <xf numFmtId="3" fontId="0" fillId="0" borderId="5" xfId="0" applyNumberFormat="1" applyFill="1" applyBorder="1" applyAlignment="1">
      <alignment horizontal="center" vertical="center" wrapText="1"/>
    </xf>
    <xf numFmtId="175" fontId="0" fillId="0" borderId="5" xfId="4" applyNumberFormat="1" applyFont="1" applyFill="1" applyBorder="1" applyAlignment="1">
      <alignment horizontal="center" vertical="center" wrapText="1"/>
    </xf>
    <xf numFmtId="175" fontId="0" fillId="0" borderId="5" xfId="4" applyNumberFormat="1" applyFont="1" applyFill="1" applyBorder="1" applyAlignment="1">
      <alignment horizontal="center" vertical="center"/>
    </xf>
    <xf numFmtId="9" fontId="3" fillId="0" borderId="22" xfId="0" applyNumberFormat="1" applyFont="1" applyFill="1" applyBorder="1" applyAlignment="1">
      <alignment horizontal="left" vertical="center" wrapText="1"/>
    </xf>
    <xf numFmtId="3" fontId="22" fillId="0" borderId="5" xfId="0" applyNumberFormat="1" applyFont="1" applyFill="1" applyBorder="1" applyAlignment="1">
      <alignment horizontal="center" vertical="center" wrapText="1"/>
    </xf>
    <xf numFmtId="10" fontId="0" fillId="0" borderId="22" xfId="0" applyNumberFormat="1" applyFill="1" applyBorder="1" applyAlignment="1">
      <alignment horizontal="center" vertical="center" wrapText="1"/>
    </xf>
    <xf numFmtId="0" fontId="29" fillId="0" borderId="22" xfId="0" applyFont="1" applyFill="1" applyBorder="1" applyAlignment="1">
      <alignment horizontal="center" vertical="top" wrapText="1"/>
    </xf>
    <xf numFmtId="0" fontId="3" fillId="0" borderId="22" xfId="0" applyFont="1" applyFill="1" applyBorder="1" applyAlignment="1">
      <alignment horizontal="left" vertical="center" wrapText="1"/>
    </xf>
    <xf numFmtId="0" fontId="3" fillId="0" borderId="21" xfId="3"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8" xfId="1" applyFont="1" applyFill="1" applyBorder="1" applyAlignment="1">
      <alignment horizontal="center" vertical="center" wrapText="1"/>
    </xf>
    <xf numFmtId="9" fontId="2" fillId="2" borderId="13" xfId="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9" fontId="3" fillId="0" borderId="5" xfId="1"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10" fontId="3" fillId="0" borderId="21" xfId="1" applyNumberFormat="1" applyFont="1" applyFill="1" applyBorder="1" applyAlignment="1">
      <alignment horizontal="center" vertical="center" wrapText="1"/>
    </xf>
    <xf numFmtId="10" fontId="4" fillId="0" borderId="21" xfId="1" applyNumberFormat="1" applyFont="1" applyFill="1" applyBorder="1" applyAlignment="1">
      <alignment horizontal="center" vertical="center" wrapText="1"/>
    </xf>
    <xf numFmtId="9" fontId="4" fillId="0" borderId="22" xfId="0" applyNumberFormat="1" applyFont="1" applyFill="1" applyBorder="1" applyAlignment="1">
      <alignment horizontal="left" vertical="center" wrapText="1"/>
    </xf>
    <xf numFmtId="10" fontId="3" fillId="0" borderId="21" xfId="0" applyNumberFormat="1" applyFont="1" applyFill="1" applyBorder="1" applyAlignment="1">
      <alignment horizontal="center" vertical="center" wrapText="1"/>
    </xf>
    <xf numFmtId="169" fontId="3" fillId="0" borderId="5" xfId="0" applyNumberFormat="1" applyFont="1" applyFill="1" applyBorder="1" applyAlignment="1">
      <alignment horizontal="center" vertical="center" wrapText="1"/>
    </xf>
    <xf numFmtId="10" fontId="2" fillId="0" borderId="22" xfId="0" applyNumberFormat="1" applyFont="1" applyFill="1" applyBorder="1" applyAlignment="1">
      <alignment horizontal="left" vertical="center" wrapText="1"/>
    </xf>
    <xf numFmtId="10" fontId="3" fillId="0" borderId="22" xfId="0" applyNumberFormat="1" applyFont="1" applyFill="1" applyBorder="1" applyAlignment="1">
      <alignment horizontal="left" vertical="center" wrapText="1"/>
    </xf>
    <xf numFmtId="10" fontId="4" fillId="0" borderId="21" xfId="0" applyNumberFormat="1" applyFont="1" applyFill="1" applyBorder="1" applyAlignment="1">
      <alignment horizontal="center" vertical="center" wrapText="1"/>
    </xf>
    <xf numFmtId="10" fontId="11" fillId="0" borderId="22" xfId="0" applyNumberFormat="1" applyFont="1" applyFill="1" applyBorder="1" applyAlignment="1">
      <alignment horizontal="left" vertical="center" wrapText="1"/>
    </xf>
    <xf numFmtId="10" fontId="4" fillId="0" borderId="5" xfId="0" applyNumberFormat="1" applyFont="1" applyFill="1" applyBorder="1" applyAlignment="1">
      <alignment horizontal="center" vertical="center" wrapText="1"/>
    </xf>
    <xf numFmtId="171" fontId="4" fillId="0" borderId="21" xfId="3" applyNumberFormat="1" applyFont="1" applyFill="1" applyBorder="1" applyAlignment="1">
      <alignment vertical="center" wrapText="1"/>
    </xf>
    <xf numFmtId="0" fontId="2" fillId="0" borderId="22" xfId="0" applyFont="1" applyFill="1" applyBorder="1" applyAlignment="1">
      <alignment horizontal="left" vertical="center" wrapText="1"/>
    </xf>
    <xf numFmtId="10" fontId="3" fillId="0" borderId="5" xfId="1" applyNumberFormat="1" applyFont="1" applyFill="1" applyBorder="1" applyAlignment="1">
      <alignment horizontal="center" vertical="center" wrapText="1"/>
    </xf>
    <xf numFmtId="9" fontId="3" fillId="0" borderId="21" xfId="1" applyFont="1" applyFill="1" applyBorder="1" applyAlignment="1">
      <alignment horizontal="center" vertical="center" wrapText="1"/>
    </xf>
    <xf numFmtId="165" fontId="2" fillId="0" borderId="5" xfId="0" applyNumberFormat="1" applyFont="1" applyFill="1" applyBorder="1" applyAlignment="1">
      <alignment horizontal="center" vertical="center" wrapText="1"/>
    </xf>
    <xf numFmtId="9" fontId="4" fillId="0" borderId="21" xfId="1" applyFont="1" applyFill="1" applyBorder="1" applyAlignment="1">
      <alignment horizontal="center" vertical="center" wrapText="1"/>
    </xf>
    <xf numFmtId="0" fontId="4" fillId="0" borderId="22" xfId="0" applyFont="1" applyFill="1" applyBorder="1" applyAlignment="1">
      <alignment vertical="center" wrapText="1"/>
    </xf>
    <xf numFmtId="0" fontId="3" fillId="0" borderId="22" xfId="0" applyFont="1" applyFill="1" applyBorder="1" applyAlignment="1">
      <alignment vertical="center" wrapText="1"/>
    </xf>
    <xf numFmtId="0" fontId="11" fillId="0" borderId="22" xfId="0" applyFont="1" applyFill="1" applyBorder="1" applyAlignment="1">
      <alignment horizontal="left" vertical="center" wrapText="1"/>
    </xf>
    <xf numFmtId="9" fontId="3" fillId="0" borderId="21" xfId="3" applyNumberFormat="1" applyFont="1" applyFill="1" applyBorder="1" applyAlignment="1">
      <alignment horizontal="center" vertical="center" wrapText="1"/>
    </xf>
    <xf numFmtId="9" fontId="4" fillId="0" borderId="21" xfId="3" applyNumberFormat="1" applyFont="1" applyFill="1" applyBorder="1" applyAlignment="1">
      <alignment horizontal="center" vertical="center" wrapText="1"/>
    </xf>
    <xf numFmtId="0" fontId="4" fillId="0" borderId="21" xfId="3"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0" fontId="2" fillId="0" borderId="22" xfId="0" applyFont="1" applyBorder="1" applyAlignment="1">
      <alignment horizontal="left" vertical="center" wrapText="1"/>
    </xf>
    <xf numFmtId="0" fontId="3" fillId="0" borderId="22" xfId="0" applyFont="1" applyBorder="1" applyAlignment="1">
      <alignment horizontal="left" vertical="center" wrapText="1"/>
    </xf>
    <xf numFmtId="1" fontId="3" fillId="3" borderId="21" xfId="3"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0" fontId="2" fillId="3" borderId="22" xfId="0" applyFont="1" applyFill="1" applyBorder="1" applyAlignment="1">
      <alignment horizontal="left" vertical="center" wrapText="1"/>
    </xf>
    <xf numFmtId="0" fontId="11" fillId="0" borderId="22" xfId="0" applyFont="1" applyBorder="1" applyAlignment="1">
      <alignment horizontal="left" vertical="center" wrapText="1"/>
    </xf>
    <xf numFmtId="0" fontId="3" fillId="3" borderId="7" xfId="0" applyFont="1" applyFill="1" applyBorder="1" applyAlignment="1">
      <alignment horizontal="center" vertical="center" wrapText="1"/>
    </xf>
    <xf numFmtId="0" fontId="16" fillId="16" borderId="19" xfId="0" applyFont="1" applyFill="1" applyBorder="1" applyAlignment="1">
      <alignment horizontal="center" vertical="center"/>
    </xf>
    <xf numFmtId="0" fontId="16" fillId="16" borderId="17" xfId="0" applyFont="1" applyFill="1" applyBorder="1" applyAlignment="1">
      <alignment horizontal="center" vertical="center"/>
    </xf>
    <xf numFmtId="0" fontId="16" fillId="16" borderId="11" xfId="0" applyFont="1" applyFill="1" applyBorder="1" applyAlignment="1">
      <alignment horizontal="center" vertical="center"/>
    </xf>
    <xf numFmtId="42" fontId="12" fillId="0" borderId="28" xfId="0" applyNumberFormat="1" applyFont="1" applyFill="1" applyBorder="1" applyAlignment="1">
      <alignment horizontal="center" vertical="center" wrapText="1"/>
    </xf>
    <xf numFmtId="42" fontId="12" fillId="0" borderId="29" xfId="0" applyNumberFormat="1"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9" fontId="3" fillId="0" borderId="28" xfId="0" applyNumberFormat="1" applyFont="1" applyFill="1" applyBorder="1" applyAlignment="1">
      <alignment horizontal="left" vertical="center" wrapText="1"/>
    </xf>
    <xf numFmtId="9" fontId="3" fillId="0" borderId="29" xfId="0" applyNumberFormat="1" applyFont="1" applyFill="1" applyBorder="1" applyAlignment="1">
      <alignment horizontal="left"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9" fontId="4" fillId="0" borderId="4" xfId="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28" xfId="0" applyFont="1" applyFill="1" applyBorder="1" applyAlignment="1">
      <alignment horizontal="left" vertical="center" wrapText="1"/>
    </xf>
    <xf numFmtId="2" fontId="4" fillId="0" borderId="5" xfId="1" applyNumberFormat="1" applyFont="1" applyFill="1" applyBorder="1" applyAlignment="1">
      <alignment horizontal="center" vertical="center" wrapText="1"/>
    </xf>
    <xf numFmtId="44" fontId="4" fillId="0" borderId="28" xfId="4" applyFont="1" applyFill="1" applyBorder="1" applyAlignment="1">
      <alignment horizontal="center" vertical="center" wrapText="1"/>
    </xf>
    <xf numFmtId="44" fontId="4" fillId="0" borderId="29" xfId="4" applyFont="1" applyFill="1" applyBorder="1" applyAlignment="1">
      <alignment horizontal="center" vertical="center" wrapText="1"/>
    </xf>
    <xf numFmtId="169" fontId="4" fillId="0" borderId="28" xfId="0" applyNumberFormat="1" applyFont="1" applyFill="1" applyBorder="1" applyAlignment="1">
      <alignment horizontal="center" vertical="center" wrapText="1"/>
    </xf>
    <xf numFmtId="169" fontId="4" fillId="0" borderId="4" xfId="0" applyNumberFormat="1" applyFont="1" applyFill="1" applyBorder="1" applyAlignment="1">
      <alignment horizontal="center" vertical="center" wrapText="1"/>
    </xf>
    <xf numFmtId="169" fontId="4" fillId="0" borderId="29" xfId="0" applyNumberFormat="1" applyFont="1" applyFill="1" applyBorder="1" applyAlignment="1">
      <alignment horizontal="center" vertical="center" wrapText="1"/>
    </xf>
    <xf numFmtId="10" fontId="3" fillId="0" borderId="28" xfId="0" applyNumberFormat="1" applyFont="1" applyFill="1" applyBorder="1" applyAlignment="1">
      <alignment horizontal="left" vertical="center" wrapText="1"/>
    </xf>
    <xf numFmtId="10" fontId="3" fillId="0" borderId="4" xfId="0" applyNumberFormat="1" applyFont="1" applyFill="1" applyBorder="1" applyAlignment="1">
      <alignment horizontal="left" vertical="center" wrapText="1"/>
    </xf>
    <xf numFmtId="10" fontId="3" fillId="0" borderId="29" xfId="0" applyNumberFormat="1" applyFont="1" applyFill="1" applyBorder="1" applyAlignment="1">
      <alignment horizontal="left" vertical="center" wrapText="1"/>
    </xf>
    <xf numFmtId="170" fontId="4" fillId="0" borderId="5" xfId="4" applyNumberFormat="1" applyFont="1" applyFill="1" applyBorder="1" applyAlignment="1">
      <alignment horizontal="center" vertical="center" wrapText="1"/>
    </xf>
    <xf numFmtId="44" fontId="4" fillId="0" borderId="5" xfId="4" applyFont="1" applyFill="1" applyBorder="1" applyAlignment="1">
      <alignment horizontal="center" vertical="center" wrapText="1"/>
    </xf>
    <xf numFmtId="9" fontId="3" fillId="0" borderId="4" xfId="0" applyNumberFormat="1" applyFont="1" applyFill="1" applyBorder="1" applyAlignment="1">
      <alignment horizontal="left" vertical="center" wrapText="1"/>
    </xf>
    <xf numFmtId="170" fontId="4" fillId="3" borderId="4" xfId="1"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3" fontId="24" fillId="0" borderId="5" xfId="9" applyNumberFormat="1" applyFont="1" applyBorder="1" applyAlignment="1">
      <alignment horizontal="center" vertical="center"/>
    </xf>
    <xf numFmtId="0" fontId="24" fillId="0" borderId="5" xfId="9" applyNumberFormat="1" applyFont="1" applyBorder="1" applyAlignment="1">
      <alignment horizontal="center" vertical="center"/>
    </xf>
    <xf numFmtId="42" fontId="4" fillId="0" borderId="28" xfId="0" applyNumberFormat="1" applyFont="1" applyBorder="1" applyAlignment="1">
      <alignment horizontal="center" vertical="center" wrapText="1"/>
    </xf>
    <xf numFmtId="42" fontId="4" fillId="0" borderId="4" xfId="0" applyNumberFormat="1" applyFont="1" applyBorder="1" applyAlignment="1">
      <alignment horizontal="center" vertical="center" wrapText="1"/>
    </xf>
    <xf numFmtId="42" fontId="4" fillId="0" borderId="29" xfId="0" applyNumberFormat="1" applyFont="1" applyBorder="1" applyAlignment="1">
      <alignment horizontal="center" vertical="center" wrapText="1"/>
    </xf>
    <xf numFmtId="1" fontId="4" fillId="0" borderId="5" xfId="0" applyNumberFormat="1" applyFont="1" applyFill="1" applyBorder="1" applyAlignment="1">
      <alignment horizontal="center" vertical="center" wrapText="1"/>
    </xf>
    <xf numFmtId="0" fontId="14" fillId="3" borderId="22" xfId="0" applyFont="1" applyFill="1" applyBorder="1" applyAlignment="1">
      <alignment horizontal="left" vertical="center" wrapText="1"/>
    </xf>
    <xf numFmtId="9" fontId="3" fillId="5" borderId="5" xfId="1" applyFont="1" applyFill="1" applyBorder="1" applyAlignment="1">
      <alignment horizontal="center" vertical="center" wrapText="1"/>
    </xf>
    <xf numFmtId="0" fontId="3" fillId="0" borderId="28" xfId="0" applyFont="1" applyBorder="1" applyAlignment="1">
      <alignment horizontal="center" vertical="center"/>
    </xf>
    <xf numFmtId="3" fontId="3" fillId="0" borderId="5"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9" fontId="17" fillId="0" borderId="22" xfId="0" applyNumberFormat="1" applyFont="1" applyFill="1" applyBorder="1" applyAlignment="1">
      <alignment horizontal="center" vertical="center" wrapText="1"/>
    </xf>
    <xf numFmtId="9" fontId="3" fillId="0" borderId="21" xfId="1" applyFont="1" applyFill="1" applyBorder="1" applyAlignment="1">
      <alignment horizontal="center" vertical="center"/>
    </xf>
    <xf numFmtId="9" fontId="3" fillId="0" borderId="5" xfId="1" applyFont="1" applyFill="1" applyBorder="1" applyAlignment="1">
      <alignment horizontal="center" vertical="center"/>
    </xf>
    <xf numFmtId="165" fontId="12" fillId="0" borderId="5" xfId="0" applyNumberFormat="1" applyFont="1" applyBorder="1" applyAlignment="1">
      <alignment horizontal="center" vertical="center" wrapText="1"/>
    </xf>
    <xf numFmtId="166" fontId="3" fillId="0" borderId="22" xfId="0" applyNumberFormat="1" applyFont="1" applyFill="1" applyBorder="1" applyAlignment="1">
      <alignment horizontal="center" vertical="center" wrapText="1"/>
    </xf>
    <xf numFmtId="10" fontId="3" fillId="0" borderId="22" xfId="0" applyNumberFormat="1" applyFont="1" applyFill="1" applyBorder="1" applyAlignment="1">
      <alignment horizontal="center" vertical="center" wrapText="1"/>
    </xf>
    <xf numFmtId="1" fontId="3" fillId="0" borderId="2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5" xfId="0" applyNumberFormat="1" applyFont="1" applyBorder="1" applyAlignment="1">
      <alignment horizontal="center" vertical="center" wrapText="1"/>
    </xf>
    <xf numFmtId="0" fontId="0" fillId="0" borderId="21" xfId="0" applyBorder="1" applyAlignment="1">
      <alignment horizontal="center" vertical="center"/>
    </xf>
    <xf numFmtId="0" fontId="0" fillId="0" borderId="5" xfId="0" applyBorder="1" applyAlignment="1">
      <alignment horizontal="center" vertical="center"/>
    </xf>
    <xf numFmtId="9" fontId="3" fillId="0" borderId="22" xfId="0" applyNumberFormat="1" applyFont="1" applyBorder="1" applyAlignment="1">
      <alignment horizontal="center" vertical="center" wrapText="1"/>
    </xf>
    <xf numFmtId="10" fontId="0" fillId="0" borderId="21" xfId="0" applyNumberFormat="1" applyFill="1" applyBorder="1" applyAlignment="1">
      <alignment horizontal="center" vertical="center"/>
    </xf>
    <xf numFmtId="10" fontId="0" fillId="0" borderId="5" xfId="1" applyNumberFormat="1" applyFont="1" applyFill="1" applyBorder="1" applyAlignment="1">
      <alignment horizontal="center" vertical="center"/>
    </xf>
    <xf numFmtId="10" fontId="0" fillId="0" borderId="5" xfId="0" applyNumberFormat="1" applyFill="1" applyBorder="1" applyAlignment="1">
      <alignment horizontal="center" vertical="center"/>
    </xf>
    <xf numFmtId="0" fontId="23" fillId="0" borderId="21" xfId="0" applyFont="1" applyFill="1" applyBorder="1" applyAlignment="1">
      <alignment horizontal="center" vertical="center" wrapText="1"/>
    </xf>
    <xf numFmtId="9" fontId="0" fillId="0" borderId="21" xfId="0" applyNumberFormat="1" applyBorder="1" applyAlignment="1">
      <alignment horizontal="center" vertical="center"/>
    </xf>
    <xf numFmtId="9" fontId="0" fillId="0" borderId="5" xfId="0" applyNumberFormat="1" applyBorder="1" applyAlignment="1">
      <alignment horizontal="center" vertical="center"/>
    </xf>
    <xf numFmtId="175" fontId="0" fillId="0" borderId="5" xfId="4" applyNumberFormat="1" applyFont="1" applyBorder="1" applyAlignment="1">
      <alignment horizontal="center" vertical="center"/>
    </xf>
    <xf numFmtId="164" fontId="25" fillId="3" borderId="5" xfId="10" applyFont="1" applyFill="1" applyBorder="1" applyAlignment="1">
      <alignment horizontal="center" vertical="center" wrapText="1"/>
    </xf>
    <xf numFmtId="175" fontId="0" fillId="0" borderId="5" xfId="4" applyNumberFormat="1" applyFont="1" applyBorder="1" applyAlignment="1">
      <alignment horizontal="center" vertical="center" wrapText="1"/>
    </xf>
    <xf numFmtId="3" fontId="0" fillId="0" borderId="5" xfId="0" applyNumberFormat="1" applyBorder="1" applyAlignment="1">
      <alignment horizontal="center" vertical="center"/>
    </xf>
    <xf numFmtId="3" fontId="0" fillId="0" borderId="5" xfId="0" applyNumberForma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horizontal="left" vertical="center" wrapText="1"/>
    </xf>
    <xf numFmtId="9" fontId="0" fillId="0" borderId="22" xfId="0" applyNumberFormat="1" applyBorder="1" applyAlignment="1">
      <alignment horizontal="left" vertical="center" wrapText="1"/>
    </xf>
    <xf numFmtId="3" fontId="0" fillId="0" borderId="5" xfId="0" applyNumberFormat="1" applyFill="1" applyBorder="1" applyAlignment="1">
      <alignment horizontal="center" vertical="center"/>
    </xf>
    <xf numFmtId="165" fontId="3" fillId="3" borderId="7" xfId="0" applyNumberFormat="1" applyFont="1" applyFill="1" applyBorder="1" applyAlignment="1">
      <alignment horizontal="center" vertical="center" wrapText="1"/>
    </xf>
    <xf numFmtId="175" fontId="0" fillId="3" borderId="5" xfId="4" applyNumberFormat="1" applyFont="1"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pplyAlignment="1">
      <alignment horizontal="left" vertical="top" wrapText="1"/>
    </xf>
    <xf numFmtId="0" fontId="26" fillId="0" borderId="22" xfId="0" applyFont="1" applyFill="1" applyBorder="1" applyAlignment="1">
      <alignment horizontal="left" vertical="top" wrapText="1"/>
    </xf>
    <xf numFmtId="1" fontId="0" fillId="0" borderId="22" xfId="0" applyNumberFormat="1" applyFill="1" applyBorder="1" applyAlignment="1">
      <alignment horizontal="center" vertical="center" wrapText="1"/>
    </xf>
    <xf numFmtId="0" fontId="0" fillId="0" borderId="22" xfId="0" applyFill="1" applyBorder="1" applyAlignment="1">
      <alignment horizontal="left" vertical="center" wrapText="1"/>
    </xf>
    <xf numFmtId="9" fontId="0" fillId="0" borderId="22" xfId="0" applyNumberFormat="1" applyFill="1" applyBorder="1" applyAlignment="1">
      <alignment horizontal="left" vertical="center" wrapText="1"/>
    </xf>
    <xf numFmtId="1" fontId="3" fillId="3" borderId="21" xfId="0" applyNumberFormat="1" applyFont="1" applyFill="1" applyBorder="1" applyAlignment="1">
      <alignment horizontal="center" vertical="center" wrapText="1"/>
    </xf>
    <xf numFmtId="0" fontId="3" fillId="3" borderId="22" xfId="0" applyFont="1" applyFill="1" applyBorder="1" applyAlignment="1">
      <alignment horizontal="left" vertical="center" wrapText="1"/>
    </xf>
    <xf numFmtId="1" fontId="3" fillId="0" borderId="21" xfId="0" applyNumberFormat="1" applyFont="1" applyBorder="1" applyAlignment="1">
      <alignment horizontal="center" vertical="center" wrapText="1"/>
    </xf>
    <xf numFmtId="9" fontId="3" fillId="4" borderId="5" xfId="1" applyFont="1" applyFill="1" applyBorder="1" applyAlignment="1">
      <alignment horizontal="center" vertical="center" wrapText="1"/>
    </xf>
    <xf numFmtId="0" fontId="0" fillId="0" borderId="22" xfId="0" applyBorder="1" applyAlignment="1">
      <alignment horizontal="center" vertical="top" wrapText="1"/>
    </xf>
    <xf numFmtId="9" fontId="4" fillId="0" borderId="28" xfId="1" applyFont="1" applyBorder="1" applyAlignment="1">
      <alignment horizontal="center" vertical="center" wrapText="1"/>
    </xf>
    <xf numFmtId="9" fontId="4" fillId="0" borderId="29" xfId="1" applyFont="1" applyBorder="1" applyAlignment="1">
      <alignment horizontal="center" vertical="center" wrapText="1"/>
    </xf>
    <xf numFmtId="9" fontId="15" fillId="0" borderId="28" xfId="1" applyFont="1" applyFill="1" applyBorder="1" applyAlignment="1">
      <alignment horizontal="center" vertical="center" wrapText="1"/>
    </xf>
    <xf numFmtId="9" fontId="15" fillId="0" borderId="4" xfId="1" applyFont="1" applyFill="1" applyBorder="1" applyAlignment="1">
      <alignment horizontal="center" vertical="center" wrapText="1"/>
    </xf>
    <xf numFmtId="9" fontId="15" fillId="0" borderId="29" xfId="1" applyFont="1" applyFill="1" applyBorder="1" applyAlignment="1">
      <alignment horizontal="center"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9" fontId="4" fillId="11" borderId="5" xfId="1" applyFont="1" applyFill="1" applyBorder="1" applyAlignment="1">
      <alignment horizontal="center" vertical="center" wrapText="1"/>
    </xf>
    <xf numFmtId="42" fontId="12" fillId="3" borderId="28" xfId="0" applyNumberFormat="1" applyFont="1" applyFill="1" applyBorder="1" applyAlignment="1">
      <alignment horizontal="center" vertical="center" wrapText="1"/>
    </xf>
    <xf numFmtId="42" fontId="12" fillId="3" borderId="29" xfId="0" applyNumberFormat="1" applyFont="1" applyFill="1" applyBorder="1" applyAlignment="1">
      <alignment horizontal="center" vertical="center" wrapText="1"/>
    </xf>
    <xf numFmtId="165" fontId="12" fillId="3" borderId="28" xfId="0" applyNumberFormat="1" applyFont="1" applyFill="1" applyBorder="1" applyAlignment="1">
      <alignment horizontal="center" vertical="center" wrapText="1"/>
    </xf>
    <xf numFmtId="165" fontId="12" fillId="3" borderId="29" xfId="0" applyNumberFormat="1" applyFont="1" applyFill="1" applyBorder="1" applyAlignment="1">
      <alignment horizontal="center" vertical="center" wrapText="1"/>
    </xf>
    <xf numFmtId="0" fontId="0" fillId="0" borderId="0" xfId="0"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9" xfId="0" applyFont="1" applyFill="1" applyBorder="1" applyAlignment="1">
      <alignment horizontal="center" vertical="center" wrapText="1"/>
    </xf>
    <xf numFmtId="9" fontId="4" fillId="3" borderId="28"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29" xfId="1" applyFont="1" applyFill="1" applyBorder="1" applyAlignment="1">
      <alignment horizontal="center" vertical="center" wrapText="1"/>
    </xf>
    <xf numFmtId="10" fontId="4" fillId="0" borderId="28" xfId="1" applyNumberFormat="1" applyFont="1" applyFill="1" applyBorder="1" applyAlignment="1">
      <alignment horizontal="center" vertical="center" wrapText="1"/>
    </xf>
    <xf numFmtId="10" fontId="4" fillId="0" borderId="29" xfId="1" applyNumberFormat="1" applyFont="1" applyFill="1" applyBorder="1" applyAlignment="1">
      <alignment horizontal="center" vertical="center" wrapText="1"/>
    </xf>
    <xf numFmtId="10" fontId="4" fillId="0" borderId="28" xfId="0"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9" fontId="4" fillId="0" borderId="6" xfId="1"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5" borderId="19" xfId="0" applyFont="1" applyFill="1" applyBorder="1" applyAlignment="1">
      <alignment horizontal="right" vertical="center"/>
    </xf>
    <xf numFmtId="0" fontId="8" fillId="15" borderId="17" xfId="0" applyFont="1" applyFill="1" applyBorder="1" applyAlignment="1">
      <alignment horizontal="right" vertical="center"/>
    </xf>
    <xf numFmtId="0" fontId="8" fillId="15" borderId="11" xfId="0" applyFont="1" applyFill="1" applyBorder="1" applyAlignment="1">
      <alignment horizontal="right" vertical="center"/>
    </xf>
    <xf numFmtId="0" fontId="16" fillId="20" borderId="19" xfId="0" applyFont="1" applyFill="1" applyBorder="1" applyAlignment="1">
      <alignment horizontal="center"/>
    </xf>
    <xf numFmtId="0" fontId="16" fillId="20" borderId="17" xfId="0" applyFont="1" applyFill="1" applyBorder="1" applyAlignment="1">
      <alignment horizontal="center"/>
    </xf>
    <xf numFmtId="0" fontId="16" fillId="20" borderId="11" xfId="0" applyFont="1" applyFill="1" applyBorder="1" applyAlignment="1">
      <alignment horizontal="center"/>
    </xf>
    <xf numFmtId="0" fontId="11" fillId="20" borderId="8" xfId="0" applyFont="1" applyFill="1" applyBorder="1" applyAlignment="1">
      <alignment horizontal="center" vertical="center" wrapText="1"/>
    </xf>
    <xf numFmtId="9" fontId="11" fillId="20" borderId="8" xfId="1" applyFont="1" applyFill="1" applyBorder="1" applyAlignment="1">
      <alignment horizontal="center" vertical="center" wrapText="1"/>
    </xf>
    <xf numFmtId="165" fontId="11" fillId="20" borderId="8" xfId="0" applyNumberFormat="1" applyFont="1" applyFill="1" applyBorder="1" applyAlignment="1">
      <alignment horizontal="center" vertical="center" wrapText="1"/>
    </xf>
    <xf numFmtId="0" fontId="11" fillId="20" borderId="8" xfId="0" applyFont="1" applyFill="1" applyBorder="1" applyAlignment="1">
      <alignment horizontal="justify" vertical="center" wrapText="1"/>
    </xf>
    <xf numFmtId="0" fontId="11" fillId="20" borderId="13" xfId="0" applyFont="1" applyFill="1" applyBorder="1" applyAlignment="1">
      <alignment horizontal="center" vertical="center" wrapText="1"/>
    </xf>
    <xf numFmtId="9" fontId="11" fillId="20" borderId="13" xfId="1" applyFont="1" applyFill="1" applyBorder="1" applyAlignment="1">
      <alignment horizontal="center" vertical="center" wrapText="1"/>
    </xf>
    <xf numFmtId="165" fontId="11" fillId="20" borderId="13" xfId="0" applyNumberFormat="1" applyFont="1" applyFill="1" applyBorder="1" applyAlignment="1">
      <alignment horizontal="center" vertical="center" wrapText="1"/>
    </xf>
    <xf numFmtId="0" fontId="11" fillId="20" borderId="30" xfId="0" applyFont="1" applyFill="1" applyBorder="1" applyAlignment="1">
      <alignment horizontal="center" vertical="center" wrapText="1"/>
    </xf>
    <xf numFmtId="0" fontId="11" fillId="20" borderId="13" xfId="0" applyFont="1" applyFill="1" applyBorder="1" applyAlignment="1">
      <alignment horizontal="justify" vertical="center" wrapText="1"/>
    </xf>
    <xf numFmtId="0" fontId="4" fillId="0" borderId="5" xfId="0" applyFont="1" applyBorder="1" applyAlignment="1">
      <alignment horizontal="justify" vertical="center"/>
    </xf>
  </cellXfs>
  <cellStyles count="11">
    <cellStyle name="Millares" xfId="3" builtinId="3"/>
    <cellStyle name="Millares 2" xfId="8" xr:uid="{00000000-0005-0000-0000-000001000000}"/>
    <cellStyle name="Millares 2 2" xfId="10" xr:uid="{00000000-0005-0000-0000-000002000000}"/>
    <cellStyle name="Millares 3" xfId="6" xr:uid="{00000000-0005-0000-0000-000003000000}"/>
    <cellStyle name="Moneda" xfId="4" builtinId="4"/>
    <cellStyle name="Moneda [0]" xfId="5" builtinId="7"/>
    <cellStyle name="Moneda [0] 2 2" xfId="7" xr:uid="{00000000-0005-0000-0000-000006000000}"/>
    <cellStyle name="Normal" xfId="0" builtinId="0"/>
    <cellStyle name="Normal 2" xfId="2" xr:uid="{00000000-0005-0000-0000-000008000000}"/>
    <cellStyle name="Normal 2 2 2" xfId="9" xr:uid="{00000000-0005-0000-0000-000009000000}"/>
    <cellStyle name="Porcentaje" xfId="1" builtinId="5"/>
  </cellStyles>
  <dxfs count="65">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98607"/>
      <color rgb="FFFF99CC"/>
      <color rgb="FFFF6600"/>
      <color rgb="FF008000"/>
      <color rgb="FFFFFFCC"/>
      <color rgb="FF669900"/>
      <color rgb="FFFFCC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-Avance total a</a:t>
            </a:r>
            <a:r>
              <a:rPr lang="es-ES_tradnl" baseline="0"/>
              <a:t> la Fecha</a:t>
            </a:r>
            <a:r>
              <a:rPr lang="es-ES_tradnl"/>
              <a:t> </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F32-4887-8CE3-9035EE81EF7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F32-4887-8CE3-9035EE81EF74}"/>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F32-4887-8CE3-9035EE81EF74}"/>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F32-4887-8CE3-9035EE81EF74}"/>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F32-4887-8CE3-9035EE81EF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Total'!$A$3:$A$7</c:f>
              <c:strCache>
                <c:ptCount val="5"/>
                <c:pt idx="0">
                  <c:v>CRÍTICO</c:v>
                </c:pt>
                <c:pt idx="1">
                  <c:v>BAJO</c:v>
                </c:pt>
                <c:pt idx="2">
                  <c:v>MEDIO</c:v>
                </c:pt>
                <c:pt idx="3">
                  <c:v>SATISFACTORIO</c:v>
                </c:pt>
                <c:pt idx="4">
                  <c:v>SOBRESALIENTE</c:v>
                </c:pt>
              </c:strCache>
            </c:strRef>
          </c:cat>
          <c:val>
            <c:numRef>
              <c:f>'Avance Total'!$B$3:$B$7</c:f>
              <c:numCache>
                <c:formatCode>General</c:formatCode>
                <c:ptCount val="5"/>
                <c:pt idx="0">
                  <c:v>18</c:v>
                </c:pt>
                <c:pt idx="1">
                  <c:v>8</c:v>
                </c:pt>
                <c:pt idx="2">
                  <c:v>3</c:v>
                </c:pt>
                <c:pt idx="3">
                  <c:v>2</c:v>
                </c:pt>
                <c:pt idx="4">
                  <c:v>30</c:v>
                </c:pt>
              </c:numCache>
            </c:numRef>
          </c:val>
          <c:extLst>
            <c:ext xmlns:c16="http://schemas.microsoft.com/office/drawing/2014/chart" uri="{C3380CC4-5D6E-409C-BE32-E72D297353CC}">
              <c16:uniqueId val="{0000000A-AF32-4887-8CE3-9035EE81EF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989330</xdr:colOff>
      <xdr:row>3</xdr:row>
      <xdr:rowOff>115146</xdr:rowOff>
    </xdr:from>
    <xdr:to>
      <xdr:col>10</xdr:col>
      <xdr:colOff>643043</xdr:colOff>
      <xdr:row>23</xdr:row>
      <xdr:rowOff>82973</xdr:rowOff>
    </xdr:to>
    <xdr:graphicFrame macro="">
      <xdr:nvGraphicFramePr>
        <xdr:cNvPr id="2" name="Gráfico 1">
          <a:extLst>
            <a:ext uri="{FF2B5EF4-FFF2-40B4-BE49-F238E27FC236}">
              <a16:creationId xmlns:a16="http://schemas.microsoft.com/office/drawing/2014/main" id="{6F448A04-0362-4F94-9DA9-08834941F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9/Desktop/valentina/PLAN%20DE%20ACCION%202019/2019/familia%20Sgto%20marz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HN%20RAVE/Google%20Drive/14.%20JOHN%20DropBox/Trabajo%20camila/Gobernacion/2023/7.%20julio/Reportes/Comisarias%20de%20Familia%20Tebai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EJECIMIENTO"/>
      <sheetName val="Comisarías de Familia"/>
    </sheetNames>
    <sheetDataSet>
      <sheetData sheetId="0" refreshError="1"/>
      <sheetData sheetId="1">
        <row r="10">
          <cell r="N10" t="str">
            <v>13 DE ABRIL DEL 2023 Por parte del equipo psicosocial de la Comisaria de Familia con acompañamiento de Policía de Infancia y Adolescencia se realiza operativo de requisa en Instituciones educativas priorizadas en el Comité de convivencia escolar, por lo tanto, se brindó dicho acompañamiento en la Institución educativa Pedacito de cielo, Gabriela Mistral y Antonio Nariño; con el fin de prevenir consumo y expendio de sustancias psicoactivas en el entorno escolar. 
11 DE MAYO DEL 2023 Se realizó campaña de prevención de la violencia en la Institución Educativa Antonio Nariño, dicha campaña fue dirigida a la psico-educación de estudiantes y docentes de diferentes grados con el fin de promover las líneas de atención y los espacios de escucha a Niños, Niñas y Adolescentes.                                   14 DE MAYO DEL 2023 Por parte del despacho de la Comisaria de familia y su equipo psicosocial se brindó acompañamiento durante operativo de control a menores de edad, dirigido por Secretaria de Gobierno, Policía Nacional y Ejercito Nacional, en diferentes sectores del municipio, lo anterior con el fin de prevenir el uso de sustancias psicoactivas en menores de edad, permanencia en calle y socializar decreto en horario de restricción a menores de edad.                                27 DE MAYO DEL 2023 Por parte del despacho de la Comisaria de familia y su equipo psicosocial se brindó acompañamiento durante operativo de control a menores de edad en diferentes sectores del municipio, lo anterior con el fin de prevenir el uso de sustancias psicoactivas en menores de edad, permanencia en calle y socializar decreto en horario de restricción a menores de edad.                                 11 DE MAYO DEL 2023 El equipo psicosocial de la Comisaria de Familia hizo parte de la campaña (TE RETO A DECIR NO) sobre prevención de la violencia en entornos escolares y dirigida a Instituciones educativas del municipio, dicha campaña genero impacto a docentes y estudiantes de diferentes grados, así mismo se sustenta la ruta de atención en casos de violencia teniendo en cuenta la Ley 1257 del 2008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92"/>
  <sheetViews>
    <sheetView showGridLines="0" tabSelected="1" topLeftCell="D1" zoomScale="75" zoomScaleNormal="80" zoomScalePageLayoutView="50" workbookViewId="0">
      <selection activeCell="D1" sqref="D1:Q1"/>
    </sheetView>
  </sheetViews>
  <sheetFormatPr baseColWidth="10" defaultRowHeight="15" x14ac:dyDescent="0.25"/>
  <cols>
    <col min="1" max="1" width="15.28515625" hidden="1" customWidth="1"/>
    <col min="2" max="2" width="9.5703125" hidden="1" customWidth="1"/>
    <col min="3" max="3" width="10.85546875" hidden="1" customWidth="1"/>
    <col min="4" max="4" width="5.85546875" style="66" customWidth="1"/>
    <col min="5" max="5" width="19.28515625" style="66" customWidth="1"/>
    <col min="6" max="6" width="16.5703125" style="66" customWidth="1"/>
    <col min="7" max="7" width="15.5703125" style="66" customWidth="1"/>
    <col min="8" max="8" width="13.85546875" style="66" customWidth="1"/>
    <col min="9" max="9" width="12.140625" style="66" customWidth="1"/>
    <col min="10" max="10" width="10.7109375" style="66" customWidth="1"/>
    <col min="11" max="11" width="10.140625" style="66" hidden="1" customWidth="1"/>
    <col min="12" max="12" width="13" style="66" hidden="1" customWidth="1"/>
    <col min="13" max="13" width="8.28515625" style="66" hidden="1" customWidth="1"/>
    <col min="14" max="14" width="10.42578125" style="66" hidden="1" customWidth="1"/>
    <col min="15" max="15" width="11.42578125" style="66" hidden="1" customWidth="1"/>
    <col min="16" max="16" width="9.5703125" style="66" hidden="1" customWidth="1"/>
    <col min="17" max="17" width="8.28515625" style="66" hidden="1" customWidth="1"/>
    <col min="18" max="18" width="11.42578125" style="4" hidden="1" customWidth="1"/>
    <col min="19" max="19" width="11.5703125" style="4" hidden="1" customWidth="1"/>
    <col min="20" max="20" width="10.5703125" style="16" hidden="1" customWidth="1"/>
    <col min="21" max="21" width="12.28515625" style="30" hidden="1" customWidth="1"/>
    <col min="22" max="22" width="17.28515625" style="30" hidden="1" customWidth="1"/>
    <col min="23" max="23" width="19.7109375" hidden="1" customWidth="1"/>
    <col min="24" max="24" width="61.140625" hidden="1" customWidth="1"/>
    <col min="25" max="25" width="14.7109375" style="4" hidden="1" customWidth="1"/>
    <col min="26" max="26" width="11.5703125" style="4" hidden="1" customWidth="1"/>
    <col min="27" max="27" width="12.7109375" style="16" hidden="1" customWidth="1"/>
    <col min="28" max="28" width="25.28515625" style="30" hidden="1" customWidth="1"/>
    <col min="29" max="29" width="22" style="30" hidden="1" customWidth="1"/>
    <col min="30" max="30" width="26.7109375" hidden="1" customWidth="1"/>
    <col min="31" max="31" width="98.85546875" hidden="1" customWidth="1"/>
    <col min="32" max="32" width="21.85546875" hidden="1" customWidth="1"/>
    <col min="33" max="34" width="11.42578125" hidden="1" customWidth="1"/>
    <col min="35" max="35" width="16.5703125" hidden="1" customWidth="1"/>
    <col min="36" max="36" width="18.140625" hidden="1" customWidth="1"/>
    <col min="37" max="37" width="19.85546875" hidden="1" customWidth="1"/>
    <col min="38" max="38" width="61" hidden="1" customWidth="1"/>
    <col min="39" max="39" width="19.85546875" hidden="1" customWidth="1"/>
    <col min="40" max="40" width="22" hidden="1" customWidth="1"/>
    <col min="41" max="41" width="22.42578125" hidden="1" customWidth="1"/>
    <col min="42" max="42" width="15.42578125" hidden="1" customWidth="1"/>
    <col min="43" max="43" width="13.7109375" hidden="1" customWidth="1"/>
    <col min="44" max="44" width="34.42578125" hidden="1" customWidth="1"/>
    <col min="45" max="45" width="71.42578125" hidden="1" customWidth="1"/>
    <col min="46" max="46" width="25.42578125" hidden="1" customWidth="1"/>
    <col min="47" max="47" width="19.140625" hidden="1" customWidth="1"/>
    <col min="48" max="48" width="25.5703125" hidden="1" customWidth="1"/>
    <col min="49" max="49" width="22" hidden="1" customWidth="1"/>
    <col min="50" max="50" width="21.28515625" hidden="1" customWidth="1"/>
    <col min="51" max="51" width="19.140625" hidden="1" customWidth="1"/>
    <col min="52" max="52" width="76.28515625" hidden="1" customWidth="1"/>
    <col min="53" max="53" width="18.42578125" hidden="1" customWidth="1"/>
    <col min="54" max="54" width="16.5703125" hidden="1" customWidth="1"/>
    <col min="55" max="55" width="15.5703125" hidden="1" customWidth="1"/>
    <col min="56" max="56" width="14.140625" hidden="1" customWidth="1"/>
    <col min="57" max="57" width="11.42578125" hidden="1" customWidth="1"/>
    <col min="58" max="58" width="37.7109375" hidden="1" customWidth="1"/>
    <col min="59" max="59" width="255.7109375" hidden="1" customWidth="1"/>
    <col min="60" max="60" width="17.85546875" hidden="1" customWidth="1"/>
    <col min="61" max="61" width="9.85546875" hidden="1" customWidth="1"/>
    <col min="62" max="62" width="13.28515625" hidden="1" customWidth="1"/>
    <col min="63" max="63" width="12" hidden="1" customWidth="1"/>
    <col min="64" max="64" width="11.85546875" hidden="1" customWidth="1"/>
    <col min="65" max="65" width="37.7109375" hidden="1" customWidth="1"/>
    <col min="66" max="66" width="255.7109375" hidden="1" customWidth="1"/>
    <col min="67" max="67" width="21.42578125" hidden="1" customWidth="1"/>
    <col min="68" max="68" width="9.85546875" hidden="1" customWidth="1"/>
    <col min="69" max="69" width="20.42578125" hidden="1" customWidth="1"/>
    <col min="70" max="71" width="13.28515625" hidden="1" customWidth="1"/>
    <col min="72" max="72" width="1.7109375" hidden="1" customWidth="1"/>
    <col min="73" max="73" width="255.7109375" hidden="1" customWidth="1"/>
    <col min="74" max="74" width="23.5703125" hidden="1" customWidth="1"/>
    <col min="75" max="75" width="20.140625" hidden="1" customWidth="1"/>
    <col min="76" max="76" width="21.85546875" hidden="1" customWidth="1"/>
    <col min="77" max="77" width="21.7109375" hidden="1" customWidth="1"/>
    <col min="78" max="79" width="30.7109375" hidden="1" customWidth="1"/>
    <col min="80" max="80" width="29.5703125" hidden="1" customWidth="1"/>
    <col min="81" max="81" width="80.28515625" hidden="1" customWidth="1"/>
    <col min="82" max="82" width="13.85546875" customWidth="1"/>
    <col min="83" max="83" width="9.7109375" customWidth="1"/>
    <col min="84" max="84" width="16.5703125" customWidth="1"/>
    <col min="85" max="85" width="21.42578125" customWidth="1"/>
    <col min="86" max="86" width="20" style="433" customWidth="1"/>
    <col min="87" max="87" width="21.140625" customWidth="1"/>
    <col min="88" max="88" width="14.85546875" customWidth="1"/>
    <col min="89" max="89" width="79.7109375" style="439" customWidth="1"/>
    <col min="90" max="90" width="19.140625" customWidth="1"/>
    <col min="91" max="91" width="18" customWidth="1"/>
    <col min="92" max="92" width="17.140625" customWidth="1"/>
  </cols>
  <sheetData>
    <row r="1" spans="1:92" ht="15.75" thickBot="1" x14ac:dyDescent="0.3">
      <c r="D1" s="697" t="s">
        <v>492</v>
      </c>
      <c r="E1" s="698"/>
      <c r="F1" s="698"/>
      <c r="G1" s="698"/>
      <c r="H1" s="698"/>
      <c r="I1" s="698"/>
      <c r="J1" s="698"/>
      <c r="K1" s="698"/>
      <c r="L1" s="698"/>
      <c r="M1" s="698"/>
      <c r="N1" s="698"/>
      <c r="O1" s="698"/>
      <c r="P1" s="698"/>
      <c r="Q1" s="699"/>
      <c r="R1" s="609">
        <v>2014</v>
      </c>
      <c r="S1" s="610"/>
      <c r="T1" s="610"/>
      <c r="U1" s="610"/>
      <c r="V1" s="610"/>
      <c r="W1" s="610"/>
      <c r="X1" s="611"/>
      <c r="Y1" s="609">
        <v>2015</v>
      </c>
      <c r="Z1" s="610"/>
      <c r="AA1" s="610"/>
      <c r="AB1" s="610"/>
      <c r="AC1" s="610"/>
      <c r="AD1" s="610"/>
      <c r="AE1" s="611"/>
      <c r="AF1" s="609">
        <v>2016</v>
      </c>
      <c r="AG1" s="610"/>
      <c r="AH1" s="610"/>
      <c r="AI1" s="610"/>
      <c r="AJ1" s="610"/>
      <c r="AK1" s="610"/>
      <c r="AL1" s="611"/>
      <c r="AM1" s="609">
        <v>2017</v>
      </c>
      <c r="AN1" s="610"/>
      <c r="AO1" s="610"/>
      <c r="AP1" s="610"/>
      <c r="AQ1" s="610"/>
      <c r="AR1" s="610"/>
      <c r="AS1" s="611"/>
      <c r="AT1" s="609">
        <v>2018</v>
      </c>
      <c r="AU1" s="610"/>
      <c r="AV1" s="610"/>
      <c r="AW1" s="610"/>
      <c r="AX1" s="610"/>
      <c r="AY1" s="610"/>
      <c r="AZ1" s="611"/>
      <c r="BA1" s="609">
        <v>2019</v>
      </c>
      <c r="BB1" s="610"/>
      <c r="BC1" s="610"/>
      <c r="BD1" s="610"/>
      <c r="BE1" s="610"/>
      <c r="BF1" s="610"/>
      <c r="BG1" s="611"/>
      <c r="BH1" s="609">
        <v>2020</v>
      </c>
      <c r="BI1" s="610"/>
      <c r="BJ1" s="610"/>
      <c r="BK1" s="610"/>
      <c r="BL1" s="610"/>
      <c r="BM1" s="610"/>
      <c r="BN1" s="611"/>
      <c r="BO1" s="609">
        <v>2021</v>
      </c>
      <c r="BP1" s="610"/>
      <c r="BQ1" s="610"/>
      <c r="BR1" s="610"/>
      <c r="BS1" s="610"/>
      <c r="BT1" s="610"/>
      <c r="BU1" s="611"/>
      <c r="BV1" s="531">
        <v>2022</v>
      </c>
      <c r="BW1" s="532"/>
      <c r="BX1" s="532"/>
      <c r="BY1" s="532"/>
      <c r="BZ1" s="532"/>
      <c r="CA1" s="532"/>
      <c r="CB1" s="532"/>
      <c r="CC1" s="533"/>
      <c r="CD1" s="830" t="s">
        <v>1161</v>
      </c>
      <c r="CE1" s="831"/>
      <c r="CF1" s="831"/>
      <c r="CG1" s="831"/>
      <c r="CH1" s="831"/>
      <c r="CI1" s="831"/>
      <c r="CJ1" s="831"/>
      <c r="CK1" s="832"/>
      <c r="CL1" s="609" t="s">
        <v>976</v>
      </c>
      <c r="CM1" s="610"/>
      <c r="CN1" s="610"/>
    </row>
    <row r="2" spans="1:92" ht="21.75" customHeight="1" thickBot="1" x14ac:dyDescent="0.3">
      <c r="A2" s="560" t="s">
        <v>0</v>
      </c>
      <c r="B2" s="560" t="s">
        <v>1</v>
      </c>
      <c r="C2" s="564" t="s">
        <v>2</v>
      </c>
      <c r="D2" s="560" t="s">
        <v>1</v>
      </c>
      <c r="E2" s="560" t="s">
        <v>3</v>
      </c>
      <c r="F2" s="560" t="s">
        <v>4</v>
      </c>
      <c r="G2" s="560" t="s">
        <v>5</v>
      </c>
      <c r="H2" s="560" t="s">
        <v>6</v>
      </c>
      <c r="I2" s="560" t="s">
        <v>7</v>
      </c>
      <c r="J2" s="560" t="s">
        <v>8</v>
      </c>
      <c r="K2" s="564" t="s">
        <v>290</v>
      </c>
      <c r="L2" s="576"/>
      <c r="M2" s="576"/>
      <c r="N2" s="576"/>
      <c r="O2" s="576"/>
      <c r="P2" s="576"/>
      <c r="Q2" s="577"/>
      <c r="R2" s="534" t="s">
        <v>660</v>
      </c>
      <c r="S2" s="534" t="s">
        <v>276</v>
      </c>
      <c r="T2" s="536" t="s">
        <v>277</v>
      </c>
      <c r="U2" s="538" t="s">
        <v>251</v>
      </c>
      <c r="V2" s="538" t="s">
        <v>252</v>
      </c>
      <c r="W2" s="534" t="s">
        <v>253</v>
      </c>
      <c r="X2" s="534" t="s">
        <v>254</v>
      </c>
      <c r="Y2" s="534" t="s">
        <v>659</v>
      </c>
      <c r="Z2" s="534" t="s">
        <v>276</v>
      </c>
      <c r="AA2" s="536" t="s">
        <v>277</v>
      </c>
      <c r="AB2" s="538" t="s">
        <v>251</v>
      </c>
      <c r="AC2" s="538" t="s">
        <v>252</v>
      </c>
      <c r="AD2" s="534" t="s">
        <v>253</v>
      </c>
      <c r="AE2" s="534" t="s">
        <v>254</v>
      </c>
      <c r="AF2" s="534" t="s">
        <v>658</v>
      </c>
      <c r="AG2" s="534" t="s">
        <v>276</v>
      </c>
      <c r="AH2" s="536" t="s">
        <v>277</v>
      </c>
      <c r="AI2" s="538" t="s">
        <v>251</v>
      </c>
      <c r="AJ2" s="538" t="s">
        <v>252</v>
      </c>
      <c r="AK2" s="534" t="s">
        <v>253</v>
      </c>
      <c r="AL2" s="534" t="s">
        <v>254</v>
      </c>
      <c r="AM2" s="534" t="s">
        <v>657</v>
      </c>
      <c r="AN2" s="534" t="s">
        <v>276</v>
      </c>
      <c r="AO2" s="536" t="s">
        <v>277</v>
      </c>
      <c r="AP2" s="538" t="s">
        <v>251</v>
      </c>
      <c r="AQ2" s="538" t="s">
        <v>252</v>
      </c>
      <c r="AR2" s="534" t="s">
        <v>253</v>
      </c>
      <c r="AS2" s="534" t="s">
        <v>254</v>
      </c>
      <c r="AT2" s="534" t="s">
        <v>656</v>
      </c>
      <c r="AU2" s="534" t="s">
        <v>276</v>
      </c>
      <c r="AV2" s="536" t="s">
        <v>277</v>
      </c>
      <c r="AW2" s="538" t="s">
        <v>251</v>
      </c>
      <c r="AX2" s="538" t="s">
        <v>252</v>
      </c>
      <c r="AY2" s="534" t="s">
        <v>253</v>
      </c>
      <c r="AZ2" s="534" t="s">
        <v>254</v>
      </c>
      <c r="BA2" s="534" t="s">
        <v>655</v>
      </c>
      <c r="BB2" s="534" t="s">
        <v>276</v>
      </c>
      <c r="BC2" s="536" t="s">
        <v>277</v>
      </c>
      <c r="BD2" s="538" t="s">
        <v>251</v>
      </c>
      <c r="BE2" s="538" t="s">
        <v>252</v>
      </c>
      <c r="BF2" s="534" t="s">
        <v>253</v>
      </c>
      <c r="BG2" s="534" t="s">
        <v>254</v>
      </c>
      <c r="BH2" s="656" t="s">
        <v>502</v>
      </c>
      <c r="BI2" s="656" t="s">
        <v>276</v>
      </c>
      <c r="BJ2" s="658" t="s">
        <v>277</v>
      </c>
      <c r="BK2" s="660" t="s">
        <v>251</v>
      </c>
      <c r="BL2" s="660" t="s">
        <v>252</v>
      </c>
      <c r="BM2" s="656" t="s">
        <v>253</v>
      </c>
      <c r="BN2" s="656" t="s">
        <v>254</v>
      </c>
      <c r="BO2" s="534" t="s">
        <v>581</v>
      </c>
      <c r="BP2" s="534" t="s">
        <v>276</v>
      </c>
      <c r="BQ2" s="536" t="s">
        <v>277</v>
      </c>
      <c r="BR2" s="538" t="s">
        <v>251</v>
      </c>
      <c r="BS2" s="538" t="s">
        <v>252</v>
      </c>
      <c r="BT2" s="534" t="s">
        <v>253</v>
      </c>
      <c r="BU2" s="534" t="s">
        <v>254</v>
      </c>
      <c r="BV2" s="534" t="s">
        <v>462</v>
      </c>
      <c r="BW2" s="534" t="s">
        <v>276</v>
      </c>
      <c r="BX2" s="536" t="s">
        <v>277</v>
      </c>
      <c r="BY2" s="538" t="s">
        <v>251</v>
      </c>
      <c r="BZ2" s="538" t="s">
        <v>252</v>
      </c>
      <c r="CA2" s="536" t="s">
        <v>1031</v>
      </c>
      <c r="CB2" s="534" t="s">
        <v>253</v>
      </c>
      <c r="CC2" s="656" t="s">
        <v>254</v>
      </c>
      <c r="CD2" s="833" t="s">
        <v>1100</v>
      </c>
      <c r="CE2" s="833" t="s">
        <v>276</v>
      </c>
      <c r="CF2" s="834" t="s">
        <v>277</v>
      </c>
      <c r="CG2" s="835" t="s">
        <v>251</v>
      </c>
      <c r="CH2" s="835" t="s">
        <v>252</v>
      </c>
      <c r="CI2" s="834" t="s">
        <v>1031</v>
      </c>
      <c r="CJ2" s="833" t="s">
        <v>253</v>
      </c>
      <c r="CK2" s="836" t="s">
        <v>254</v>
      </c>
      <c r="CL2" s="560" t="s">
        <v>977</v>
      </c>
      <c r="CM2" s="534" t="s">
        <v>1162</v>
      </c>
      <c r="CN2" s="536" t="s">
        <v>1040</v>
      </c>
    </row>
    <row r="3" spans="1:92" ht="52.5" customHeight="1" thickBot="1" x14ac:dyDescent="0.3">
      <c r="A3" s="560"/>
      <c r="B3" s="560"/>
      <c r="C3" s="564"/>
      <c r="D3" s="534"/>
      <c r="E3" s="534"/>
      <c r="F3" s="534"/>
      <c r="G3" s="534"/>
      <c r="H3" s="534"/>
      <c r="I3" s="534"/>
      <c r="J3" s="534"/>
      <c r="K3" s="62" t="s">
        <v>431</v>
      </c>
      <c r="L3" s="62" t="s">
        <v>286</v>
      </c>
      <c r="M3" s="62" t="s">
        <v>432</v>
      </c>
      <c r="N3" s="62" t="s">
        <v>287</v>
      </c>
      <c r="O3" s="62" t="s">
        <v>433</v>
      </c>
      <c r="P3" s="62" t="s">
        <v>288</v>
      </c>
      <c r="Q3" s="62" t="s">
        <v>289</v>
      </c>
      <c r="R3" s="535"/>
      <c r="S3" s="535"/>
      <c r="T3" s="537"/>
      <c r="U3" s="539"/>
      <c r="V3" s="539"/>
      <c r="W3" s="535"/>
      <c r="X3" s="535"/>
      <c r="Y3" s="535"/>
      <c r="Z3" s="535"/>
      <c r="AA3" s="537"/>
      <c r="AB3" s="539"/>
      <c r="AC3" s="539"/>
      <c r="AD3" s="535"/>
      <c r="AE3" s="535"/>
      <c r="AF3" s="535"/>
      <c r="AG3" s="535"/>
      <c r="AH3" s="537"/>
      <c r="AI3" s="539"/>
      <c r="AJ3" s="539"/>
      <c r="AK3" s="535"/>
      <c r="AL3" s="535"/>
      <c r="AM3" s="535"/>
      <c r="AN3" s="535"/>
      <c r="AO3" s="537"/>
      <c r="AP3" s="539"/>
      <c r="AQ3" s="539"/>
      <c r="AR3" s="535"/>
      <c r="AS3" s="535"/>
      <c r="AT3" s="535"/>
      <c r="AU3" s="535"/>
      <c r="AV3" s="537"/>
      <c r="AW3" s="539"/>
      <c r="AX3" s="539"/>
      <c r="AY3" s="535"/>
      <c r="AZ3" s="535"/>
      <c r="BA3" s="535"/>
      <c r="BB3" s="535"/>
      <c r="BC3" s="537"/>
      <c r="BD3" s="539"/>
      <c r="BE3" s="539"/>
      <c r="BF3" s="535"/>
      <c r="BG3" s="535"/>
      <c r="BH3" s="657"/>
      <c r="BI3" s="657"/>
      <c r="BJ3" s="659"/>
      <c r="BK3" s="661"/>
      <c r="BL3" s="661"/>
      <c r="BM3" s="657"/>
      <c r="BN3" s="657"/>
      <c r="BO3" s="535"/>
      <c r="BP3" s="535"/>
      <c r="BQ3" s="537"/>
      <c r="BR3" s="539"/>
      <c r="BS3" s="539"/>
      <c r="BT3" s="535"/>
      <c r="BU3" s="535"/>
      <c r="BV3" s="535"/>
      <c r="BW3" s="535"/>
      <c r="BX3" s="537"/>
      <c r="BY3" s="539"/>
      <c r="BZ3" s="539"/>
      <c r="CA3" s="537"/>
      <c r="CB3" s="540"/>
      <c r="CC3" s="657"/>
      <c r="CD3" s="837"/>
      <c r="CE3" s="837"/>
      <c r="CF3" s="838"/>
      <c r="CG3" s="839"/>
      <c r="CH3" s="839"/>
      <c r="CI3" s="838"/>
      <c r="CJ3" s="840"/>
      <c r="CK3" s="841"/>
      <c r="CL3" s="534"/>
      <c r="CM3" s="535"/>
      <c r="CN3" s="537"/>
    </row>
    <row r="4" spans="1:92" ht="386.25" customHeight="1" x14ac:dyDescent="0.25">
      <c r="A4" s="562" t="s">
        <v>9</v>
      </c>
      <c r="B4" s="550" t="s">
        <v>10</v>
      </c>
      <c r="C4" s="552">
        <v>0</v>
      </c>
      <c r="D4" s="548" t="s">
        <v>457</v>
      </c>
      <c r="E4" s="445" t="s">
        <v>11</v>
      </c>
      <c r="F4" s="47" t="s">
        <v>12</v>
      </c>
      <c r="G4" s="47" t="s">
        <v>13</v>
      </c>
      <c r="H4" s="224" t="s">
        <v>991</v>
      </c>
      <c r="I4" s="47" t="s">
        <v>14</v>
      </c>
      <c r="J4" s="279">
        <v>12</v>
      </c>
      <c r="K4" s="549" t="s">
        <v>291</v>
      </c>
      <c r="L4" s="549" t="s">
        <v>366</v>
      </c>
      <c r="M4" s="549" t="s">
        <v>293</v>
      </c>
      <c r="N4" s="549" t="s">
        <v>423</v>
      </c>
      <c r="O4" s="549" t="s">
        <v>293</v>
      </c>
      <c r="P4" s="549" t="s">
        <v>294</v>
      </c>
      <c r="Q4" s="280">
        <v>12</v>
      </c>
      <c r="R4" s="281">
        <v>3</v>
      </c>
      <c r="S4" s="578"/>
      <c r="T4" s="578">
        <v>0</v>
      </c>
      <c r="U4" s="578"/>
      <c r="V4" s="578" t="s">
        <v>493</v>
      </c>
      <c r="W4" s="549" t="s">
        <v>255</v>
      </c>
      <c r="X4" s="282" t="s">
        <v>494</v>
      </c>
      <c r="Y4" s="281">
        <v>3</v>
      </c>
      <c r="Z4" s="283">
        <v>3</v>
      </c>
      <c r="AA4" s="33">
        <f>Z4/Y4</f>
        <v>1</v>
      </c>
      <c r="AB4" s="284"/>
      <c r="AC4" s="272"/>
      <c r="AD4" s="549" t="s">
        <v>255</v>
      </c>
      <c r="AE4" s="285" t="s">
        <v>663</v>
      </c>
      <c r="AF4" s="286">
        <v>5</v>
      </c>
      <c r="AG4" s="278">
        <v>2</v>
      </c>
      <c r="AH4" s="33">
        <f>AG4/AF4</f>
        <v>0.4</v>
      </c>
      <c r="AI4" s="613" t="s">
        <v>694</v>
      </c>
      <c r="AJ4" s="613" t="s">
        <v>695</v>
      </c>
      <c r="AK4" s="549" t="s">
        <v>255</v>
      </c>
      <c r="AL4" s="287" t="s">
        <v>727</v>
      </c>
      <c r="AM4" s="288">
        <v>7</v>
      </c>
      <c r="AN4" s="289">
        <v>2</v>
      </c>
      <c r="AO4" s="33">
        <f>AN4/AM4</f>
        <v>0.2857142857142857</v>
      </c>
      <c r="AP4" s="614" t="s">
        <v>780</v>
      </c>
      <c r="AQ4" s="614" t="s">
        <v>781</v>
      </c>
      <c r="AR4" s="549" t="s">
        <v>255</v>
      </c>
      <c r="AS4" s="290" t="s">
        <v>810</v>
      </c>
      <c r="AT4" s="291">
        <v>10</v>
      </c>
      <c r="AU4" s="292">
        <v>5</v>
      </c>
      <c r="AV4" s="33">
        <f>AU4/AT4</f>
        <v>0.5</v>
      </c>
      <c r="AW4" s="776">
        <v>25000000</v>
      </c>
      <c r="AX4" s="776">
        <v>23993333</v>
      </c>
      <c r="AY4" s="549" t="s">
        <v>255</v>
      </c>
      <c r="AZ4" s="293" t="s">
        <v>859</v>
      </c>
      <c r="BA4" s="288">
        <v>12</v>
      </c>
      <c r="BB4" s="292">
        <v>7</v>
      </c>
      <c r="BC4" s="33">
        <f>BB4/BA4</f>
        <v>0.58333333333333337</v>
      </c>
      <c r="BD4" s="613">
        <v>32000000</v>
      </c>
      <c r="BE4" s="613">
        <v>31440300</v>
      </c>
      <c r="BF4" s="549" t="s">
        <v>255</v>
      </c>
      <c r="BG4" s="293" t="s">
        <v>931</v>
      </c>
      <c r="BH4" s="288">
        <v>9</v>
      </c>
      <c r="BI4" s="289">
        <v>8</v>
      </c>
      <c r="BJ4" s="71">
        <f>(BI4/BH4)*1</f>
        <v>0.88888888888888884</v>
      </c>
      <c r="BK4" s="294" t="s">
        <v>503</v>
      </c>
      <c r="BL4" s="294">
        <v>6400000</v>
      </c>
      <c r="BM4" s="622" t="s">
        <v>255</v>
      </c>
      <c r="BN4" s="293" t="s">
        <v>504</v>
      </c>
      <c r="BO4" s="295">
        <v>9</v>
      </c>
      <c r="BP4" s="296">
        <v>8</v>
      </c>
      <c r="BQ4" s="33">
        <f>BP4/BO4</f>
        <v>0.88888888888888884</v>
      </c>
      <c r="BR4" s="297">
        <v>8655000</v>
      </c>
      <c r="BS4" s="272">
        <v>8655000</v>
      </c>
      <c r="BT4" s="549" t="s">
        <v>255</v>
      </c>
      <c r="BU4" s="298" t="s">
        <v>582</v>
      </c>
      <c r="BV4" s="289">
        <v>10</v>
      </c>
      <c r="BW4" s="296">
        <v>9</v>
      </c>
      <c r="BX4" s="33">
        <f>BW4/BV4</f>
        <v>0.9</v>
      </c>
      <c r="BY4" s="284">
        <f>34620000+26400000</f>
        <v>61020000</v>
      </c>
      <c r="BZ4" s="272">
        <v>28850000</v>
      </c>
      <c r="CA4" s="33">
        <f>BZ4/BY4</f>
        <v>0.47279580465421173</v>
      </c>
      <c r="CB4" s="299" t="s">
        <v>991</v>
      </c>
      <c r="CC4" s="300" t="s">
        <v>1042</v>
      </c>
      <c r="CD4" s="289">
        <v>12</v>
      </c>
      <c r="CE4" s="32">
        <v>9</v>
      </c>
      <c r="CF4" s="31">
        <f>CE4/CD4</f>
        <v>0.75</v>
      </c>
      <c r="CG4" s="272">
        <f>28850000+700000+714286+124337067</f>
        <v>154601353</v>
      </c>
      <c r="CH4" s="429">
        <f>34620000+26400000+700000+714286+40697760</f>
        <v>103132046</v>
      </c>
      <c r="CI4" s="31">
        <f>CH4/CG4</f>
        <v>0.66708372209394573</v>
      </c>
      <c r="CJ4" s="224" t="s">
        <v>991</v>
      </c>
      <c r="CK4" s="842" t="s">
        <v>1156</v>
      </c>
      <c r="CL4" s="47">
        <v>12</v>
      </c>
      <c r="CM4" s="204">
        <v>9</v>
      </c>
      <c r="CN4" s="31">
        <f>CM4/CL4</f>
        <v>0.75</v>
      </c>
    </row>
    <row r="5" spans="1:92" ht="174.75" customHeight="1" x14ac:dyDescent="0.25">
      <c r="A5" s="563"/>
      <c r="B5" s="551"/>
      <c r="C5" s="553"/>
      <c r="D5" s="548"/>
      <c r="E5" s="445"/>
      <c r="F5" s="47" t="s">
        <v>15</v>
      </c>
      <c r="G5" s="47" t="s">
        <v>424</v>
      </c>
      <c r="H5" s="85" t="s">
        <v>992</v>
      </c>
      <c r="I5" s="47">
        <v>0</v>
      </c>
      <c r="J5" s="279">
        <v>12</v>
      </c>
      <c r="K5" s="549"/>
      <c r="L5" s="549"/>
      <c r="M5" s="549"/>
      <c r="N5" s="549"/>
      <c r="O5" s="549"/>
      <c r="P5" s="549"/>
      <c r="Q5" s="280">
        <v>12</v>
      </c>
      <c r="R5" s="281">
        <v>0</v>
      </c>
      <c r="S5" s="578"/>
      <c r="T5" s="578"/>
      <c r="U5" s="578"/>
      <c r="V5" s="578"/>
      <c r="W5" s="549"/>
      <c r="X5" s="282" t="s">
        <v>495</v>
      </c>
      <c r="Y5" s="281">
        <v>0</v>
      </c>
      <c r="Z5" s="283">
        <v>0</v>
      </c>
      <c r="AA5" s="33">
        <v>1</v>
      </c>
      <c r="AB5" s="284"/>
      <c r="AC5" s="272"/>
      <c r="AD5" s="549"/>
      <c r="AE5" s="285" t="s">
        <v>664</v>
      </c>
      <c r="AF5" s="286">
        <v>4</v>
      </c>
      <c r="AG5" s="278">
        <v>2</v>
      </c>
      <c r="AH5" s="33">
        <v>1</v>
      </c>
      <c r="AI5" s="613"/>
      <c r="AJ5" s="613"/>
      <c r="AK5" s="549"/>
      <c r="AL5" s="287" t="s">
        <v>728</v>
      </c>
      <c r="AM5" s="288">
        <v>4</v>
      </c>
      <c r="AN5" s="289">
        <v>4</v>
      </c>
      <c r="AO5" s="33">
        <v>1</v>
      </c>
      <c r="AP5" s="614"/>
      <c r="AQ5" s="614"/>
      <c r="AR5" s="549"/>
      <c r="AS5" s="290" t="s">
        <v>811</v>
      </c>
      <c r="AT5" s="291">
        <v>4</v>
      </c>
      <c r="AU5" s="292">
        <v>8</v>
      </c>
      <c r="AV5" s="33">
        <v>1</v>
      </c>
      <c r="AW5" s="640"/>
      <c r="AX5" s="640"/>
      <c r="AY5" s="549"/>
      <c r="AZ5" s="290" t="s">
        <v>860</v>
      </c>
      <c r="BA5" s="288">
        <v>8</v>
      </c>
      <c r="BB5" s="292">
        <v>8</v>
      </c>
      <c r="BC5" s="33">
        <v>1</v>
      </c>
      <c r="BD5" s="613"/>
      <c r="BE5" s="613"/>
      <c r="BF5" s="549"/>
      <c r="BG5" s="290" t="s">
        <v>860</v>
      </c>
      <c r="BH5" s="288">
        <v>8</v>
      </c>
      <c r="BI5" s="289">
        <v>7</v>
      </c>
      <c r="BJ5" s="71">
        <f t="shared" ref="BJ5:BJ8" si="0">(BI5/BH5)*1</f>
        <v>0.875</v>
      </c>
      <c r="BK5" s="294" t="s">
        <v>505</v>
      </c>
      <c r="BL5" s="294" t="s">
        <v>506</v>
      </c>
      <c r="BM5" s="622"/>
      <c r="BN5" s="301" t="s">
        <v>507</v>
      </c>
      <c r="BO5" s="295">
        <v>12</v>
      </c>
      <c r="BP5" s="296">
        <v>12</v>
      </c>
      <c r="BQ5" s="33">
        <v>1</v>
      </c>
      <c r="BR5" s="272">
        <v>8655000</v>
      </c>
      <c r="BS5" s="272">
        <v>8655000</v>
      </c>
      <c r="BT5" s="549"/>
      <c r="BU5" s="302" t="s">
        <v>583</v>
      </c>
      <c r="BV5" s="289">
        <v>10</v>
      </c>
      <c r="BW5" s="296">
        <v>0</v>
      </c>
      <c r="BX5" s="33">
        <f>BW5/BV5</f>
        <v>0</v>
      </c>
      <c r="BY5" s="303">
        <v>34620000</v>
      </c>
      <c r="BZ5" s="272">
        <f>28850000+6600000</f>
        <v>35450000</v>
      </c>
      <c r="CA5" s="33">
        <v>1</v>
      </c>
      <c r="CB5" s="278" t="s">
        <v>992</v>
      </c>
      <c r="CC5" s="304" t="s">
        <v>1094</v>
      </c>
      <c r="CD5" s="289">
        <v>12</v>
      </c>
      <c r="CE5" s="32">
        <v>0</v>
      </c>
      <c r="CF5" s="31">
        <f>CE5/CD5</f>
        <v>0</v>
      </c>
      <c r="CG5" s="272">
        <f>28850000+6600000+124337067</f>
        <v>159787067</v>
      </c>
      <c r="CH5" s="431">
        <f>34620000+40697760</f>
        <v>75317760</v>
      </c>
      <c r="CI5" s="31">
        <f t="shared" ref="CI5:CI6" si="1">CH5/CG5</f>
        <v>0.47136330501641915</v>
      </c>
      <c r="CJ5" s="85" t="s">
        <v>992</v>
      </c>
      <c r="CK5" s="420" t="s">
        <v>1157</v>
      </c>
      <c r="CL5" s="47">
        <v>12</v>
      </c>
      <c r="CM5" s="32">
        <v>0</v>
      </c>
      <c r="CN5" s="31">
        <f>CM5/CL5</f>
        <v>0</v>
      </c>
    </row>
    <row r="6" spans="1:92" ht="185.25" customHeight="1" x14ac:dyDescent="0.25">
      <c r="A6" s="563"/>
      <c r="B6" s="551"/>
      <c r="C6" s="553"/>
      <c r="D6" s="548"/>
      <c r="E6" s="445"/>
      <c r="F6" s="47" t="s">
        <v>425</v>
      </c>
      <c r="G6" s="47" t="s">
        <v>16</v>
      </c>
      <c r="H6" s="85" t="s">
        <v>993</v>
      </c>
      <c r="I6" s="47" t="s">
        <v>426</v>
      </c>
      <c r="J6" s="305">
        <v>1</v>
      </c>
      <c r="K6" s="549"/>
      <c r="L6" s="549"/>
      <c r="M6" s="549"/>
      <c r="N6" s="549"/>
      <c r="O6" s="549"/>
      <c r="P6" s="549"/>
      <c r="Q6" s="306">
        <v>1</v>
      </c>
      <c r="R6" s="307">
        <v>0.01</v>
      </c>
      <c r="S6" s="578"/>
      <c r="T6" s="578"/>
      <c r="U6" s="578"/>
      <c r="V6" s="578"/>
      <c r="W6" s="549"/>
      <c r="X6" s="282" t="s">
        <v>496</v>
      </c>
      <c r="Y6" s="307">
        <v>0.01</v>
      </c>
      <c r="Z6" s="308">
        <v>0.05</v>
      </c>
      <c r="AA6" s="33">
        <f t="shared" ref="AA6:AA8" si="2">(Z6/Y6)*1</f>
        <v>5</v>
      </c>
      <c r="AB6" s="284"/>
      <c r="AC6" s="272"/>
      <c r="AD6" s="549"/>
      <c r="AE6" s="285" t="s">
        <v>664</v>
      </c>
      <c r="AF6" s="286">
        <v>5</v>
      </c>
      <c r="AG6" s="278">
        <v>5</v>
      </c>
      <c r="AH6" s="33">
        <f t="shared" ref="AH6:AH8" si="3">(AG6/AF6)*1</f>
        <v>1</v>
      </c>
      <c r="AI6" s="613"/>
      <c r="AJ6" s="613"/>
      <c r="AK6" s="549"/>
      <c r="AL6" s="287" t="s">
        <v>729</v>
      </c>
      <c r="AM6" s="309">
        <v>1</v>
      </c>
      <c r="AN6" s="310">
        <v>1</v>
      </c>
      <c r="AO6" s="33">
        <f t="shared" ref="AO6:AO8" si="4">(AN6/AM6)*1</f>
        <v>1</v>
      </c>
      <c r="AP6" s="614"/>
      <c r="AQ6" s="614"/>
      <c r="AR6" s="549"/>
      <c r="AS6" s="311" t="s">
        <v>812</v>
      </c>
      <c r="AT6" s="291">
        <v>100</v>
      </c>
      <c r="AU6" s="292">
        <v>100</v>
      </c>
      <c r="AV6" s="33">
        <f t="shared" ref="AV6:AV8" si="5">(AU6/AT6)*1</f>
        <v>1</v>
      </c>
      <c r="AW6" s="640"/>
      <c r="AX6" s="640"/>
      <c r="AY6" s="549"/>
      <c r="AZ6" s="311" t="s">
        <v>861</v>
      </c>
      <c r="BA6" s="309">
        <v>1</v>
      </c>
      <c r="BB6" s="312">
        <v>0.75</v>
      </c>
      <c r="BC6" s="33">
        <f t="shared" ref="BC6:BC8" si="6">(BB6/BA6)*1</f>
        <v>0.75</v>
      </c>
      <c r="BD6" s="613"/>
      <c r="BE6" s="613"/>
      <c r="BF6" s="549"/>
      <c r="BG6" s="306" t="s">
        <v>932</v>
      </c>
      <c r="BH6" s="179">
        <v>1</v>
      </c>
      <c r="BI6" s="71">
        <v>1</v>
      </c>
      <c r="BJ6" s="71">
        <f t="shared" si="0"/>
        <v>1</v>
      </c>
      <c r="BK6" s="14"/>
      <c r="BL6" s="294"/>
      <c r="BM6" s="622"/>
      <c r="BN6" s="313" t="s">
        <v>508</v>
      </c>
      <c r="BO6" s="314">
        <v>1</v>
      </c>
      <c r="BP6" s="33">
        <v>1</v>
      </c>
      <c r="BQ6" s="33">
        <f t="shared" ref="BQ6:BQ8" si="7">(BP6/BO6)*1</f>
        <v>1</v>
      </c>
      <c r="BR6" s="315">
        <v>8655000</v>
      </c>
      <c r="BS6" s="272">
        <v>8655000</v>
      </c>
      <c r="BT6" s="549"/>
      <c r="BU6" s="316" t="s">
        <v>584</v>
      </c>
      <c r="BV6" s="310">
        <v>1</v>
      </c>
      <c r="BW6" s="33">
        <v>1</v>
      </c>
      <c r="BX6" s="33">
        <f t="shared" ref="BX6:BX7" si="8">(BW6/BV6)*1</f>
        <v>1</v>
      </c>
      <c r="BY6" s="284">
        <v>34620000</v>
      </c>
      <c r="BZ6" s="272">
        <v>28850000</v>
      </c>
      <c r="CA6" s="33">
        <f>BZ6/BY6</f>
        <v>0.83333333333333337</v>
      </c>
      <c r="CB6" s="278" t="s">
        <v>993</v>
      </c>
      <c r="CC6" s="317" t="s">
        <v>1043</v>
      </c>
      <c r="CD6" s="318">
        <v>1</v>
      </c>
      <c r="CE6" s="33">
        <v>1</v>
      </c>
      <c r="CF6" s="34">
        <f t="shared" ref="CF6:CF7" si="9">(CE6/CD6)*1</f>
        <v>1</v>
      </c>
      <c r="CG6" s="272">
        <f>28850000+124337067</f>
        <v>153187067</v>
      </c>
      <c r="CH6" s="429">
        <f>34620000+40697760</f>
        <v>75317760</v>
      </c>
      <c r="CI6" s="31">
        <f t="shared" si="1"/>
        <v>0.49167179367694269</v>
      </c>
      <c r="CJ6" s="85" t="s">
        <v>993</v>
      </c>
      <c r="CK6" s="271" t="s">
        <v>1158</v>
      </c>
      <c r="CL6" s="61">
        <v>1</v>
      </c>
      <c r="CM6" s="33">
        <v>1</v>
      </c>
      <c r="CN6" s="34">
        <f>CM6/CL6</f>
        <v>1</v>
      </c>
    </row>
    <row r="7" spans="1:92" ht="64.5" customHeight="1" x14ac:dyDescent="0.25">
      <c r="A7" s="563"/>
      <c r="B7" s="551"/>
      <c r="C7" s="553"/>
      <c r="D7" s="548" t="s">
        <v>17</v>
      </c>
      <c r="E7" s="445" t="s">
        <v>18</v>
      </c>
      <c r="F7" s="47" t="s">
        <v>19</v>
      </c>
      <c r="G7" s="47" t="s">
        <v>427</v>
      </c>
      <c r="H7" s="85" t="s">
        <v>994</v>
      </c>
      <c r="I7" s="47">
        <v>0</v>
      </c>
      <c r="J7" s="279">
        <v>1</v>
      </c>
      <c r="K7" s="549"/>
      <c r="L7" s="549"/>
      <c r="M7" s="549"/>
      <c r="N7" s="549"/>
      <c r="O7" s="549"/>
      <c r="P7" s="549"/>
      <c r="Q7" s="319">
        <v>1</v>
      </c>
      <c r="R7" s="281">
        <v>1</v>
      </c>
      <c r="S7" s="578"/>
      <c r="T7" s="578"/>
      <c r="U7" s="578"/>
      <c r="V7" s="578"/>
      <c r="W7" s="549" t="s">
        <v>255</v>
      </c>
      <c r="X7" s="282" t="s">
        <v>497</v>
      </c>
      <c r="Y7" s="281">
        <v>1</v>
      </c>
      <c r="Z7" s="283">
        <v>1</v>
      </c>
      <c r="AA7" s="33">
        <f t="shared" si="2"/>
        <v>1</v>
      </c>
      <c r="AB7" s="575"/>
      <c r="AC7" s="575"/>
      <c r="AD7" s="549" t="s">
        <v>255</v>
      </c>
      <c r="AE7" s="285" t="s">
        <v>665</v>
      </c>
      <c r="AF7" s="286">
        <v>1</v>
      </c>
      <c r="AG7" s="278">
        <v>1</v>
      </c>
      <c r="AH7" s="33">
        <f t="shared" si="3"/>
        <v>1</v>
      </c>
      <c r="AI7" s="613" t="s">
        <v>694</v>
      </c>
      <c r="AJ7" s="613" t="s">
        <v>695</v>
      </c>
      <c r="AK7" s="549" t="s">
        <v>255</v>
      </c>
      <c r="AL7" s="287" t="s">
        <v>730</v>
      </c>
      <c r="AM7" s="288">
        <v>1</v>
      </c>
      <c r="AN7" s="289">
        <v>1</v>
      </c>
      <c r="AO7" s="33">
        <f t="shared" si="4"/>
        <v>1</v>
      </c>
      <c r="AP7" s="614" t="s">
        <v>782</v>
      </c>
      <c r="AQ7" s="614" t="s">
        <v>783</v>
      </c>
      <c r="AR7" s="549" t="s">
        <v>255</v>
      </c>
      <c r="AS7" s="290" t="s">
        <v>813</v>
      </c>
      <c r="AT7" s="291">
        <v>1</v>
      </c>
      <c r="AU7" s="292">
        <v>1</v>
      </c>
      <c r="AV7" s="33">
        <f t="shared" si="5"/>
        <v>1</v>
      </c>
      <c r="AW7" s="643">
        <v>25000000</v>
      </c>
      <c r="AX7" s="776">
        <v>23933333</v>
      </c>
      <c r="AY7" s="549" t="s">
        <v>255</v>
      </c>
      <c r="AZ7" s="290" t="s">
        <v>862</v>
      </c>
      <c r="BA7" s="288">
        <v>1</v>
      </c>
      <c r="BB7" s="292">
        <v>1</v>
      </c>
      <c r="BC7" s="33">
        <f t="shared" si="6"/>
        <v>1</v>
      </c>
      <c r="BD7" s="613"/>
      <c r="BE7" s="613"/>
      <c r="BF7" s="549" t="s">
        <v>255</v>
      </c>
      <c r="BG7" s="290" t="s">
        <v>933</v>
      </c>
      <c r="BH7" s="320">
        <v>1</v>
      </c>
      <c r="BI7" s="72">
        <v>1</v>
      </c>
      <c r="BJ7" s="71">
        <f t="shared" si="0"/>
        <v>1</v>
      </c>
      <c r="BK7" s="613"/>
      <c r="BL7" s="613"/>
      <c r="BM7" s="622" t="s">
        <v>255</v>
      </c>
      <c r="BN7" s="648" t="s">
        <v>509</v>
      </c>
      <c r="BO7" s="321">
        <v>1</v>
      </c>
      <c r="BP7" s="35">
        <v>1</v>
      </c>
      <c r="BQ7" s="33">
        <f t="shared" si="7"/>
        <v>1</v>
      </c>
      <c r="BR7" s="575">
        <v>8655000</v>
      </c>
      <c r="BS7" s="575">
        <v>8655000</v>
      </c>
      <c r="BT7" s="549" t="s">
        <v>255</v>
      </c>
      <c r="BU7" s="298" t="s">
        <v>585</v>
      </c>
      <c r="BV7" s="278">
        <v>1</v>
      </c>
      <c r="BW7" s="35">
        <v>1</v>
      </c>
      <c r="BX7" s="33">
        <f t="shared" si="8"/>
        <v>1</v>
      </c>
      <c r="BY7" s="464">
        <v>0</v>
      </c>
      <c r="BZ7" s="464">
        <v>0</v>
      </c>
      <c r="CA7" s="33">
        <v>0</v>
      </c>
      <c r="CB7" s="278" t="s">
        <v>994</v>
      </c>
      <c r="CC7" s="300" t="s">
        <v>1044</v>
      </c>
      <c r="CD7" s="289">
        <v>1</v>
      </c>
      <c r="CE7" s="35">
        <v>1</v>
      </c>
      <c r="CF7" s="34">
        <f t="shared" si="9"/>
        <v>1</v>
      </c>
      <c r="CG7" s="464">
        <f>714286+124337067</f>
        <v>125051353</v>
      </c>
      <c r="CH7" s="450">
        <f>714286+40697760</f>
        <v>41412046</v>
      </c>
      <c r="CI7" s="546">
        <f>CH7/CG7</f>
        <v>0.33116031939294571</v>
      </c>
      <c r="CJ7" s="85" t="s">
        <v>994</v>
      </c>
      <c r="CK7" s="270" t="s">
        <v>1104</v>
      </c>
      <c r="CL7" s="47">
        <v>1</v>
      </c>
      <c r="CM7" s="35">
        <v>1</v>
      </c>
      <c r="CN7" s="34">
        <f>CM7/CL7</f>
        <v>1</v>
      </c>
    </row>
    <row r="8" spans="1:92" ht="282" customHeight="1" x14ac:dyDescent="0.25">
      <c r="A8" s="563"/>
      <c r="B8" s="551"/>
      <c r="C8" s="553"/>
      <c r="D8" s="548"/>
      <c r="E8" s="445"/>
      <c r="F8" s="47" t="s">
        <v>20</v>
      </c>
      <c r="G8" s="47" t="s">
        <v>21</v>
      </c>
      <c r="H8" s="85" t="s">
        <v>991</v>
      </c>
      <c r="I8" s="47" t="s">
        <v>994</v>
      </c>
      <c r="J8" s="279">
        <v>12</v>
      </c>
      <c r="K8" s="549"/>
      <c r="L8" s="549"/>
      <c r="M8" s="549"/>
      <c r="N8" s="549"/>
      <c r="O8" s="549"/>
      <c r="P8" s="549"/>
      <c r="Q8" s="280">
        <v>12</v>
      </c>
      <c r="R8" s="744">
        <v>3</v>
      </c>
      <c r="S8" s="578"/>
      <c r="T8" s="578"/>
      <c r="U8" s="578"/>
      <c r="V8" s="578"/>
      <c r="W8" s="549"/>
      <c r="X8" s="583" t="s">
        <v>498</v>
      </c>
      <c r="Y8" s="744">
        <v>3</v>
      </c>
      <c r="Z8" s="283">
        <v>2</v>
      </c>
      <c r="AA8" s="33">
        <f t="shared" si="2"/>
        <v>0.66666666666666663</v>
      </c>
      <c r="AB8" s="575"/>
      <c r="AC8" s="575"/>
      <c r="AD8" s="549"/>
      <c r="AE8" s="285" t="s">
        <v>666</v>
      </c>
      <c r="AF8" s="286">
        <v>12</v>
      </c>
      <c r="AG8" s="278">
        <v>12</v>
      </c>
      <c r="AH8" s="33">
        <f t="shared" si="3"/>
        <v>1</v>
      </c>
      <c r="AI8" s="613"/>
      <c r="AJ8" s="613"/>
      <c r="AK8" s="549"/>
      <c r="AL8" s="287" t="s">
        <v>731</v>
      </c>
      <c r="AM8" s="288">
        <v>12</v>
      </c>
      <c r="AN8" s="289">
        <v>12</v>
      </c>
      <c r="AO8" s="33">
        <f t="shared" si="4"/>
        <v>1</v>
      </c>
      <c r="AP8" s="614"/>
      <c r="AQ8" s="614"/>
      <c r="AR8" s="549"/>
      <c r="AS8" s="290" t="s">
        <v>814</v>
      </c>
      <c r="AT8" s="291">
        <v>12</v>
      </c>
      <c r="AU8" s="292">
        <v>12</v>
      </c>
      <c r="AV8" s="33">
        <f t="shared" si="5"/>
        <v>1</v>
      </c>
      <c r="AW8" s="643"/>
      <c r="AX8" s="640"/>
      <c r="AY8" s="549"/>
      <c r="AZ8" s="290" t="s">
        <v>863</v>
      </c>
      <c r="BA8" s="288">
        <v>12</v>
      </c>
      <c r="BB8" s="292">
        <v>12</v>
      </c>
      <c r="BC8" s="33">
        <f t="shared" si="6"/>
        <v>1</v>
      </c>
      <c r="BD8" s="613"/>
      <c r="BE8" s="613"/>
      <c r="BF8" s="549"/>
      <c r="BG8" s="290" t="s">
        <v>863</v>
      </c>
      <c r="BH8" s="288">
        <v>12</v>
      </c>
      <c r="BI8" s="289">
        <v>11</v>
      </c>
      <c r="BJ8" s="71">
        <f t="shared" si="0"/>
        <v>0.91666666666666663</v>
      </c>
      <c r="BK8" s="613"/>
      <c r="BL8" s="613"/>
      <c r="BM8" s="622"/>
      <c r="BN8" s="648"/>
      <c r="BO8" s="295">
        <v>11</v>
      </c>
      <c r="BP8" s="296">
        <v>11</v>
      </c>
      <c r="BQ8" s="33">
        <f t="shared" si="7"/>
        <v>1</v>
      </c>
      <c r="BR8" s="575"/>
      <c r="BS8" s="575"/>
      <c r="BT8" s="549"/>
      <c r="BU8" s="298" t="s">
        <v>586</v>
      </c>
      <c r="BV8" s="289">
        <v>11</v>
      </c>
      <c r="BW8" s="296">
        <v>11</v>
      </c>
      <c r="BX8" s="33">
        <v>1</v>
      </c>
      <c r="BY8" s="465"/>
      <c r="BZ8" s="465"/>
      <c r="CA8" s="33">
        <v>0</v>
      </c>
      <c r="CB8" s="278" t="s">
        <v>991</v>
      </c>
      <c r="CC8" s="322" t="s">
        <v>1045</v>
      </c>
      <c r="CD8" s="289">
        <v>12</v>
      </c>
      <c r="CE8" s="32">
        <v>12</v>
      </c>
      <c r="CF8" s="34">
        <v>1</v>
      </c>
      <c r="CG8" s="465"/>
      <c r="CH8" s="452"/>
      <c r="CI8" s="547"/>
      <c r="CJ8" s="85" t="s">
        <v>991</v>
      </c>
      <c r="CK8" s="435" t="s">
        <v>1142</v>
      </c>
      <c r="CL8" s="47">
        <v>12</v>
      </c>
      <c r="CM8" s="32">
        <v>12</v>
      </c>
      <c r="CN8" s="239">
        <f>CM8/CL8</f>
        <v>1</v>
      </c>
    </row>
    <row r="9" spans="1:92" ht="47.25" customHeight="1" x14ac:dyDescent="0.25">
      <c r="A9" s="563"/>
      <c r="B9" s="551"/>
      <c r="C9" s="553"/>
      <c r="D9" s="548" t="s">
        <v>22</v>
      </c>
      <c r="E9" s="445" t="s">
        <v>23</v>
      </c>
      <c r="F9" s="516" t="s">
        <v>24</v>
      </c>
      <c r="G9" s="516" t="s">
        <v>25</v>
      </c>
      <c r="H9" s="543" t="s">
        <v>995</v>
      </c>
      <c r="I9" s="445">
        <v>0</v>
      </c>
      <c r="J9" s="559">
        <v>0.35</v>
      </c>
      <c r="K9" s="549" t="s">
        <v>295</v>
      </c>
      <c r="L9" s="549" t="s">
        <v>379</v>
      </c>
      <c r="M9" s="549" t="s">
        <v>367</v>
      </c>
      <c r="N9" s="549" t="s">
        <v>450</v>
      </c>
      <c r="O9" s="549" t="s">
        <v>368</v>
      </c>
      <c r="P9" s="549" t="s">
        <v>399</v>
      </c>
      <c r="Q9" s="581">
        <v>0.35</v>
      </c>
      <c r="R9" s="744"/>
      <c r="S9" s="579"/>
      <c r="T9" s="579"/>
      <c r="U9" s="579"/>
      <c r="V9" s="579"/>
      <c r="W9" s="549" t="s">
        <v>279</v>
      </c>
      <c r="X9" s="583"/>
      <c r="Y9" s="744"/>
      <c r="Z9" s="308">
        <v>0.03</v>
      </c>
      <c r="AA9" s="488">
        <v>0</v>
      </c>
      <c r="AB9" s="575"/>
      <c r="AC9" s="575"/>
      <c r="AD9" s="549" t="s">
        <v>279</v>
      </c>
      <c r="AE9" s="285" t="s">
        <v>667</v>
      </c>
      <c r="AF9" s="603">
        <v>0.13</v>
      </c>
      <c r="AG9" s="615">
        <v>0.13</v>
      </c>
      <c r="AH9" s="488">
        <v>0</v>
      </c>
      <c r="AI9" s="613" t="s">
        <v>696</v>
      </c>
      <c r="AJ9" s="613" t="s">
        <v>697</v>
      </c>
      <c r="AK9" s="549" t="s">
        <v>279</v>
      </c>
      <c r="AL9" s="616" t="s">
        <v>732</v>
      </c>
      <c r="AM9" s="617">
        <v>0.13</v>
      </c>
      <c r="AN9" s="508">
        <v>0</v>
      </c>
      <c r="AO9" s="488">
        <v>0</v>
      </c>
      <c r="AP9" s="613" t="s">
        <v>784</v>
      </c>
      <c r="AQ9" s="613" t="s">
        <v>785</v>
      </c>
      <c r="AR9" s="549" t="s">
        <v>279</v>
      </c>
      <c r="AS9" s="612" t="s">
        <v>815</v>
      </c>
      <c r="AT9" s="637">
        <v>0.15</v>
      </c>
      <c r="AU9" s="639">
        <v>0.15</v>
      </c>
      <c r="AV9" s="488">
        <v>0</v>
      </c>
      <c r="AW9" s="641" t="s">
        <v>855</v>
      </c>
      <c r="AX9" s="642" t="s">
        <v>856</v>
      </c>
      <c r="AY9" s="549" t="s">
        <v>279</v>
      </c>
      <c r="AZ9" s="612" t="s">
        <v>864</v>
      </c>
      <c r="BA9" s="621">
        <v>1</v>
      </c>
      <c r="BB9" s="622" t="s">
        <v>915</v>
      </c>
      <c r="BC9" s="488">
        <v>0</v>
      </c>
      <c r="BD9" s="613">
        <v>34750000</v>
      </c>
      <c r="BE9" s="613">
        <v>25081000</v>
      </c>
      <c r="BF9" s="549" t="s">
        <v>279</v>
      </c>
      <c r="BG9" s="616" t="s">
        <v>934</v>
      </c>
      <c r="BH9" s="666">
        <v>8.7499999999999994E-2</v>
      </c>
      <c r="BI9" s="622">
        <v>0</v>
      </c>
      <c r="BJ9" s="663">
        <v>0</v>
      </c>
      <c r="BK9" s="613"/>
      <c r="BL9" s="613"/>
      <c r="BM9" s="622" t="s">
        <v>279</v>
      </c>
      <c r="BN9" s="648" t="s">
        <v>510</v>
      </c>
      <c r="BO9" s="667">
        <v>8.7499999999999994E-2</v>
      </c>
      <c r="BP9" s="549">
        <v>0</v>
      </c>
      <c r="BQ9" s="488">
        <v>0</v>
      </c>
      <c r="BR9" s="575" t="s">
        <v>587</v>
      </c>
      <c r="BS9" s="575" t="s">
        <v>588</v>
      </c>
      <c r="BT9" s="549" t="s">
        <v>279</v>
      </c>
      <c r="BU9" s="662" t="s">
        <v>589</v>
      </c>
      <c r="BV9" s="508" t="s">
        <v>978</v>
      </c>
      <c r="BW9" s="549">
        <v>0</v>
      </c>
      <c r="BX9" s="488">
        <v>0</v>
      </c>
      <c r="BY9" s="464">
        <v>0</v>
      </c>
      <c r="BZ9" s="464">
        <v>0</v>
      </c>
      <c r="CA9" s="706">
        <v>0</v>
      </c>
      <c r="CB9" s="622" t="s">
        <v>995</v>
      </c>
      <c r="CC9" s="702" t="s">
        <v>1079</v>
      </c>
      <c r="CD9" s="508" t="s">
        <v>978</v>
      </c>
      <c r="CE9" s="516">
        <v>0</v>
      </c>
      <c r="CF9" s="514">
        <v>0</v>
      </c>
      <c r="CG9" s="470">
        <v>0</v>
      </c>
      <c r="CH9" s="470">
        <v>124337067</v>
      </c>
      <c r="CI9" s="503">
        <v>0</v>
      </c>
      <c r="CJ9" s="543" t="s">
        <v>995</v>
      </c>
      <c r="CK9" s="506" t="s">
        <v>1105</v>
      </c>
      <c r="CL9" s="481">
        <v>0.35</v>
      </c>
      <c r="CM9" s="808">
        <v>0</v>
      </c>
      <c r="CN9" s="514">
        <v>0</v>
      </c>
    </row>
    <row r="10" spans="1:92" ht="57.75" customHeight="1" x14ac:dyDescent="0.25">
      <c r="A10" s="563"/>
      <c r="B10" s="551"/>
      <c r="C10" s="553"/>
      <c r="D10" s="548"/>
      <c r="E10" s="445"/>
      <c r="F10" s="516"/>
      <c r="G10" s="516"/>
      <c r="H10" s="543"/>
      <c r="I10" s="445"/>
      <c r="J10" s="559"/>
      <c r="K10" s="549"/>
      <c r="L10" s="549"/>
      <c r="M10" s="549"/>
      <c r="N10" s="549"/>
      <c r="O10" s="549"/>
      <c r="P10" s="549"/>
      <c r="Q10" s="581"/>
      <c r="R10" s="281">
        <v>0</v>
      </c>
      <c r="S10" s="584"/>
      <c r="T10" s="584"/>
      <c r="U10" s="584"/>
      <c r="V10" s="584"/>
      <c r="W10" s="549"/>
      <c r="X10" s="282"/>
      <c r="Y10" s="281">
        <v>0</v>
      </c>
      <c r="Z10" s="283"/>
      <c r="AA10" s="488"/>
      <c r="AB10" s="575"/>
      <c r="AC10" s="575"/>
      <c r="AD10" s="549"/>
      <c r="AE10" s="285" t="s">
        <v>668</v>
      </c>
      <c r="AF10" s="603"/>
      <c r="AG10" s="615"/>
      <c r="AH10" s="488"/>
      <c r="AI10" s="613"/>
      <c r="AJ10" s="613"/>
      <c r="AK10" s="549"/>
      <c r="AL10" s="616"/>
      <c r="AM10" s="618"/>
      <c r="AN10" s="508"/>
      <c r="AO10" s="488"/>
      <c r="AP10" s="614" t="s">
        <v>786</v>
      </c>
      <c r="AQ10" s="614" t="s">
        <v>787</v>
      </c>
      <c r="AR10" s="549"/>
      <c r="AS10" s="612" t="s">
        <v>816</v>
      </c>
      <c r="AT10" s="638"/>
      <c r="AU10" s="640"/>
      <c r="AV10" s="488"/>
      <c r="AW10" s="640"/>
      <c r="AX10" s="643"/>
      <c r="AY10" s="549"/>
      <c r="AZ10" s="612" t="s">
        <v>816</v>
      </c>
      <c r="BA10" s="621"/>
      <c r="BB10" s="622"/>
      <c r="BC10" s="488"/>
      <c r="BD10" s="613"/>
      <c r="BE10" s="613"/>
      <c r="BF10" s="549"/>
      <c r="BG10" s="616"/>
      <c r="BH10" s="666"/>
      <c r="BI10" s="622"/>
      <c r="BJ10" s="663"/>
      <c r="BK10" s="613"/>
      <c r="BL10" s="613"/>
      <c r="BM10" s="622"/>
      <c r="BN10" s="648"/>
      <c r="BO10" s="667"/>
      <c r="BP10" s="549"/>
      <c r="BQ10" s="488"/>
      <c r="BR10" s="575"/>
      <c r="BS10" s="575"/>
      <c r="BT10" s="549"/>
      <c r="BU10" s="662"/>
      <c r="BV10" s="508"/>
      <c r="BW10" s="549"/>
      <c r="BX10" s="488"/>
      <c r="BY10" s="709"/>
      <c r="BZ10" s="709"/>
      <c r="CA10" s="708"/>
      <c r="CB10" s="622"/>
      <c r="CC10" s="711"/>
      <c r="CD10" s="508"/>
      <c r="CE10" s="516"/>
      <c r="CF10" s="514"/>
      <c r="CG10" s="492"/>
      <c r="CH10" s="492"/>
      <c r="CI10" s="541"/>
      <c r="CJ10" s="543"/>
      <c r="CK10" s="484"/>
      <c r="CL10" s="481"/>
      <c r="CM10" s="809"/>
      <c r="CN10" s="514"/>
    </row>
    <row r="11" spans="1:92" ht="101.25" customHeight="1" thickBot="1" x14ac:dyDescent="0.3">
      <c r="A11" s="563"/>
      <c r="B11" s="551"/>
      <c r="C11" s="553"/>
      <c r="D11" s="548"/>
      <c r="E11" s="445"/>
      <c r="F11" s="516"/>
      <c r="G11" s="516"/>
      <c r="H11" s="544"/>
      <c r="I11" s="445"/>
      <c r="J11" s="559"/>
      <c r="K11" s="549"/>
      <c r="L11" s="549"/>
      <c r="M11" s="549"/>
      <c r="N11" s="549"/>
      <c r="O11" s="549"/>
      <c r="P11" s="549"/>
      <c r="Q11" s="581"/>
      <c r="R11" s="281" t="s">
        <v>41</v>
      </c>
      <c r="S11" s="579"/>
      <c r="T11" s="579"/>
      <c r="U11" s="579"/>
      <c r="V11" s="579"/>
      <c r="W11" s="549"/>
      <c r="X11" s="282"/>
      <c r="Y11" s="281" t="s">
        <v>41</v>
      </c>
      <c r="Z11" s="283" t="s">
        <v>37</v>
      </c>
      <c r="AA11" s="488"/>
      <c r="AB11" s="575"/>
      <c r="AC11" s="575"/>
      <c r="AD11" s="549"/>
      <c r="AE11" s="285" t="s">
        <v>668</v>
      </c>
      <c r="AF11" s="603"/>
      <c r="AG11" s="615"/>
      <c r="AH11" s="488"/>
      <c r="AI11" s="613"/>
      <c r="AJ11" s="613"/>
      <c r="AK11" s="549"/>
      <c r="AL11" s="616"/>
      <c r="AM11" s="618"/>
      <c r="AN11" s="508"/>
      <c r="AO11" s="488"/>
      <c r="AP11" s="614" t="s">
        <v>786</v>
      </c>
      <c r="AQ11" s="614" t="s">
        <v>787</v>
      </c>
      <c r="AR11" s="549"/>
      <c r="AS11" s="612" t="s">
        <v>816</v>
      </c>
      <c r="AT11" s="638"/>
      <c r="AU11" s="640"/>
      <c r="AV11" s="488"/>
      <c r="AW11" s="640"/>
      <c r="AX11" s="643"/>
      <c r="AY11" s="549"/>
      <c r="AZ11" s="612" t="s">
        <v>816</v>
      </c>
      <c r="BA11" s="621"/>
      <c r="BB11" s="622"/>
      <c r="BC11" s="488"/>
      <c r="BD11" s="613"/>
      <c r="BE11" s="613"/>
      <c r="BF11" s="549"/>
      <c r="BG11" s="616"/>
      <c r="BH11" s="666"/>
      <c r="BI11" s="622"/>
      <c r="BJ11" s="663"/>
      <c r="BK11" s="613"/>
      <c r="BL11" s="613"/>
      <c r="BM11" s="622"/>
      <c r="BN11" s="648"/>
      <c r="BO11" s="667"/>
      <c r="BP11" s="549"/>
      <c r="BQ11" s="488"/>
      <c r="BR11" s="575"/>
      <c r="BS11" s="575"/>
      <c r="BT11" s="549"/>
      <c r="BU11" s="662"/>
      <c r="BV11" s="508"/>
      <c r="BW11" s="549"/>
      <c r="BX11" s="488"/>
      <c r="BY11" s="709"/>
      <c r="BZ11" s="709"/>
      <c r="CA11" s="819"/>
      <c r="CB11" s="710"/>
      <c r="CC11" s="712"/>
      <c r="CD11" s="508"/>
      <c r="CE11" s="516"/>
      <c r="CF11" s="514"/>
      <c r="CG11" s="492"/>
      <c r="CH11" s="492"/>
      <c r="CI11" s="542"/>
      <c r="CJ11" s="544"/>
      <c r="CK11" s="545"/>
      <c r="CL11" s="481"/>
      <c r="CM11" s="810"/>
      <c r="CN11" s="514"/>
    </row>
    <row r="12" spans="1:92" ht="232.5" customHeight="1" x14ac:dyDescent="0.25">
      <c r="A12" s="561" t="s">
        <v>26</v>
      </c>
      <c r="B12" s="445" t="s">
        <v>27</v>
      </c>
      <c r="C12" s="558" t="s">
        <v>28</v>
      </c>
      <c r="D12" s="111" t="s">
        <v>29</v>
      </c>
      <c r="E12" s="47" t="s">
        <v>30</v>
      </c>
      <c r="F12" s="47" t="s">
        <v>31</v>
      </c>
      <c r="G12" s="47" t="s">
        <v>32</v>
      </c>
      <c r="H12" s="224" t="s">
        <v>996</v>
      </c>
      <c r="I12" s="47" t="s">
        <v>33</v>
      </c>
      <c r="J12" s="279" t="s">
        <v>34</v>
      </c>
      <c r="K12" s="279" t="s">
        <v>295</v>
      </c>
      <c r="L12" s="279" t="s">
        <v>380</v>
      </c>
      <c r="M12" s="279" t="s">
        <v>296</v>
      </c>
      <c r="N12" s="279" t="s">
        <v>428</v>
      </c>
      <c r="O12" s="279" t="s">
        <v>297</v>
      </c>
      <c r="P12" s="279" t="s">
        <v>398</v>
      </c>
      <c r="Q12" s="280" t="s">
        <v>34</v>
      </c>
      <c r="R12" s="307" t="s">
        <v>41</v>
      </c>
      <c r="S12" s="579"/>
      <c r="T12" s="579"/>
      <c r="U12" s="579"/>
      <c r="V12" s="579"/>
      <c r="W12" s="549" t="s">
        <v>278</v>
      </c>
      <c r="X12" s="323"/>
      <c r="Y12" s="307" t="s">
        <v>41</v>
      </c>
      <c r="Z12" s="308" t="s">
        <v>37</v>
      </c>
      <c r="AA12" s="256">
        <v>0.77</v>
      </c>
      <c r="AB12" s="272"/>
      <c r="AC12" s="272"/>
      <c r="AD12" s="549" t="s">
        <v>278</v>
      </c>
      <c r="AE12" s="324" t="s">
        <v>669</v>
      </c>
      <c r="AF12" s="325">
        <v>0.125</v>
      </c>
      <c r="AG12" s="318">
        <v>0.22</v>
      </c>
      <c r="AH12" s="256">
        <v>0.64449999999999996</v>
      </c>
      <c r="AI12" s="613" t="s">
        <v>698</v>
      </c>
      <c r="AJ12" s="613" t="s">
        <v>699</v>
      </c>
      <c r="AK12" s="549" t="s">
        <v>278</v>
      </c>
      <c r="AL12" s="287" t="s">
        <v>733</v>
      </c>
      <c r="AM12" s="326">
        <v>0.12</v>
      </c>
      <c r="AN12" s="327">
        <v>0.22</v>
      </c>
      <c r="AO12" s="256">
        <v>0.77</v>
      </c>
      <c r="AP12" s="613" t="s">
        <v>788</v>
      </c>
      <c r="AQ12" s="613" t="s">
        <v>789</v>
      </c>
      <c r="AR12" s="549" t="s">
        <v>278</v>
      </c>
      <c r="AS12" s="750" t="s">
        <v>817</v>
      </c>
      <c r="AT12" s="328">
        <v>0.11700000000000001</v>
      </c>
      <c r="AU12" s="329">
        <v>0.18</v>
      </c>
      <c r="AV12" s="256">
        <v>0.64449999999999996</v>
      </c>
      <c r="AW12" s="330" t="s">
        <v>856</v>
      </c>
      <c r="AX12" s="330" t="s">
        <v>856</v>
      </c>
      <c r="AY12" s="549" t="s">
        <v>278</v>
      </c>
      <c r="AZ12" s="331" t="s">
        <v>865</v>
      </c>
      <c r="BA12" s="325">
        <v>0.17499999999999999</v>
      </c>
      <c r="BB12" s="318">
        <v>0.21</v>
      </c>
      <c r="BC12" s="256">
        <v>0.77</v>
      </c>
      <c r="BD12" s="613" t="s">
        <v>921</v>
      </c>
      <c r="BE12" s="613" t="s">
        <v>922</v>
      </c>
      <c r="BF12" s="549" t="s">
        <v>278</v>
      </c>
      <c r="BG12" s="332" t="s">
        <v>935</v>
      </c>
      <c r="BH12" s="325" t="s">
        <v>403</v>
      </c>
      <c r="BI12" s="333">
        <v>35.299999999999997</v>
      </c>
      <c r="BJ12" s="14">
        <v>0</v>
      </c>
      <c r="BK12" s="294"/>
      <c r="BL12" s="294"/>
      <c r="BM12" s="622" t="s">
        <v>278</v>
      </c>
      <c r="BN12" s="301" t="s">
        <v>511</v>
      </c>
      <c r="BO12" s="334" t="s">
        <v>403</v>
      </c>
      <c r="BP12" s="335" t="s">
        <v>421</v>
      </c>
      <c r="BQ12" s="256">
        <v>0.64449999999999996</v>
      </c>
      <c r="BR12" s="272">
        <v>0</v>
      </c>
      <c r="BS12" s="272">
        <v>0</v>
      </c>
      <c r="BT12" s="549" t="s">
        <v>278</v>
      </c>
      <c r="BU12" s="336" t="s">
        <v>590</v>
      </c>
      <c r="BV12" s="310">
        <v>0.13</v>
      </c>
      <c r="BW12" s="335" t="s">
        <v>463</v>
      </c>
      <c r="BX12" s="256">
        <v>0.4</v>
      </c>
      <c r="BY12" s="272">
        <f>8380975+175942526+66232642475</f>
        <v>66416965976</v>
      </c>
      <c r="BZ12" s="272">
        <f>6285731+
140457526+66232642475</f>
        <v>66379385732</v>
      </c>
      <c r="CA12" s="337">
        <f>BZ12/BY12</f>
        <v>0.9994341770442573</v>
      </c>
      <c r="CB12" s="299" t="s">
        <v>996</v>
      </c>
      <c r="CC12" s="338" t="s">
        <v>1080</v>
      </c>
      <c r="CD12" s="289" t="s">
        <v>1101</v>
      </c>
      <c r="CE12" s="38">
        <v>0.20499999999999999</v>
      </c>
      <c r="CF12" s="264">
        <v>0.33300000000000002</v>
      </c>
      <c r="CG12" s="55">
        <f>358000000+8380975+175942526+66232642475+240328965+358000000+1724800+11200000</f>
        <v>67386219741</v>
      </c>
      <c r="CH12" s="429">
        <f>6285731+358000000+1724800+11200000+
140457526+66232642475+387567781</f>
        <v>67137878313</v>
      </c>
      <c r="CI12" s="231">
        <f>CH12/CG12</f>
        <v>0.99631465559346544</v>
      </c>
      <c r="CJ12" s="224" t="s">
        <v>996</v>
      </c>
      <c r="CK12" s="436" t="s">
        <v>1143</v>
      </c>
      <c r="CL12" s="47" t="s">
        <v>34</v>
      </c>
      <c r="CM12" s="434">
        <v>0.20499999999999999</v>
      </c>
      <c r="CN12" s="264">
        <v>0.3</v>
      </c>
    </row>
    <row r="13" spans="1:92" s="2" customFormat="1" ht="201.75" customHeight="1" x14ac:dyDescent="0.25">
      <c r="A13" s="561"/>
      <c r="B13" s="445"/>
      <c r="C13" s="558"/>
      <c r="D13" s="112" t="s">
        <v>35</v>
      </c>
      <c r="E13" s="57" t="s">
        <v>36</v>
      </c>
      <c r="F13" s="57" t="s">
        <v>429</v>
      </c>
      <c r="G13" s="57" t="s">
        <v>430</v>
      </c>
      <c r="H13" s="85" t="s">
        <v>997</v>
      </c>
      <c r="I13" s="57" t="s">
        <v>37</v>
      </c>
      <c r="J13" s="279">
        <f>100*10*3</f>
        <v>3000</v>
      </c>
      <c r="K13" s="279" t="s">
        <v>295</v>
      </c>
      <c r="L13" s="279" t="s">
        <v>451</v>
      </c>
      <c r="M13" s="279" t="s">
        <v>369</v>
      </c>
      <c r="N13" s="279" t="s">
        <v>393</v>
      </c>
      <c r="O13" s="279" t="s">
        <v>370</v>
      </c>
      <c r="P13" s="279" t="s">
        <v>394</v>
      </c>
      <c r="Q13" s="280">
        <f>100*10*3</f>
        <v>3000</v>
      </c>
      <c r="R13" s="281" t="s">
        <v>41</v>
      </c>
      <c r="S13" s="579"/>
      <c r="T13" s="579"/>
      <c r="U13" s="579"/>
      <c r="V13" s="579"/>
      <c r="W13" s="549"/>
      <c r="X13" s="323"/>
      <c r="Y13" s="281" t="s">
        <v>41</v>
      </c>
      <c r="Z13" s="283" t="s">
        <v>37</v>
      </c>
      <c r="AA13" s="256">
        <v>0.33</v>
      </c>
      <c r="AB13" s="272"/>
      <c r="AC13" s="272"/>
      <c r="AD13" s="549"/>
      <c r="AE13" s="324" t="s">
        <v>670</v>
      </c>
      <c r="AF13" s="286">
        <v>300</v>
      </c>
      <c r="AG13" s="278">
        <v>714</v>
      </c>
      <c r="AH13" s="256">
        <v>0.33</v>
      </c>
      <c r="AI13" s="613"/>
      <c r="AJ13" s="613"/>
      <c r="AK13" s="549"/>
      <c r="AL13" s="287" t="s">
        <v>734</v>
      </c>
      <c r="AM13" s="288">
        <v>300</v>
      </c>
      <c r="AN13" s="289">
        <v>65</v>
      </c>
      <c r="AO13" s="256">
        <v>0.33</v>
      </c>
      <c r="AP13" s="614"/>
      <c r="AQ13" s="614"/>
      <c r="AR13" s="549"/>
      <c r="AS13" s="750"/>
      <c r="AT13" s="339">
        <v>3</v>
      </c>
      <c r="AU13" s="340">
        <v>3</v>
      </c>
      <c r="AV13" s="256">
        <v>0.33</v>
      </c>
      <c r="AW13" s="330" t="s">
        <v>856</v>
      </c>
      <c r="AX13" s="330" t="s">
        <v>856</v>
      </c>
      <c r="AY13" s="549"/>
      <c r="AZ13" s="341" t="s">
        <v>866</v>
      </c>
      <c r="BA13" s="286">
        <v>3</v>
      </c>
      <c r="BB13" s="278" t="s">
        <v>916</v>
      </c>
      <c r="BC13" s="256">
        <v>0.33</v>
      </c>
      <c r="BD13" s="613"/>
      <c r="BE13" s="613"/>
      <c r="BF13" s="549"/>
      <c r="BG13" s="332" t="s">
        <v>936</v>
      </c>
      <c r="BH13" s="286">
        <v>0</v>
      </c>
      <c r="BI13" s="278">
        <v>0</v>
      </c>
      <c r="BJ13" s="14">
        <v>1</v>
      </c>
      <c r="BK13" s="294"/>
      <c r="BL13" s="294"/>
      <c r="BM13" s="622"/>
      <c r="BN13" s="293" t="s">
        <v>512</v>
      </c>
      <c r="BO13" s="342">
        <v>0</v>
      </c>
      <c r="BP13" s="279">
        <v>0</v>
      </c>
      <c r="BQ13" s="256">
        <v>1</v>
      </c>
      <c r="BR13" s="272">
        <v>225000000</v>
      </c>
      <c r="BS13" s="272" t="s">
        <v>591</v>
      </c>
      <c r="BT13" s="549"/>
      <c r="BU13" s="298" t="s">
        <v>592</v>
      </c>
      <c r="BV13" s="289">
        <v>205</v>
      </c>
      <c r="BW13" s="279">
        <v>193</v>
      </c>
      <c r="BX13" s="256">
        <v>0.94099999999999995</v>
      </c>
      <c r="BY13" s="272">
        <f>8380975
+264860887+
1463333+3690000</f>
        <v>278395195</v>
      </c>
      <c r="BZ13" s="284">
        <f>3331245+196405887+630000+3960000</f>
        <v>204327132</v>
      </c>
      <c r="CA13" s="256">
        <f>BZ13/BY13</f>
        <v>0.73394633122170083</v>
      </c>
      <c r="CB13" s="278" t="s">
        <v>997</v>
      </c>
      <c r="CC13" s="300" t="s">
        <v>1093</v>
      </c>
      <c r="CD13" s="289">
        <v>205</v>
      </c>
      <c r="CE13" s="57">
        <f>193+8</f>
        <v>201</v>
      </c>
      <c r="CF13" s="56">
        <v>0.94099999999999995</v>
      </c>
      <c r="CG13" s="55">
        <f>8380975+1724800+18000000
+264860887+
1463333+3690000</f>
        <v>298119995</v>
      </c>
      <c r="CH13" s="429">
        <f>3331245+196405887+630000+3960000+1724800+8000000</f>
        <v>214051932</v>
      </c>
      <c r="CI13" s="56">
        <f>CH13/CG13</f>
        <v>0.71800595595743255</v>
      </c>
      <c r="CJ13" s="85" t="s">
        <v>997</v>
      </c>
      <c r="CK13" s="419" t="s">
        <v>1144</v>
      </c>
      <c r="CL13" s="57">
        <f>100*10*3</f>
        <v>3000</v>
      </c>
      <c r="CM13" s="276">
        <f>981.5+8+201</f>
        <v>1190.5</v>
      </c>
      <c r="CN13" s="257">
        <f>CM13/CL13</f>
        <v>0.39683333333333332</v>
      </c>
    </row>
    <row r="14" spans="1:92" ht="93.75" customHeight="1" x14ac:dyDescent="0.25">
      <c r="A14" s="561"/>
      <c r="B14" s="445"/>
      <c r="C14" s="558"/>
      <c r="D14" s="548" t="s">
        <v>38</v>
      </c>
      <c r="E14" s="445" t="s">
        <v>39</v>
      </c>
      <c r="F14" s="445" t="s">
        <v>434</v>
      </c>
      <c r="G14" s="445" t="s">
        <v>40</v>
      </c>
      <c r="H14" s="454" t="s">
        <v>998</v>
      </c>
      <c r="I14" s="516" t="s">
        <v>37</v>
      </c>
      <c r="J14" s="549" t="s">
        <v>41</v>
      </c>
      <c r="K14" s="549" t="s">
        <v>291</v>
      </c>
      <c r="L14" s="549" t="s">
        <v>381</v>
      </c>
      <c r="M14" s="549" t="s">
        <v>371</v>
      </c>
      <c r="N14" s="549" t="s">
        <v>386</v>
      </c>
      <c r="O14" s="549" t="s">
        <v>372</v>
      </c>
      <c r="P14" s="549" t="s">
        <v>395</v>
      </c>
      <c r="Q14" s="582" t="s">
        <v>41</v>
      </c>
      <c r="R14" s="281" t="s">
        <v>41</v>
      </c>
      <c r="S14" s="579"/>
      <c r="T14" s="579"/>
      <c r="U14" s="579"/>
      <c r="V14" s="579"/>
      <c r="W14" s="549"/>
      <c r="X14" s="323"/>
      <c r="Y14" s="281" t="s">
        <v>41</v>
      </c>
      <c r="Z14" s="283" t="s">
        <v>37</v>
      </c>
      <c r="AA14" s="488">
        <v>0</v>
      </c>
      <c r="AB14" s="580"/>
      <c r="AC14" s="580"/>
      <c r="AD14" s="549"/>
      <c r="AE14" s="324" t="s">
        <v>670</v>
      </c>
      <c r="AF14" s="343">
        <v>0.06</v>
      </c>
      <c r="AG14" s="318">
        <v>0.06</v>
      </c>
      <c r="AH14" s="488">
        <v>0</v>
      </c>
      <c r="AI14" s="613"/>
      <c r="AJ14" s="613"/>
      <c r="AK14" s="549"/>
      <c r="AL14" s="311" t="s">
        <v>735</v>
      </c>
      <c r="AM14" s="309">
        <v>0.06</v>
      </c>
      <c r="AN14" s="289">
        <v>0</v>
      </c>
      <c r="AO14" s="488">
        <v>0</v>
      </c>
      <c r="AP14" s="614"/>
      <c r="AQ14" s="614"/>
      <c r="AR14" s="549"/>
      <c r="AS14" s="750"/>
      <c r="AT14" s="344">
        <v>0.06</v>
      </c>
      <c r="AU14" s="312">
        <v>0.04</v>
      </c>
      <c r="AV14" s="488">
        <v>0</v>
      </c>
      <c r="AW14" s="330" t="s">
        <v>856</v>
      </c>
      <c r="AX14" s="330" t="s">
        <v>856</v>
      </c>
      <c r="AY14" s="549"/>
      <c r="AZ14" s="345" t="s">
        <v>867</v>
      </c>
      <c r="BA14" s="621">
        <v>12</v>
      </c>
      <c r="BB14" s="622" t="s">
        <v>917</v>
      </c>
      <c r="BC14" s="488">
        <v>0</v>
      </c>
      <c r="BD14" s="613"/>
      <c r="BE14" s="613"/>
      <c r="BF14" s="549"/>
      <c r="BG14" s="647" t="s">
        <v>937</v>
      </c>
      <c r="BH14" s="603">
        <v>0.1</v>
      </c>
      <c r="BI14" s="622">
        <v>0</v>
      </c>
      <c r="BJ14" s="663">
        <v>0</v>
      </c>
      <c r="BK14" s="613"/>
      <c r="BL14" s="613"/>
      <c r="BM14" s="622"/>
      <c r="BN14" s="648" t="s">
        <v>513</v>
      </c>
      <c r="BO14" s="664">
        <v>0.1</v>
      </c>
      <c r="BP14" s="549">
        <v>0</v>
      </c>
      <c r="BQ14" s="488">
        <v>0</v>
      </c>
      <c r="BR14" s="580" t="s">
        <v>593</v>
      </c>
      <c r="BS14" s="580" t="s">
        <v>594</v>
      </c>
      <c r="BT14" s="549"/>
      <c r="BU14" s="662" t="s">
        <v>595</v>
      </c>
      <c r="BV14" s="507">
        <v>0.1</v>
      </c>
      <c r="BW14" s="549">
        <v>0</v>
      </c>
      <c r="BX14" s="488">
        <v>0</v>
      </c>
      <c r="BY14" s="700">
        <v>30000000</v>
      </c>
      <c r="BZ14" s="700">
        <v>30000000</v>
      </c>
      <c r="CA14" s="706">
        <f>BZ14/BY14</f>
        <v>1</v>
      </c>
      <c r="CB14" s="494" t="s">
        <v>998</v>
      </c>
      <c r="CC14" s="702" t="s">
        <v>1046</v>
      </c>
      <c r="CD14" s="507">
        <v>0.1</v>
      </c>
      <c r="CE14" s="516">
        <v>0</v>
      </c>
      <c r="CF14" s="514">
        <v>0</v>
      </c>
      <c r="CG14" s="798">
        <v>30000000</v>
      </c>
      <c r="CH14" s="800">
        <v>30000000</v>
      </c>
      <c r="CI14" s="503">
        <f>CH14/CG14</f>
        <v>1</v>
      </c>
      <c r="CJ14" s="454" t="s">
        <v>998</v>
      </c>
      <c r="CK14" s="457" t="s">
        <v>1159</v>
      </c>
      <c r="CL14" s="516">
        <v>0</v>
      </c>
      <c r="CM14" s="808">
        <v>0</v>
      </c>
      <c r="CN14" s="514">
        <v>0</v>
      </c>
    </row>
    <row r="15" spans="1:92" ht="73.5" customHeight="1" x14ac:dyDescent="0.25">
      <c r="A15" s="561"/>
      <c r="B15" s="445"/>
      <c r="C15" s="558"/>
      <c r="D15" s="548"/>
      <c r="E15" s="445"/>
      <c r="F15" s="445"/>
      <c r="G15" s="445"/>
      <c r="H15" s="477"/>
      <c r="I15" s="516"/>
      <c r="J15" s="549"/>
      <c r="K15" s="549"/>
      <c r="L15" s="549"/>
      <c r="M15" s="549"/>
      <c r="N15" s="549"/>
      <c r="O15" s="549"/>
      <c r="P15" s="549"/>
      <c r="Q15" s="582"/>
      <c r="R15" s="281" t="s">
        <v>41</v>
      </c>
      <c r="S15" s="579"/>
      <c r="T15" s="579"/>
      <c r="U15" s="579"/>
      <c r="V15" s="579"/>
      <c r="W15" s="549"/>
      <c r="X15" s="323"/>
      <c r="Y15" s="281" t="s">
        <v>41</v>
      </c>
      <c r="Z15" s="283" t="s">
        <v>37</v>
      </c>
      <c r="AA15" s="488"/>
      <c r="AB15" s="580"/>
      <c r="AC15" s="580"/>
      <c r="AD15" s="549"/>
      <c r="AE15" s="324" t="s">
        <v>670</v>
      </c>
      <c r="AF15" s="286" t="s">
        <v>691</v>
      </c>
      <c r="AG15" s="278" t="s">
        <v>691</v>
      </c>
      <c r="AH15" s="488"/>
      <c r="AI15" s="294" t="s">
        <v>700</v>
      </c>
      <c r="AJ15" s="294" t="s">
        <v>700</v>
      </c>
      <c r="AK15" s="549"/>
      <c r="AL15" s="612" t="s">
        <v>736</v>
      </c>
      <c r="AM15" s="286" t="s">
        <v>691</v>
      </c>
      <c r="AN15" s="278" t="s">
        <v>691</v>
      </c>
      <c r="AO15" s="488"/>
      <c r="AP15" s="294" t="s">
        <v>700</v>
      </c>
      <c r="AQ15" s="294" t="s">
        <v>700</v>
      </c>
      <c r="AR15" s="549"/>
      <c r="AS15" s="616" t="s">
        <v>818</v>
      </c>
      <c r="AT15" s="346">
        <v>649</v>
      </c>
      <c r="AU15" s="292">
        <v>649</v>
      </c>
      <c r="AV15" s="488"/>
      <c r="AW15" s="330" t="s">
        <v>856</v>
      </c>
      <c r="AX15" s="330" t="s">
        <v>856</v>
      </c>
      <c r="AY15" s="549"/>
      <c r="AZ15" s="779" t="s">
        <v>868</v>
      </c>
      <c r="BA15" s="621"/>
      <c r="BB15" s="622"/>
      <c r="BC15" s="488"/>
      <c r="BD15" s="613"/>
      <c r="BE15" s="613"/>
      <c r="BF15" s="549"/>
      <c r="BG15" s="647"/>
      <c r="BH15" s="621"/>
      <c r="BI15" s="622"/>
      <c r="BJ15" s="663"/>
      <c r="BK15" s="613"/>
      <c r="BL15" s="613"/>
      <c r="BM15" s="622"/>
      <c r="BN15" s="648"/>
      <c r="BO15" s="665"/>
      <c r="BP15" s="549"/>
      <c r="BQ15" s="488"/>
      <c r="BR15" s="580"/>
      <c r="BS15" s="580"/>
      <c r="BT15" s="549"/>
      <c r="BU15" s="662"/>
      <c r="BV15" s="508"/>
      <c r="BW15" s="549"/>
      <c r="BX15" s="488"/>
      <c r="BY15" s="701"/>
      <c r="BZ15" s="701"/>
      <c r="CA15" s="707"/>
      <c r="CB15" s="495"/>
      <c r="CC15" s="703"/>
      <c r="CD15" s="508"/>
      <c r="CE15" s="516"/>
      <c r="CF15" s="514"/>
      <c r="CG15" s="799"/>
      <c r="CH15" s="801"/>
      <c r="CI15" s="504"/>
      <c r="CJ15" s="477"/>
      <c r="CK15" s="493"/>
      <c r="CL15" s="516"/>
      <c r="CM15" s="811"/>
      <c r="CN15" s="514"/>
    </row>
    <row r="16" spans="1:92" ht="107.25" customHeight="1" x14ac:dyDescent="0.25">
      <c r="A16" s="561"/>
      <c r="B16" s="445"/>
      <c r="C16" s="558"/>
      <c r="D16" s="111" t="s">
        <v>42</v>
      </c>
      <c r="E16" s="57" t="s">
        <v>43</v>
      </c>
      <c r="F16" s="57" t="s">
        <v>44</v>
      </c>
      <c r="G16" s="57" t="s">
        <v>45</v>
      </c>
      <c r="H16" s="85" t="s">
        <v>999</v>
      </c>
      <c r="I16" s="59">
        <v>0.8</v>
      </c>
      <c r="J16" s="279" t="s">
        <v>435</v>
      </c>
      <c r="K16" s="549" t="s">
        <v>295</v>
      </c>
      <c r="L16" s="549" t="s">
        <v>298</v>
      </c>
      <c r="M16" s="549">
        <v>3602018</v>
      </c>
      <c r="N16" s="549" t="s">
        <v>299</v>
      </c>
      <c r="O16" s="549">
        <v>360201800</v>
      </c>
      <c r="P16" s="549" t="s">
        <v>300</v>
      </c>
      <c r="Q16" s="280" t="s">
        <v>435</v>
      </c>
      <c r="R16" s="281" t="s">
        <v>41</v>
      </c>
      <c r="S16" s="579"/>
      <c r="T16" s="579"/>
      <c r="U16" s="579"/>
      <c r="V16" s="579"/>
      <c r="W16" s="549" t="s">
        <v>452</v>
      </c>
      <c r="X16" s="323"/>
      <c r="Y16" s="281" t="s">
        <v>41</v>
      </c>
      <c r="Z16" s="283" t="s">
        <v>37</v>
      </c>
      <c r="AA16" s="256" t="e">
        <f>Z16/Y16</f>
        <v>#VALUE!</v>
      </c>
      <c r="AB16" s="575"/>
      <c r="AC16" s="575"/>
      <c r="AD16" s="549" t="s">
        <v>452</v>
      </c>
      <c r="AE16" s="324" t="s">
        <v>670</v>
      </c>
      <c r="AF16" s="286" t="s">
        <v>691</v>
      </c>
      <c r="AG16" s="278" t="s">
        <v>691</v>
      </c>
      <c r="AH16" s="256" t="e">
        <f>AG16/AF16</f>
        <v>#VALUE!</v>
      </c>
      <c r="AI16" s="294" t="s">
        <v>700</v>
      </c>
      <c r="AJ16" s="294" t="s">
        <v>700</v>
      </c>
      <c r="AK16" s="549" t="s">
        <v>452</v>
      </c>
      <c r="AL16" s="612"/>
      <c r="AM16" s="286" t="s">
        <v>691</v>
      </c>
      <c r="AN16" s="278" t="s">
        <v>691</v>
      </c>
      <c r="AO16" s="256" t="e">
        <f>AN16/AM16</f>
        <v>#VALUE!</v>
      </c>
      <c r="AP16" s="294" t="s">
        <v>700</v>
      </c>
      <c r="AQ16" s="294" t="s">
        <v>700</v>
      </c>
      <c r="AR16" s="549" t="s">
        <v>452</v>
      </c>
      <c r="AS16" s="616"/>
      <c r="AT16" s="291">
        <v>155</v>
      </c>
      <c r="AU16" s="292">
        <v>155</v>
      </c>
      <c r="AV16" s="256">
        <f>AU16/AT16</f>
        <v>1</v>
      </c>
      <c r="AW16" s="330" t="s">
        <v>856</v>
      </c>
      <c r="AX16" s="330" t="s">
        <v>856</v>
      </c>
      <c r="AY16" s="549" t="s">
        <v>452</v>
      </c>
      <c r="AZ16" s="779"/>
      <c r="BA16" s="286">
        <v>253</v>
      </c>
      <c r="BB16" s="278">
        <v>253</v>
      </c>
      <c r="BC16" s="256">
        <f>BB16/BA16</f>
        <v>1</v>
      </c>
      <c r="BD16" s="613">
        <v>150000000</v>
      </c>
      <c r="BE16" s="613">
        <v>150000000</v>
      </c>
      <c r="BF16" s="549" t="s">
        <v>452</v>
      </c>
      <c r="BG16" s="644" t="s">
        <v>938</v>
      </c>
      <c r="BH16" s="286">
        <v>1741</v>
      </c>
      <c r="BI16" s="278">
        <v>1741</v>
      </c>
      <c r="BJ16" s="14">
        <v>1</v>
      </c>
      <c r="BK16" s="613"/>
      <c r="BL16" s="613"/>
      <c r="BM16" s="622" t="s">
        <v>514</v>
      </c>
      <c r="BN16" s="644" t="s">
        <v>515</v>
      </c>
      <c r="BO16" s="342">
        <v>1741</v>
      </c>
      <c r="BP16" s="279">
        <v>1523</v>
      </c>
      <c r="BQ16" s="256">
        <f>BP16/BO16</f>
        <v>0.87478460654796097</v>
      </c>
      <c r="BR16" s="575"/>
      <c r="BS16" s="575"/>
      <c r="BT16" s="549" t="s">
        <v>452</v>
      </c>
      <c r="BU16" s="668" t="s">
        <v>596</v>
      </c>
      <c r="BV16" s="289">
        <v>1741</v>
      </c>
      <c r="BW16" s="279">
        <v>1925</v>
      </c>
      <c r="BX16" s="256">
        <v>1</v>
      </c>
      <c r="BY16" s="464">
        <v>0</v>
      </c>
      <c r="BZ16" s="464">
        <v>0</v>
      </c>
      <c r="CA16" s="267">
        <v>0</v>
      </c>
      <c r="CB16" s="278" t="s">
        <v>999</v>
      </c>
      <c r="CC16" s="704" t="s">
        <v>1047</v>
      </c>
      <c r="CD16" s="289">
        <v>1741</v>
      </c>
      <c r="CE16" s="57">
        <v>1925</v>
      </c>
      <c r="CF16" s="221">
        <v>1</v>
      </c>
      <c r="CG16" s="470">
        <v>0</v>
      </c>
      <c r="CH16" s="470">
        <v>0</v>
      </c>
      <c r="CI16" s="206">
        <v>0</v>
      </c>
      <c r="CJ16" s="85" t="s">
        <v>999</v>
      </c>
      <c r="CK16" s="518" t="s">
        <v>1106</v>
      </c>
      <c r="CL16" s="47" t="s">
        <v>435</v>
      </c>
      <c r="CM16" s="205">
        <v>5959</v>
      </c>
      <c r="CN16" s="60">
        <v>1</v>
      </c>
    </row>
    <row r="17" spans="1:92" ht="71.25" customHeight="1" x14ac:dyDescent="0.25">
      <c r="A17" s="561"/>
      <c r="B17" s="445"/>
      <c r="C17" s="558"/>
      <c r="D17" s="111" t="s">
        <v>46</v>
      </c>
      <c r="E17" s="57" t="s">
        <v>47</v>
      </c>
      <c r="F17" s="57" t="s">
        <v>48</v>
      </c>
      <c r="G17" s="57" t="s">
        <v>45</v>
      </c>
      <c r="H17" s="85" t="s">
        <v>999</v>
      </c>
      <c r="I17" s="57" t="s">
        <v>37</v>
      </c>
      <c r="J17" s="279" t="s">
        <v>435</v>
      </c>
      <c r="K17" s="549"/>
      <c r="L17" s="549"/>
      <c r="M17" s="549"/>
      <c r="N17" s="549"/>
      <c r="O17" s="549"/>
      <c r="P17" s="549"/>
      <c r="Q17" s="280" t="s">
        <v>435</v>
      </c>
      <c r="R17" s="307" t="s">
        <v>41</v>
      </c>
      <c r="S17" s="579"/>
      <c r="T17" s="579"/>
      <c r="U17" s="579"/>
      <c r="V17" s="579"/>
      <c r="W17" s="549"/>
      <c r="X17" s="323"/>
      <c r="Y17" s="307" t="s">
        <v>41</v>
      </c>
      <c r="Z17" s="308">
        <v>0.01</v>
      </c>
      <c r="AA17" s="256" t="e">
        <f>Z17/Y17</f>
        <v>#VALUE!</v>
      </c>
      <c r="AB17" s="575"/>
      <c r="AC17" s="575"/>
      <c r="AD17" s="549"/>
      <c r="AE17" s="324" t="s">
        <v>671</v>
      </c>
      <c r="AF17" s="325">
        <v>4.0000000000000001E-3</v>
      </c>
      <c r="AG17" s="318">
        <v>4.0000000000000001E-3</v>
      </c>
      <c r="AH17" s="256">
        <f>AG17/AF17</f>
        <v>1</v>
      </c>
      <c r="AI17" s="613">
        <v>16500000</v>
      </c>
      <c r="AJ17" s="613">
        <v>16500000</v>
      </c>
      <c r="AK17" s="549"/>
      <c r="AL17" s="612" t="s">
        <v>737</v>
      </c>
      <c r="AM17" s="347">
        <v>4.0000000000000001E-3</v>
      </c>
      <c r="AN17" s="348" t="s">
        <v>41</v>
      </c>
      <c r="AO17" s="256" t="e">
        <f>AN17/AM17</f>
        <v>#VALUE!</v>
      </c>
      <c r="AP17" s="614" t="s">
        <v>790</v>
      </c>
      <c r="AQ17" s="614" t="s">
        <v>700</v>
      </c>
      <c r="AR17" s="549"/>
      <c r="AS17" s="751" t="s">
        <v>819</v>
      </c>
      <c r="AT17" s="349">
        <v>4.0000000000000001E-3</v>
      </c>
      <c r="AU17" s="350">
        <v>3.5000000000000001E-3</v>
      </c>
      <c r="AV17" s="256">
        <f>AU17/AT17</f>
        <v>0.875</v>
      </c>
      <c r="AW17" s="643" t="s">
        <v>856</v>
      </c>
      <c r="AX17" s="643" t="s">
        <v>856</v>
      </c>
      <c r="AY17" s="549"/>
      <c r="AZ17" s="646" t="s">
        <v>869</v>
      </c>
      <c r="BA17" s="286">
        <v>253</v>
      </c>
      <c r="BB17" s="278">
        <v>253</v>
      </c>
      <c r="BC17" s="256">
        <f>BB17/BA17</f>
        <v>1</v>
      </c>
      <c r="BD17" s="613"/>
      <c r="BE17" s="613"/>
      <c r="BF17" s="549"/>
      <c r="BG17" s="644"/>
      <c r="BH17" s="286">
        <v>1741</v>
      </c>
      <c r="BI17" s="278">
        <v>1741</v>
      </c>
      <c r="BJ17" s="14">
        <v>1</v>
      </c>
      <c r="BK17" s="613"/>
      <c r="BL17" s="613"/>
      <c r="BM17" s="622"/>
      <c r="BN17" s="644"/>
      <c r="BO17" s="342">
        <v>1741</v>
      </c>
      <c r="BP17" s="279">
        <v>1523</v>
      </c>
      <c r="BQ17" s="256">
        <f>BP17/BO17</f>
        <v>0.87478460654796097</v>
      </c>
      <c r="BR17" s="575"/>
      <c r="BS17" s="575"/>
      <c r="BT17" s="549"/>
      <c r="BU17" s="668"/>
      <c r="BV17" s="289">
        <v>1741</v>
      </c>
      <c r="BW17" s="279">
        <v>1925</v>
      </c>
      <c r="BX17" s="256">
        <v>1</v>
      </c>
      <c r="BY17" s="465"/>
      <c r="BZ17" s="465"/>
      <c r="CA17" s="267">
        <v>0</v>
      </c>
      <c r="CB17" s="278" t="s">
        <v>999</v>
      </c>
      <c r="CC17" s="705"/>
      <c r="CD17" s="289">
        <v>1741</v>
      </c>
      <c r="CE17" s="57">
        <v>1925</v>
      </c>
      <c r="CF17" s="221">
        <v>1</v>
      </c>
      <c r="CG17" s="471"/>
      <c r="CH17" s="471"/>
      <c r="CI17" s="206">
        <v>0</v>
      </c>
      <c r="CJ17" s="85" t="s">
        <v>999</v>
      </c>
      <c r="CK17" s="520"/>
      <c r="CL17" s="47" t="s">
        <v>435</v>
      </c>
      <c r="CM17" s="205">
        <v>5959</v>
      </c>
      <c r="CN17" s="221">
        <v>1</v>
      </c>
    </row>
    <row r="18" spans="1:92" ht="86.25" customHeight="1" x14ac:dyDescent="0.25">
      <c r="A18" s="561"/>
      <c r="B18" s="445"/>
      <c r="C18" s="558"/>
      <c r="D18" s="548" t="s">
        <v>49</v>
      </c>
      <c r="E18" s="516" t="s">
        <v>50</v>
      </c>
      <c r="F18" s="57" t="s">
        <v>51</v>
      </c>
      <c r="G18" s="57" t="s">
        <v>52</v>
      </c>
      <c r="H18" s="85" t="s">
        <v>1000</v>
      </c>
      <c r="I18" s="57" t="s">
        <v>53</v>
      </c>
      <c r="J18" s="279" t="s">
        <v>54</v>
      </c>
      <c r="K18" s="549" t="s">
        <v>436</v>
      </c>
      <c r="L18" s="549" t="s">
        <v>382</v>
      </c>
      <c r="M18" s="549" t="s">
        <v>301</v>
      </c>
      <c r="N18" s="549" t="s">
        <v>437</v>
      </c>
      <c r="O18" s="549" t="s">
        <v>302</v>
      </c>
      <c r="P18" s="549" t="s">
        <v>396</v>
      </c>
      <c r="Q18" s="280" t="s">
        <v>54</v>
      </c>
      <c r="R18" s="307" t="s">
        <v>41</v>
      </c>
      <c r="S18" s="579"/>
      <c r="T18" s="579"/>
      <c r="U18" s="579"/>
      <c r="V18" s="579"/>
      <c r="W18" s="549" t="s">
        <v>280</v>
      </c>
      <c r="X18" s="323"/>
      <c r="Y18" s="307" t="s">
        <v>41</v>
      </c>
      <c r="Z18" s="308">
        <v>0.05</v>
      </c>
      <c r="AA18" s="256">
        <v>1</v>
      </c>
      <c r="AB18" s="604"/>
      <c r="AC18" s="604"/>
      <c r="AD18" s="549" t="s">
        <v>280</v>
      </c>
      <c r="AE18" s="324" t="s">
        <v>670</v>
      </c>
      <c r="AF18" s="669">
        <v>7.0000000000000001E-3</v>
      </c>
      <c r="AG18" s="625">
        <v>0.109</v>
      </c>
      <c r="AH18" s="256">
        <v>1</v>
      </c>
      <c r="AI18" s="613"/>
      <c r="AJ18" s="613"/>
      <c r="AK18" s="549" t="s">
        <v>280</v>
      </c>
      <c r="AL18" s="612"/>
      <c r="AM18" s="619">
        <v>7.0000000000000001E-3</v>
      </c>
      <c r="AN18" s="620" t="s">
        <v>41</v>
      </c>
      <c r="AO18" s="256">
        <v>1</v>
      </c>
      <c r="AP18" s="614"/>
      <c r="AQ18" s="614"/>
      <c r="AR18" s="549" t="s">
        <v>280</v>
      </c>
      <c r="AS18" s="751"/>
      <c r="AT18" s="758">
        <v>0.1</v>
      </c>
      <c r="AU18" s="759">
        <v>0.08</v>
      </c>
      <c r="AV18" s="256">
        <v>1</v>
      </c>
      <c r="AW18" s="643"/>
      <c r="AX18" s="643"/>
      <c r="AY18" s="549" t="s">
        <v>280</v>
      </c>
      <c r="AZ18" s="646"/>
      <c r="BA18" s="325">
        <v>4.0000000000000001E-3</v>
      </c>
      <c r="BB18" s="351">
        <v>4.3999999999999997E-2</v>
      </c>
      <c r="BC18" s="256">
        <v>1</v>
      </c>
      <c r="BD18" s="645">
        <v>115272000</v>
      </c>
      <c r="BE18" s="645">
        <v>57636000</v>
      </c>
      <c r="BF18" s="549" t="s">
        <v>280</v>
      </c>
      <c r="BG18" s="646"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c r="BH18" s="669" t="s">
        <v>401</v>
      </c>
      <c r="BI18" s="351">
        <v>0.03</v>
      </c>
      <c r="BJ18" s="14">
        <v>1</v>
      </c>
      <c r="BK18" s="670" t="s">
        <v>516</v>
      </c>
      <c r="BL18" s="670">
        <v>1980000</v>
      </c>
      <c r="BM18" s="622" t="s">
        <v>280</v>
      </c>
      <c r="BN18" s="671" t="s">
        <v>517</v>
      </c>
      <c r="BO18" s="673" t="s">
        <v>401</v>
      </c>
      <c r="BP18" s="352">
        <v>0.03</v>
      </c>
      <c r="BQ18" s="256">
        <v>1</v>
      </c>
      <c r="BR18" s="604" t="s">
        <v>465</v>
      </c>
      <c r="BS18" s="604" t="s">
        <v>466</v>
      </c>
      <c r="BT18" s="549" t="s">
        <v>280</v>
      </c>
      <c r="BU18" s="674" t="s">
        <v>597</v>
      </c>
      <c r="BV18" s="353" t="s">
        <v>979</v>
      </c>
      <c r="BW18" s="352">
        <v>0.03</v>
      </c>
      <c r="BX18" s="256">
        <v>1</v>
      </c>
      <c r="BY18" s="718">
        <f>163000000+
31500000</f>
        <v>194500000</v>
      </c>
      <c r="BZ18" s="718">
        <f>163000000+63000000</f>
        <v>226000000</v>
      </c>
      <c r="CA18" s="708">
        <v>1</v>
      </c>
      <c r="CB18" s="278" t="s">
        <v>1000</v>
      </c>
      <c r="CC18" s="721" t="s">
        <v>1048</v>
      </c>
      <c r="CD18" s="289" t="s">
        <v>1102</v>
      </c>
      <c r="CE18" s="37">
        <v>0.03</v>
      </c>
      <c r="CF18" s="40">
        <v>1</v>
      </c>
      <c r="CG18" s="718">
        <f>163000000+63000000+121344300+13571428</f>
        <v>360915728</v>
      </c>
      <c r="CH18" s="470">
        <f>163000000+13571428+
31500000+33093900</f>
        <v>241165328</v>
      </c>
      <c r="CI18" s="524">
        <f>CH18/CG18</f>
        <v>0.66820398583461016</v>
      </c>
      <c r="CJ18" s="85" t="s">
        <v>1000</v>
      </c>
      <c r="CK18" s="528" t="s">
        <v>1160</v>
      </c>
      <c r="CL18" s="47" t="s">
        <v>54</v>
      </c>
      <c r="CM18" s="37">
        <v>0.03</v>
      </c>
      <c r="CN18" s="232">
        <v>1</v>
      </c>
    </row>
    <row r="19" spans="1:92" ht="93.75" customHeight="1" x14ac:dyDescent="0.25">
      <c r="A19" s="561"/>
      <c r="B19" s="445"/>
      <c r="C19" s="558"/>
      <c r="D19" s="548"/>
      <c r="E19" s="516"/>
      <c r="F19" s="516" t="s">
        <v>55</v>
      </c>
      <c r="G19" s="516" t="s">
        <v>52</v>
      </c>
      <c r="H19" s="454" t="s">
        <v>1001</v>
      </c>
      <c r="I19" s="516" t="s">
        <v>56</v>
      </c>
      <c r="J19" s="549" t="s">
        <v>57</v>
      </c>
      <c r="K19" s="549"/>
      <c r="L19" s="549"/>
      <c r="M19" s="549"/>
      <c r="N19" s="549"/>
      <c r="O19" s="549"/>
      <c r="P19" s="549"/>
      <c r="Q19" s="582" t="s">
        <v>57</v>
      </c>
      <c r="R19" s="281" t="s">
        <v>41</v>
      </c>
      <c r="S19" s="579"/>
      <c r="T19" s="579"/>
      <c r="U19" s="579"/>
      <c r="V19" s="579"/>
      <c r="W19" s="549"/>
      <c r="X19" s="282"/>
      <c r="Y19" s="281" t="s">
        <v>41</v>
      </c>
      <c r="Z19" s="283">
        <v>1</v>
      </c>
      <c r="AA19" s="488">
        <v>0.97219999999999995</v>
      </c>
      <c r="AB19" s="604"/>
      <c r="AC19" s="604"/>
      <c r="AD19" s="549"/>
      <c r="AE19" s="285" t="s">
        <v>672</v>
      </c>
      <c r="AF19" s="669"/>
      <c r="AG19" s="625"/>
      <c r="AH19" s="488">
        <v>0.97219999999999995</v>
      </c>
      <c r="AI19" s="613"/>
      <c r="AJ19" s="613"/>
      <c r="AK19" s="549"/>
      <c r="AL19" s="612"/>
      <c r="AM19" s="619"/>
      <c r="AN19" s="620"/>
      <c r="AO19" s="488">
        <v>0.97219999999999995</v>
      </c>
      <c r="AP19" s="614"/>
      <c r="AQ19" s="614"/>
      <c r="AR19" s="549"/>
      <c r="AS19" s="751"/>
      <c r="AT19" s="758"/>
      <c r="AU19" s="759"/>
      <c r="AV19" s="488">
        <v>0.97219999999999995</v>
      </c>
      <c r="AW19" s="643"/>
      <c r="AX19" s="643"/>
      <c r="AY19" s="549"/>
      <c r="AZ19" s="646"/>
      <c r="BA19" s="669">
        <v>7.0000000000000001E-3</v>
      </c>
      <c r="BB19" s="625">
        <v>8.6999999999999994E-2</v>
      </c>
      <c r="BC19" s="488">
        <v>0.97219999999999995</v>
      </c>
      <c r="BD19" s="645"/>
      <c r="BE19" s="645"/>
      <c r="BF19" s="549"/>
      <c r="BG19" s="646"/>
      <c r="BH19" s="669"/>
      <c r="BI19" s="625" t="s">
        <v>412</v>
      </c>
      <c r="BJ19" s="663">
        <v>0.97219999999999995</v>
      </c>
      <c r="BK19" s="670"/>
      <c r="BL19" s="670"/>
      <c r="BM19" s="622"/>
      <c r="BN19" s="672"/>
      <c r="BO19" s="673"/>
      <c r="BP19" s="675" t="s">
        <v>412</v>
      </c>
      <c r="BQ19" s="488">
        <v>0.97219999999999995</v>
      </c>
      <c r="BR19" s="604"/>
      <c r="BS19" s="604"/>
      <c r="BT19" s="549"/>
      <c r="BU19" s="674"/>
      <c r="BV19" s="526">
        <v>7.0000000000000007E-2</v>
      </c>
      <c r="BW19" s="675" t="s">
        <v>412</v>
      </c>
      <c r="BX19" s="488">
        <v>0.97219999999999995</v>
      </c>
      <c r="BY19" s="719"/>
      <c r="BZ19" s="719"/>
      <c r="CA19" s="708"/>
      <c r="CB19" s="494" t="s">
        <v>1001</v>
      </c>
      <c r="CC19" s="722"/>
      <c r="CD19" s="526">
        <v>7.0000000000000007E-2</v>
      </c>
      <c r="CE19" s="515" t="s">
        <v>412</v>
      </c>
      <c r="CF19" s="514">
        <v>1</v>
      </c>
      <c r="CG19" s="719"/>
      <c r="CH19" s="492"/>
      <c r="CI19" s="524"/>
      <c r="CJ19" s="454" t="s">
        <v>1001</v>
      </c>
      <c r="CK19" s="529"/>
      <c r="CL19" s="445" t="s">
        <v>57</v>
      </c>
      <c r="CM19" s="521" t="s">
        <v>412</v>
      </c>
      <c r="CN19" s="797">
        <v>1</v>
      </c>
    </row>
    <row r="20" spans="1:92" ht="67.5" customHeight="1" x14ac:dyDescent="0.25">
      <c r="A20" s="561"/>
      <c r="B20" s="445"/>
      <c r="C20" s="558"/>
      <c r="D20" s="548"/>
      <c r="E20" s="516"/>
      <c r="F20" s="516"/>
      <c r="G20" s="516"/>
      <c r="H20" s="477"/>
      <c r="I20" s="516"/>
      <c r="J20" s="549"/>
      <c r="K20" s="549"/>
      <c r="L20" s="549"/>
      <c r="M20" s="549"/>
      <c r="N20" s="549"/>
      <c r="O20" s="549"/>
      <c r="P20" s="549"/>
      <c r="Q20" s="582"/>
      <c r="R20" s="281" t="s">
        <v>41</v>
      </c>
      <c r="S20" s="584"/>
      <c r="T20" s="584"/>
      <c r="U20" s="584"/>
      <c r="V20" s="584"/>
      <c r="W20" s="549"/>
      <c r="X20" s="583"/>
      <c r="Y20" s="281" t="s">
        <v>41</v>
      </c>
      <c r="Z20" s="283" t="s">
        <v>661</v>
      </c>
      <c r="AA20" s="488"/>
      <c r="AB20" s="604"/>
      <c r="AC20" s="604"/>
      <c r="AD20" s="549"/>
      <c r="AE20" s="745" t="s">
        <v>673</v>
      </c>
      <c r="AF20" s="603">
        <v>0.04</v>
      </c>
      <c r="AG20" s="615">
        <v>0.04</v>
      </c>
      <c r="AH20" s="488"/>
      <c r="AI20" s="613">
        <v>10000000</v>
      </c>
      <c r="AJ20" s="613">
        <v>10000000</v>
      </c>
      <c r="AK20" s="549"/>
      <c r="AL20" s="612" t="s">
        <v>738</v>
      </c>
      <c r="AM20" s="617">
        <v>0.05</v>
      </c>
      <c r="AN20" s="507">
        <v>0.05</v>
      </c>
      <c r="AO20" s="488"/>
      <c r="AP20" s="613" t="s">
        <v>791</v>
      </c>
      <c r="AQ20" s="613" t="s">
        <v>792</v>
      </c>
      <c r="AR20" s="549"/>
      <c r="AS20" s="616" t="s">
        <v>820</v>
      </c>
      <c r="AT20" s="637">
        <v>0.06</v>
      </c>
      <c r="AU20" s="639">
        <v>0.06</v>
      </c>
      <c r="AV20" s="488"/>
      <c r="AW20" s="642" t="s">
        <v>856</v>
      </c>
      <c r="AX20" s="642" t="s">
        <v>856</v>
      </c>
      <c r="AY20" s="549"/>
      <c r="AZ20" s="780" t="s">
        <v>870</v>
      </c>
      <c r="BA20" s="669"/>
      <c r="BB20" s="625"/>
      <c r="BC20" s="488"/>
      <c r="BD20" s="645"/>
      <c r="BE20" s="645"/>
      <c r="BF20" s="549"/>
      <c r="BG20" s="646"/>
      <c r="BH20" s="669"/>
      <c r="BI20" s="625"/>
      <c r="BJ20" s="663"/>
      <c r="BK20" s="670"/>
      <c r="BL20" s="670"/>
      <c r="BM20" s="622"/>
      <c r="BN20" s="672"/>
      <c r="BO20" s="673"/>
      <c r="BP20" s="675"/>
      <c r="BQ20" s="488"/>
      <c r="BR20" s="604"/>
      <c r="BS20" s="604"/>
      <c r="BT20" s="549"/>
      <c r="BU20" s="674"/>
      <c r="BV20" s="527"/>
      <c r="BW20" s="675"/>
      <c r="BX20" s="488"/>
      <c r="BY20" s="720"/>
      <c r="BZ20" s="720"/>
      <c r="CA20" s="707"/>
      <c r="CB20" s="495"/>
      <c r="CC20" s="723"/>
      <c r="CD20" s="527"/>
      <c r="CE20" s="515"/>
      <c r="CF20" s="514"/>
      <c r="CG20" s="720"/>
      <c r="CH20" s="471"/>
      <c r="CI20" s="525"/>
      <c r="CJ20" s="477"/>
      <c r="CK20" s="530"/>
      <c r="CL20" s="445"/>
      <c r="CM20" s="522"/>
      <c r="CN20" s="797"/>
    </row>
    <row r="21" spans="1:92" ht="15" customHeight="1" x14ac:dyDescent="0.25">
      <c r="A21" s="561"/>
      <c r="B21" s="445"/>
      <c r="C21" s="558"/>
      <c r="D21" s="548" t="s">
        <v>58</v>
      </c>
      <c r="E21" s="516" t="s">
        <v>59</v>
      </c>
      <c r="F21" s="516" t="s">
        <v>453</v>
      </c>
      <c r="G21" s="516" t="s">
        <v>60</v>
      </c>
      <c r="H21" s="454" t="s">
        <v>1002</v>
      </c>
      <c r="I21" s="516" t="s">
        <v>37</v>
      </c>
      <c r="J21" s="559">
        <v>0.1</v>
      </c>
      <c r="K21" s="549" t="s">
        <v>291</v>
      </c>
      <c r="L21" s="549" t="s">
        <v>303</v>
      </c>
      <c r="M21" s="549">
        <v>4103059</v>
      </c>
      <c r="N21" s="549" t="s">
        <v>304</v>
      </c>
      <c r="O21" s="549">
        <v>410305900</v>
      </c>
      <c r="P21" s="549" t="s">
        <v>305</v>
      </c>
      <c r="Q21" s="581">
        <v>0.1</v>
      </c>
      <c r="R21" s="281" t="s">
        <v>41</v>
      </c>
      <c r="S21" s="579"/>
      <c r="T21" s="579"/>
      <c r="U21" s="579"/>
      <c r="V21" s="579"/>
      <c r="W21" s="549" t="s">
        <v>458</v>
      </c>
      <c r="X21" s="583"/>
      <c r="Y21" s="281" t="s">
        <v>41</v>
      </c>
      <c r="Z21" s="283" t="s">
        <v>661</v>
      </c>
      <c r="AA21" s="488">
        <v>1</v>
      </c>
      <c r="AB21" s="575"/>
      <c r="AC21" s="575"/>
      <c r="AD21" s="549" t="s">
        <v>458</v>
      </c>
      <c r="AE21" s="745"/>
      <c r="AF21" s="603"/>
      <c r="AG21" s="615"/>
      <c r="AH21" s="488">
        <v>1</v>
      </c>
      <c r="AI21" s="613"/>
      <c r="AJ21" s="613"/>
      <c r="AK21" s="549" t="s">
        <v>458</v>
      </c>
      <c r="AL21" s="612"/>
      <c r="AM21" s="617"/>
      <c r="AN21" s="508"/>
      <c r="AO21" s="488">
        <v>1</v>
      </c>
      <c r="AP21" s="613"/>
      <c r="AQ21" s="613"/>
      <c r="AR21" s="549" t="s">
        <v>458</v>
      </c>
      <c r="AS21" s="616"/>
      <c r="AT21" s="637"/>
      <c r="AU21" s="639"/>
      <c r="AV21" s="488">
        <v>1</v>
      </c>
      <c r="AW21" s="642"/>
      <c r="AX21" s="642"/>
      <c r="AY21" s="549" t="s">
        <v>458</v>
      </c>
      <c r="AZ21" s="780"/>
      <c r="BA21" s="621">
        <v>200</v>
      </c>
      <c r="BB21" s="622">
        <v>200</v>
      </c>
      <c r="BC21" s="488">
        <v>1</v>
      </c>
      <c r="BD21" s="613">
        <v>30000000</v>
      </c>
      <c r="BE21" s="613">
        <v>15245000</v>
      </c>
      <c r="BF21" s="549" t="s">
        <v>458</v>
      </c>
      <c r="BG21" s="612" t="s">
        <v>939</v>
      </c>
      <c r="BH21" s="603">
        <v>0</v>
      </c>
      <c r="BI21" s="622">
        <v>0</v>
      </c>
      <c r="BJ21" s="663">
        <v>1</v>
      </c>
      <c r="BK21" s="613"/>
      <c r="BL21" s="613"/>
      <c r="BM21" s="622" t="s">
        <v>518</v>
      </c>
      <c r="BN21" s="644" t="s">
        <v>519</v>
      </c>
      <c r="BO21" s="676">
        <v>10</v>
      </c>
      <c r="BP21" s="549">
        <v>55</v>
      </c>
      <c r="BQ21" s="488">
        <v>1</v>
      </c>
      <c r="BR21" s="575" t="s">
        <v>467</v>
      </c>
      <c r="BS21" s="575" t="s">
        <v>598</v>
      </c>
      <c r="BT21" s="549" t="s">
        <v>458</v>
      </c>
      <c r="BU21" s="668" t="s">
        <v>599</v>
      </c>
      <c r="BV21" s="620">
        <v>0.1336</v>
      </c>
      <c r="BW21" s="675">
        <v>0.1336</v>
      </c>
      <c r="BX21" s="488">
        <v>1</v>
      </c>
      <c r="BY21" s="724">
        <f>70000000+45000000+
363237526+363237526+264860887+163000000</f>
        <v>1269335939</v>
      </c>
      <c r="BZ21" s="725">
        <f>34620000+
30000000+
7000000+171202526+264860887+163000000</f>
        <v>670683413</v>
      </c>
      <c r="CA21" s="706">
        <v>1</v>
      </c>
      <c r="CB21" s="494" t="s">
        <v>1002</v>
      </c>
      <c r="CC21" s="704" t="s">
        <v>1081</v>
      </c>
      <c r="CD21" s="507">
        <v>0.03</v>
      </c>
      <c r="CE21" s="515">
        <v>0.1336</v>
      </c>
      <c r="CF21" s="446">
        <v>1</v>
      </c>
      <c r="CG21" s="517">
        <f>121344300+70000000+45000000+5000000+646800+500000+
363237526+363237526+264860887+163000000</f>
        <v>1396827039</v>
      </c>
      <c r="CH21" s="500">
        <f>121344300+34620000+1250000+646800+2500000+
30000000+
7000000+171202526+264860887+163000000</f>
        <v>796424513</v>
      </c>
      <c r="CI21" s="440">
        <v>1</v>
      </c>
      <c r="CJ21" s="454" t="s">
        <v>1002</v>
      </c>
      <c r="CK21" s="518" t="s">
        <v>1107</v>
      </c>
      <c r="CL21" s="481">
        <v>0.1</v>
      </c>
      <c r="CM21" s="521">
        <v>0.1336</v>
      </c>
      <c r="CN21" s="440">
        <v>1</v>
      </c>
    </row>
    <row r="22" spans="1:92" ht="16.5" x14ac:dyDescent="0.25">
      <c r="A22" s="561"/>
      <c r="B22" s="445"/>
      <c r="C22" s="558"/>
      <c r="D22" s="548"/>
      <c r="E22" s="516"/>
      <c r="F22" s="516"/>
      <c r="G22" s="516"/>
      <c r="H22" s="455"/>
      <c r="I22" s="516"/>
      <c r="J22" s="559"/>
      <c r="K22" s="549"/>
      <c r="L22" s="549"/>
      <c r="M22" s="549"/>
      <c r="N22" s="549"/>
      <c r="O22" s="549"/>
      <c r="P22" s="549"/>
      <c r="Q22" s="581"/>
      <c r="R22" s="281" t="s">
        <v>41</v>
      </c>
      <c r="S22" s="579"/>
      <c r="T22" s="579"/>
      <c r="U22" s="579"/>
      <c r="V22" s="579"/>
      <c r="W22" s="549"/>
      <c r="X22" s="282"/>
      <c r="Y22" s="281" t="s">
        <v>41</v>
      </c>
      <c r="Z22" s="283" t="s">
        <v>661</v>
      </c>
      <c r="AA22" s="488"/>
      <c r="AB22" s="575"/>
      <c r="AC22" s="575"/>
      <c r="AD22" s="549"/>
      <c r="AE22" s="285" t="s">
        <v>674</v>
      </c>
      <c r="AF22" s="603"/>
      <c r="AG22" s="615"/>
      <c r="AH22" s="488"/>
      <c r="AI22" s="613"/>
      <c r="AJ22" s="613"/>
      <c r="AK22" s="549"/>
      <c r="AL22" s="612"/>
      <c r="AM22" s="617"/>
      <c r="AN22" s="508"/>
      <c r="AO22" s="488"/>
      <c r="AP22" s="613"/>
      <c r="AQ22" s="613"/>
      <c r="AR22" s="549"/>
      <c r="AS22" s="616"/>
      <c r="AT22" s="638">
        <v>400</v>
      </c>
      <c r="AU22" s="640">
        <v>437</v>
      </c>
      <c r="AV22" s="488"/>
      <c r="AW22" s="643" t="s">
        <v>856</v>
      </c>
      <c r="AX22" s="643" t="s">
        <v>856</v>
      </c>
      <c r="AY22" s="549"/>
      <c r="AZ22" s="779" t="s">
        <v>871</v>
      </c>
      <c r="BA22" s="621"/>
      <c r="BB22" s="622"/>
      <c r="BC22" s="488"/>
      <c r="BD22" s="613"/>
      <c r="BE22" s="613"/>
      <c r="BF22" s="549"/>
      <c r="BG22" s="612"/>
      <c r="BH22" s="621"/>
      <c r="BI22" s="622"/>
      <c r="BJ22" s="663"/>
      <c r="BK22" s="613"/>
      <c r="BL22" s="613"/>
      <c r="BM22" s="622"/>
      <c r="BN22" s="644"/>
      <c r="BO22" s="676"/>
      <c r="BP22" s="549"/>
      <c r="BQ22" s="488"/>
      <c r="BR22" s="575"/>
      <c r="BS22" s="575"/>
      <c r="BT22" s="549"/>
      <c r="BU22" s="668"/>
      <c r="BV22" s="620"/>
      <c r="BW22" s="549"/>
      <c r="BX22" s="488"/>
      <c r="BY22" s="724"/>
      <c r="BZ22" s="725"/>
      <c r="CA22" s="708"/>
      <c r="CB22" s="713"/>
      <c r="CC22" s="726"/>
      <c r="CD22" s="508"/>
      <c r="CE22" s="516"/>
      <c r="CF22" s="446"/>
      <c r="CG22" s="517"/>
      <c r="CH22" s="500"/>
      <c r="CI22" s="441"/>
      <c r="CJ22" s="455"/>
      <c r="CK22" s="519"/>
      <c r="CL22" s="481"/>
      <c r="CM22" s="809"/>
      <c r="CN22" s="441"/>
    </row>
    <row r="23" spans="1:92" ht="51.75" customHeight="1" x14ac:dyDescent="0.25">
      <c r="A23" s="561"/>
      <c r="B23" s="445"/>
      <c r="C23" s="558"/>
      <c r="D23" s="548"/>
      <c r="E23" s="516"/>
      <c r="F23" s="516"/>
      <c r="G23" s="516"/>
      <c r="H23" s="455"/>
      <c r="I23" s="516"/>
      <c r="J23" s="559"/>
      <c r="K23" s="549"/>
      <c r="L23" s="549"/>
      <c r="M23" s="549"/>
      <c r="N23" s="549"/>
      <c r="O23" s="549"/>
      <c r="P23" s="549"/>
      <c r="Q23" s="581"/>
      <c r="R23" s="281" t="s">
        <v>41</v>
      </c>
      <c r="S23" s="579"/>
      <c r="T23" s="579"/>
      <c r="U23" s="579"/>
      <c r="V23" s="579"/>
      <c r="W23" s="549"/>
      <c r="X23" s="282"/>
      <c r="Y23" s="281" t="s">
        <v>41</v>
      </c>
      <c r="Z23" s="283" t="s">
        <v>661</v>
      </c>
      <c r="AA23" s="488"/>
      <c r="AB23" s="575"/>
      <c r="AC23" s="575"/>
      <c r="AD23" s="549"/>
      <c r="AE23" s="285" t="s">
        <v>675</v>
      </c>
      <c r="AF23" s="603"/>
      <c r="AG23" s="615"/>
      <c r="AH23" s="488"/>
      <c r="AI23" s="613"/>
      <c r="AJ23" s="613"/>
      <c r="AK23" s="549"/>
      <c r="AL23" s="612"/>
      <c r="AM23" s="617"/>
      <c r="AN23" s="508"/>
      <c r="AO23" s="488"/>
      <c r="AP23" s="613"/>
      <c r="AQ23" s="613"/>
      <c r="AR23" s="549"/>
      <c r="AS23" s="616"/>
      <c r="AT23" s="638"/>
      <c r="AU23" s="640"/>
      <c r="AV23" s="488"/>
      <c r="AW23" s="643"/>
      <c r="AX23" s="643"/>
      <c r="AY23" s="549"/>
      <c r="AZ23" s="779"/>
      <c r="BA23" s="621"/>
      <c r="BB23" s="622"/>
      <c r="BC23" s="488"/>
      <c r="BD23" s="613"/>
      <c r="BE23" s="613"/>
      <c r="BF23" s="549"/>
      <c r="BG23" s="612"/>
      <c r="BH23" s="621"/>
      <c r="BI23" s="622"/>
      <c r="BJ23" s="663"/>
      <c r="BK23" s="613"/>
      <c r="BL23" s="613"/>
      <c r="BM23" s="622"/>
      <c r="BN23" s="644"/>
      <c r="BO23" s="676"/>
      <c r="BP23" s="549"/>
      <c r="BQ23" s="488"/>
      <c r="BR23" s="575"/>
      <c r="BS23" s="575"/>
      <c r="BT23" s="549"/>
      <c r="BU23" s="668"/>
      <c r="BV23" s="620"/>
      <c r="BW23" s="549"/>
      <c r="BX23" s="488"/>
      <c r="BY23" s="724"/>
      <c r="BZ23" s="725"/>
      <c r="CA23" s="708"/>
      <c r="CB23" s="713"/>
      <c r="CC23" s="726"/>
      <c r="CD23" s="508"/>
      <c r="CE23" s="516"/>
      <c r="CF23" s="446"/>
      <c r="CG23" s="517"/>
      <c r="CH23" s="500"/>
      <c r="CI23" s="441"/>
      <c r="CJ23" s="455"/>
      <c r="CK23" s="519"/>
      <c r="CL23" s="481"/>
      <c r="CM23" s="809"/>
      <c r="CN23" s="441"/>
    </row>
    <row r="24" spans="1:92" ht="121.5" customHeight="1" x14ac:dyDescent="0.25">
      <c r="A24" s="561"/>
      <c r="B24" s="445"/>
      <c r="C24" s="558"/>
      <c r="D24" s="548"/>
      <c r="E24" s="516"/>
      <c r="F24" s="516"/>
      <c r="G24" s="516"/>
      <c r="H24" s="477"/>
      <c r="I24" s="516"/>
      <c r="J24" s="559"/>
      <c r="K24" s="549"/>
      <c r="L24" s="549"/>
      <c r="M24" s="549"/>
      <c r="N24" s="549"/>
      <c r="O24" s="549"/>
      <c r="P24" s="549"/>
      <c r="Q24" s="581"/>
      <c r="R24" s="281" t="s">
        <v>41</v>
      </c>
      <c r="S24" s="579"/>
      <c r="T24" s="579"/>
      <c r="U24" s="579"/>
      <c r="V24" s="579"/>
      <c r="W24" s="549"/>
      <c r="X24" s="282"/>
      <c r="Y24" s="281" t="s">
        <v>41</v>
      </c>
      <c r="Z24" s="283" t="s">
        <v>661</v>
      </c>
      <c r="AA24" s="488"/>
      <c r="AB24" s="575"/>
      <c r="AC24" s="575"/>
      <c r="AD24" s="549"/>
      <c r="AE24" s="285" t="s">
        <v>676</v>
      </c>
      <c r="AF24" s="343">
        <v>0.15</v>
      </c>
      <c r="AG24" s="318">
        <v>0.15</v>
      </c>
      <c r="AH24" s="488"/>
      <c r="AI24" s="294">
        <v>2338933220</v>
      </c>
      <c r="AJ24" s="294">
        <v>2338933220</v>
      </c>
      <c r="AK24" s="549"/>
      <c r="AL24" s="354" t="s">
        <v>739</v>
      </c>
      <c r="AM24" s="309">
        <v>0.23</v>
      </c>
      <c r="AN24" s="310" t="s">
        <v>700</v>
      </c>
      <c r="AO24" s="488"/>
      <c r="AP24" s="182">
        <f>27500000+48300000</f>
        <v>75800000</v>
      </c>
      <c r="AQ24" s="182">
        <v>17340000</v>
      </c>
      <c r="AR24" s="549"/>
      <c r="AS24" s="311" t="s">
        <v>821</v>
      </c>
      <c r="AT24" s="344">
        <v>0.28000000000000003</v>
      </c>
      <c r="AU24" s="292">
        <v>0.25</v>
      </c>
      <c r="AV24" s="488"/>
      <c r="AW24" s="330" t="s">
        <v>856</v>
      </c>
      <c r="AX24" s="330" t="s">
        <v>856</v>
      </c>
      <c r="AY24" s="549"/>
      <c r="AZ24" s="355" t="s">
        <v>872</v>
      </c>
      <c r="BA24" s="621"/>
      <c r="BB24" s="622"/>
      <c r="BC24" s="488"/>
      <c r="BD24" s="613"/>
      <c r="BE24" s="613"/>
      <c r="BF24" s="549"/>
      <c r="BG24" s="612"/>
      <c r="BH24" s="621"/>
      <c r="BI24" s="622"/>
      <c r="BJ24" s="663"/>
      <c r="BK24" s="613"/>
      <c r="BL24" s="613"/>
      <c r="BM24" s="622"/>
      <c r="BN24" s="644"/>
      <c r="BO24" s="676"/>
      <c r="BP24" s="549"/>
      <c r="BQ24" s="488"/>
      <c r="BR24" s="575"/>
      <c r="BS24" s="575"/>
      <c r="BT24" s="549"/>
      <c r="BU24" s="668"/>
      <c r="BV24" s="620"/>
      <c r="BW24" s="549"/>
      <c r="BX24" s="488"/>
      <c r="BY24" s="724"/>
      <c r="BZ24" s="725"/>
      <c r="CA24" s="707"/>
      <c r="CB24" s="495"/>
      <c r="CC24" s="705"/>
      <c r="CD24" s="508"/>
      <c r="CE24" s="516"/>
      <c r="CF24" s="446"/>
      <c r="CG24" s="517"/>
      <c r="CH24" s="500"/>
      <c r="CI24" s="453"/>
      <c r="CJ24" s="477"/>
      <c r="CK24" s="520"/>
      <c r="CL24" s="481"/>
      <c r="CM24" s="811"/>
      <c r="CN24" s="453"/>
    </row>
    <row r="25" spans="1:92" ht="179.45" customHeight="1" x14ac:dyDescent="0.25">
      <c r="A25" s="561"/>
      <c r="B25" s="445"/>
      <c r="C25" s="558"/>
      <c r="D25" s="111" t="s">
        <v>61</v>
      </c>
      <c r="E25" s="57" t="s">
        <v>62</v>
      </c>
      <c r="F25" s="57" t="s">
        <v>63</v>
      </c>
      <c r="G25" s="57" t="s">
        <v>438</v>
      </c>
      <c r="H25" s="85" t="s">
        <v>1003</v>
      </c>
      <c r="I25" s="57" t="s">
        <v>37</v>
      </c>
      <c r="J25" s="305">
        <v>0.6</v>
      </c>
      <c r="K25" s="279" t="s">
        <v>295</v>
      </c>
      <c r="L25" s="279" t="s">
        <v>383</v>
      </c>
      <c r="M25" s="279" t="s">
        <v>373</v>
      </c>
      <c r="N25" s="279" t="s">
        <v>387</v>
      </c>
      <c r="O25" s="279" t="s">
        <v>374</v>
      </c>
      <c r="P25" s="279" t="s">
        <v>389</v>
      </c>
      <c r="Q25" s="306">
        <v>0.6</v>
      </c>
      <c r="R25" s="281" t="s">
        <v>41</v>
      </c>
      <c r="S25" s="579"/>
      <c r="T25" s="579"/>
      <c r="U25" s="579"/>
      <c r="V25" s="579"/>
      <c r="W25" s="279" t="s">
        <v>256</v>
      </c>
      <c r="X25" s="282"/>
      <c r="Y25" s="281" t="s">
        <v>41</v>
      </c>
      <c r="Z25" s="283" t="s">
        <v>661</v>
      </c>
      <c r="AA25" s="256">
        <v>0.5</v>
      </c>
      <c r="AB25" s="272"/>
      <c r="AC25" s="272"/>
      <c r="AD25" s="279" t="s">
        <v>256</v>
      </c>
      <c r="AE25" s="285" t="s">
        <v>677</v>
      </c>
      <c r="AF25" s="286">
        <v>1</v>
      </c>
      <c r="AG25" s="278">
        <v>1</v>
      </c>
      <c r="AH25" s="256">
        <v>0.5</v>
      </c>
      <c r="AI25" s="294">
        <v>54450000</v>
      </c>
      <c r="AJ25" s="294">
        <v>54450000</v>
      </c>
      <c r="AK25" s="279" t="s">
        <v>256</v>
      </c>
      <c r="AL25" s="287" t="s">
        <v>740</v>
      </c>
      <c r="AM25" s="288">
        <v>4</v>
      </c>
      <c r="AN25" s="289">
        <v>4</v>
      </c>
      <c r="AO25" s="256">
        <v>0.5</v>
      </c>
      <c r="AP25" s="182">
        <f>33000000+20140000</f>
        <v>53140000</v>
      </c>
      <c r="AQ25" s="182">
        <v>31540000</v>
      </c>
      <c r="AR25" s="279" t="s">
        <v>256</v>
      </c>
      <c r="AS25" s="290" t="s">
        <v>822</v>
      </c>
      <c r="AT25" s="291">
        <v>5</v>
      </c>
      <c r="AU25" s="292">
        <v>4.05</v>
      </c>
      <c r="AV25" s="256">
        <v>0.5</v>
      </c>
      <c r="AW25" s="330" t="s">
        <v>856</v>
      </c>
      <c r="AX25" s="330" t="s">
        <v>856</v>
      </c>
      <c r="AY25" s="279" t="s">
        <v>256</v>
      </c>
      <c r="AZ25" s="355" t="s">
        <v>873</v>
      </c>
      <c r="BA25" s="286">
        <v>3</v>
      </c>
      <c r="BB25" s="278" t="s">
        <v>164</v>
      </c>
      <c r="BC25" s="256">
        <v>0.5</v>
      </c>
      <c r="BD25" s="294">
        <v>28800000</v>
      </c>
      <c r="BE25" s="294">
        <v>25081000</v>
      </c>
      <c r="BF25" s="279" t="s">
        <v>256</v>
      </c>
      <c r="BG25" s="354" t="s">
        <v>940</v>
      </c>
      <c r="BH25" s="343">
        <v>0.1</v>
      </c>
      <c r="BI25" s="318">
        <v>0.05</v>
      </c>
      <c r="BJ25" s="14">
        <v>0.5</v>
      </c>
      <c r="BK25" s="294"/>
      <c r="BL25" s="294"/>
      <c r="BM25" s="278" t="s">
        <v>256</v>
      </c>
      <c r="BN25" s="313" t="s">
        <v>520</v>
      </c>
      <c r="BO25" s="356">
        <v>0.1</v>
      </c>
      <c r="BP25" s="305">
        <v>0.05</v>
      </c>
      <c r="BQ25" s="256">
        <v>0.5</v>
      </c>
      <c r="BR25" s="272" t="s">
        <v>600</v>
      </c>
      <c r="BS25" s="272" t="s">
        <v>601</v>
      </c>
      <c r="BT25" s="279" t="s">
        <v>256</v>
      </c>
      <c r="BU25" s="316" t="s">
        <v>602</v>
      </c>
      <c r="BV25" s="310">
        <v>0.5</v>
      </c>
      <c r="BW25" s="305">
        <v>0.58099999999999996</v>
      </c>
      <c r="BX25" s="256">
        <v>1</v>
      </c>
      <c r="BY25" s="274">
        <f>918000000+79914452</f>
        <v>997914452</v>
      </c>
      <c r="BZ25" s="274">
        <v>79914452</v>
      </c>
      <c r="CA25" s="256">
        <f>BZ25/BY25</f>
        <v>8.0081465740712607E-2</v>
      </c>
      <c r="CB25" s="278" t="s">
        <v>1003</v>
      </c>
      <c r="CC25" s="317" t="s">
        <v>1082</v>
      </c>
      <c r="CD25" s="310">
        <v>0.1</v>
      </c>
      <c r="CE25" s="59">
        <v>0.58099999999999996</v>
      </c>
      <c r="CF25" s="60">
        <v>1</v>
      </c>
      <c r="CG25" s="241">
        <f>918000000+79914452</f>
        <v>997914452</v>
      </c>
      <c r="CH25" s="426">
        <v>79914452</v>
      </c>
      <c r="CI25" s="60">
        <f>CH25/CG25</f>
        <v>8.0081465740712607E-2</v>
      </c>
      <c r="CJ25" s="85" t="s">
        <v>1003</v>
      </c>
      <c r="CK25" s="437" t="s">
        <v>1108</v>
      </c>
      <c r="CL25" s="59">
        <v>0.6</v>
      </c>
      <c r="CM25" s="59">
        <v>0.58099999999999996</v>
      </c>
      <c r="CN25" s="60">
        <f>CM25/CL25</f>
        <v>0.96833333333333327</v>
      </c>
    </row>
    <row r="26" spans="1:92" ht="173.45" customHeight="1" x14ac:dyDescent="0.25">
      <c r="A26" s="561"/>
      <c r="B26" s="445"/>
      <c r="C26" s="558"/>
      <c r="D26" s="111" t="s">
        <v>64</v>
      </c>
      <c r="E26" s="47" t="s">
        <v>456</v>
      </c>
      <c r="F26" s="47" t="s">
        <v>65</v>
      </c>
      <c r="G26" s="47" t="s">
        <v>66</v>
      </c>
      <c r="H26" s="85" t="s">
        <v>1004</v>
      </c>
      <c r="I26" s="47">
        <v>1</v>
      </c>
      <c r="J26" s="279">
        <v>5</v>
      </c>
      <c r="K26" s="279" t="s">
        <v>295</v>
      </c>
      <c r="L26" s="279" t="s">
        <v>306</v>
      </c>
      <c r="M26" s="279">
        <v>3502017</v>
      </c>
      <c r="N26" s="279" t="s">
        <v>307</v>
      </c>
      <c r="O26" s="279">
        <v>350201701</v>
      </c>
      <c r="P26" s="279" t="s">
        <v>308</v>
      </c>
      <c r="Q26" s="280">
        <v>5</v>
      </c>
      <c r="R26" s="281" t="s">
        <v>41</v>
      </c>
      <c r="S26" s="579"/>
      <c r="T26" s="579"/>
      <c r="U26" s="579"/>
      <c r="V26" s="579"/>
      <c r="W26" s="279" t="s">
        <v>281</v>
      </c>
      <c r="X26" s="323"/>
      <c r="Y26" s="281" t="s">
        <v>41</v>
      </c>
      <c r="Z26" s="283" t="s">
        <v>661</v>
      </c>
      <c r="AA26" s="256" t="e">
        <f>(Z26/Y26)*1</f>
        <v>#VALUE!</v>
      </c>
      <c r="AB26" s="272"/>
      <c r="AC26" s="272"/>
      <c r="AD26" s="279" t="s">
        <v>281</v>
      </c>
      <c r="AE26" s="324" t="s">
        <v>670</v>
      </c>
      <c r="AF26" s="343">
        <v>0.85</v>
      </c>
      <c r="AG26" s="318">
        <v>0.63</v>
      </c>
      <c r="AH26" s="256">
        <f>(AG26/AF26)*1</f>
        <v>0.74117647058823533</v>
      </c>
      <c r="AI26" s="613">
        <v>7595374483</v>
      </c>
      <c r="AJ26" s="613">
        <v>4950478143</v>
      </c>
      <c r="AK26" s="279" t="s">
        <v>281</v>
      </c>
      <c r="AL26" s="287" t="s">
        <v>741</v>
      </c>
      <c r="AM26" s="286" t="s">
        <v>777</v>
      </c>
      <c r="AN26" s="318">
        <v>0.63</v>
      </c>
      <c r="AO26" s="256" t="e">
        <f>(AN26/AM26)*1</f>
        <v>#VALUE!</v>
      </c>
      <c r="AP26" s="613">
        <v>16187350279</v>
      </c>
      <c r="AQ26" s="613">
        <v>13135040761</v>
      </c>
      <c r="AR26" s="279" t="s">
        <v>281</v>
      </c>
      <c r="AS26" s="616" t="s">
        <v>823</v>
      </c>
      <c r="AT26" s="637">
        <v>0.85</v>
      </c>
      <c r="AU26" s="760">
        <v>0.69599999999999995</v>
      </c>
      <c r="AV26" s="256">
        <f>(AU26/AT26)*1</f>
        <v>0.81882352941176462</v>
      </c>
      <c r="AW26" s="643" t="s">
        <v>856</v>
      </c>
      <c r="AX26" s="643" t="s">
        <v>856</v>
      </c>
      <c r="AY26" s="279" t="s">
        <v>281</v>
      </c>
      <c r="AZ26" s="779" t="s">
        <v>874</v>
      </c>
      <c r="BA26" s="286">
        <v>1</v>
      </c>
      <c r="BB26" s="278" t="s">
        <v>918</v>
      </c>
      <c r="BC26" s="256" t="e">
        <f>(BB26/BA26)*1</f>
        <v>#VALUE!</v>
      </c>
      <c r="BD26" s="294">
        <v>70900000</v>
      </c>
      <c r="BE26" s="294">
        <v>27980000</v>
      </c>
      <c r="BF26" s="279" t="s">
        <v>281</v>
      </c>
      <c r="BG26" s="301" t="s">
        <v>941</v>
      </c>
      <c r="BH26" s="286">
        <v>1</v>
      </c>
      <c r="BI26" s="278">
        <v>0</v>
      </c>
      <c r="BJ26" s="14">
        <f>(BI26/BH26)*1</f>
        <v>0</v>
      </c>
      <c r="BK26" s="294"/>
      <c r="BL26" s="294"/>
      <c r="BM26" s="278" t="s">
        <v>281</v>
      </c>
      <c r="BN26" s="357" t="s">
        <v>521</v>
      </c>
      <c r="BO26" s="342">
        <v>1</v>
      </c>
      <c r="BP26" s="279">
        <v>0</v>
      </c>
      <c r="BQ26" s="256">
        <f>(BP26/BO26)*1</f>
        <v>0</v>
      </c>
      <c r="BR26" s="272">
        <v>0</v>
      </c>
      <c r="BS26" s="272">
        <v>0</v>
      </c>
      <c r="BT26" s="279" t="s">
        <v>281</v>
      </c>
      <c r="BU26" s="302" t="s">
        <v>603</v>
      </c>
      <c r="BV26" s="289">
        <v>1</v>
      </c>
      <c r="BW26" s="279">
        <v>1</v>
      </c>
      <c r="BX26" s="256">
        <f>(BW26/BV26)*1</f>
        <v>1</v>
      </c>
      <c r="BY26" s="274">
        <v>0</v>
      </c>
      <c r="BZ26" s="274">
        <v>0</v>
      </c>
      <c r="CA26" s="268">
        <v>0</v>
      </c>
      <c r="CB26" s="278" t="s">
        <v>1004</v>
      </c>
      <c r="CC26" s="358" t="s">
        <v>1091</v>
      </c>
      <c r="CD26" s="289">
        <v>1</v>
      </c>
      <c r="CE26" s="57">
        <v>1</v>
      </c>
      <c r="CF26" s="54">
        <f>(CE26/CD26)*1</f>
        <v>1</v>
      </c>
      <c r="CG26" s="241">
        <v>0</v>
      </c>
      <c r="CH26" s="426">
        <v>0</v>
      </c>
      <c r="CI26" s="209">
        <v>0</v>
      </c>
      <c r="CJ26" s="85" t="s">
        <v>1004</v>
      </c>
      <c r="CK26" s="435" t="s">
        <v>1109</v>
      </c>
      <c r="CL26" s="47">
        <v>5</v>
      </c>
      <c r="CM26" s="211">
        <v>1</v>
      </c>
      <c r="CN26" s="258">
        <f>CM26/CL26</f>
        <v>0.2</v>
      </c>
    </row>
    <row r="27" spans="1:92" ht="68.25" customHeight="1" x14ac:dyDescent="0.25">
      <c r="A27" s="561"/>
      <c r="B27" s="445" t="s">
        <v>67</v>
      </c>
      <c r="C27" s="558" t="s">
        <v>68</v>
      </c>
      <c r="D27" s="548" t="s">
        <v>69</v>
      </c>
      <c r="E27" s="445" t="s">
        <v>70</v>
      </c>
      <c r="F27" s="47" t="s">
        <v>71</v>
      </c>
      <c r="G27" s="47" t="s">
        <v>72</v>
      </c>
      <c r="H27" s="222" t="s">
        <v>1005</v>
      </c>
      <c r="I27" s="183" t="s">
        <v>73</v>
      </c>
      <c r="J27" s="279" t="s">
        <v>74</v>
      </c>
      <c r="K27" s="549" t="s">
        <v>291</v>
      </c>
      <c r="L27" s="549" t="s">
        <v>309</v>
      </c>
      <c r="M27" s="549" t="s">
        <v>376</v>
      </c>
      <c r="N27" s="549" t="s">
        <v>375</v>
      </c>
      <c r="O27" s="549" t="s">
        <v>377</v>
      </c>
      <c r="P27" s="549" t="s">
        <v>378</v>
      </c>
      <c r="Q27" s="280" t="s">
        <v>74</v>
      </c>
      <c r="R27" s="281" t="s">
        <v>41</v>
      </c>
      <c r="S27" s="584"/>
      <c r="T27" s="584"/>
      <c r="U27" s="584"/>
      <c r="V27" s="584"/>
      <c r="W27" s="549" t="s">
        <v>257</v>
      </c>
      <c r="X27" s="583"/>
      <c r="Y27" s="281" t="s">
        <v>41</v>
      </c>
      <c r="Z27" s="283" t="s">
        <v>661</v>
      </c>
      <c r="AA27" s="256" t="e">
        <f>Z27/Y27</f>
        <v>#VALUE!</v>
      </c>
      <c r="AB27" s="575"/>
      <c r="AC27" s="575"/>
      <c r="AD27" s="549" t="s">
        <v>257</v>
      </c>
      <c r="AE27" s="745" t="s">
        <v>678</v>
      </c>
      <c r="AF27" s="603">
        <v>0.5</v>
      </c>
      <c r="AG27" s="615">
        <v>0.41</v>
      </c>
      <c r="AH27" s="256">
        <f>AG27/AF27</f>
        <v>0.82</v>
      </c>
      <c r="AI27" s="613"/>
      <c r="AJ27" s="613"/>
      <c r="AK27" s="549" t="s">
        <v>257</v>
      </c>
      <c r="AL27" s="616" t="s">
        <v>742</v>
      </c>
      <c r="AM27" s="621" t="s">
        <v>83</v>
      </c>
      <c r="AN27" s="615">
        <v>0.41</v>
      </c>
      <c r="AO27" s="256" t="e">
        <f>AN27/AM27</f>
        <v>#VALUE!</v>
      </c>
      <c r="AP27" s="613"/>
      <c r="AQ27" s="613"/>
      <c r="AR27" s="549" t="s">
        <v>257</v>
      </c>
      <c r="AS27" s="616"/>
      <c r="AT27" s="637"/>
      <c r="AU27" s="760"/>
      <c r="AV27" s="256" t="e">
        <f>AU27/AT27</f>
        <v>#DIV/0!</v>
      </c>
      <c r="AW27" s="643"/>
      <c r="AX27" s="643"/>
      <c r="AY27" s="549" t="s">
        <v>257</v>
      </c>
      <c r="AZ27" s="779"/>
      <c r="BA27" s="343">
        <v>0.85</v>
      </c>
      <c r="BB27" s="318">
        <v>0.66</v>
      </c>
      <c r="BC27" s="256">
        <f>BB27/BA27</f>
        <v>0.77647058823529413</v>
      </c>
      <c r="BD27" s="613" t="s">
        <v>923</v>
      </c>
      <c r="BE27" s="613" t="s">
        <v>924</v>
      </c>
      <c r="BF27" s="549" t="s">
        <v>257</v>
      </c>
      <c r="BG27" s="616" t="s">
        <v>942</v>
      </c>
      <c r="BH27" s="325">
        <v>0.86699999999999999</v>
      </c>
      <c r="BI27" s="359">
        <v>0.85680000000000001</v>
      </c>
      <c r="BJ27" s="14">
        <f>BI27/BH27</f>
        <v>0.9882352941176471</v>
      </c>
      <c r="BK27" s="613"/>
      <c r="BL27" s="294"/>
      <c r="BM27" s="622" t="s">
        <v>257</v>
      </c>
      <c r="BN27" s="293" t="s">
        <v>522</v>
      </c>
      <c r="BO27" s="334">
        <v>0.878</v>
      </c>
      <c r="BP27" s="352">
        <v>0.76090000000000002</v>
      </c>
      <c r="BQ27" s="256">
        <f>BP27/BO27</f>
        <v>0.86662870159453309</v>
      </c>
      <c r="BR27" s="575">
        <v>0</v>
      </c>
      <c r="BS27" s="575">
        <v>0</v>
      </c>
      <c r="BT27" s="549" t="s">
        <v>257</v>
      </c>
      <c r="BU27" s="298" t="s">
        <v>604</v>
      </c>
      <c r="BV27" s="554">
        <v>0.89900000000000002</v>
      </c>
      <c r="BW27" s="556">
        <v>0.63339999999999996</v>
      </c>
      <c r="BX27" s="256">
        <v>0</v>
      </c>
      <c r="BY27" s="575">
        <f>918000000+359582746+698802400+12000000</f>
        <v>1988385146</v>
      </c>
      <c r="BZ27" s="464">
        <f>107874824+209640720+12000000</f>
        <v>329515544</v>
      </c>
      <c r="CA27" s="706">
        <f>BZ27/BY27</f>
        <v>0.16572017984688767</v>
      </c>
      <c r="CB27" s="360" t="s">
        <v>1005</v>
      </c>
      <c r="CC27" s="300" t="s">
        <v>1049</v>
      </c>
      <c r="CD27" s="486">
        <v>0.9</v>
      </c>
      <c r="CE27" s="521">
        <v>0.63339999999999996</v>
      </c>
      <c r="CF27" s="440">
        <v>0</v>
      </c>
      <c r="CG27" s="476">
        <f>918000000+359582746+698802400+12000000+714286</f>
        <v>1989099432</v>
      </c>
      <c r="CH27" s="470">
        <f>107874824+209640720+12000000+714286</f>
        <v>330229830</v>
      </c>
      <c r="CI27" s="523">
        <f>CH27/CG27</f>
        <v>0.16601976989554537</v>
      </c>
      <c r="CJ27" s="222" t="s">
        <v>1005</v>
      </c>
      <c r="CK27" s="419" t="s">
        <v>1110</v>
      </c>
      <c r="CL27" s="790">
        <v>0.9</v>
      </c>
      <c r="CM27" s="521">
        <v>0.63339999999999996</v>
      </c>
      <c r="CN27" s="440">
        <v>0</v>
      </c>
    </row>
    <row r="28" spans="1:92" ht="15" customHeight="1" x14ac:dyDescent="0.25">
      <c r="A28" s="561"/>
      <c r="B28" s="445"/>
      <c r="C28" s="558"/>
      <c r="D28" s="548"/>
      <c r="E28" s="445"/>
      <c r="F28" s="445" t="s">
        <v>75</v>
      </c>
      <c r="G28" s="445" t="s">
        <v>72</v>
      </c>
      <c r="H28" s="454" t="s">
        <v>1005</v>
      </c>
      <c r="I28" s="511" t="s">
        <v>76</v>
      </c>
      <c r="J28" s="549" t="s">
        <v>77</v>
      </c>
      <c r="K28" s="549"/>
      <c r="L28" s="549"/>
      <c r="M28" s="549"/>
      <c r="N28" s="549"/>
      <c r="O28" s="549"/>
      <c r="P28" s="549"/>
      <c r="Q28" s="582" t="s">
        <v>77</v>
      </c>
      <c r="R28" s="281" t="s">
        <v>41</v>
      </c>
      <c r="S28" s="579"/>
      <c r="T28" s="579"/>
      <c r="U28" s="579"/>
      <c r="V28" s="579"/>
      <c r="W28" s="549"/>
      <c r="X28" s="583"/>
      <c r="Y28" s="281" t="s">
        <v>41</v>
      </c>
      <c r="Z28" s="283" t="s">
        <v>661</v>
      </c>
      <c r="AA28" s="488" t="e">
        <f>Z28/Y28</f>
        <v>#VALUE!</v>
      </c>
      <c r="AB28" s="575"/>
      <c r="AC28" s="575"/>
      <c r="AD28" s="549"/>
      <c r="AE28" s="745"/>
      <c r="AF28" s="603"/>
      <c r="AG28" s="615"/>
      <c r="AH28" s="488" t="e">
        <f>AG28/AF28</f>
        <v>#DIV/0!</v>
      </c>
      <c r="AI28" s="613"/>
      <c r="AJ28" s="613"/>
      <c r="AK28" s="549"/>
      <c r="AL28" s="616"/>
      <c r="AM28" s="621"/>
      <c r="AN28" s="622"/>
      <c r="AO28" s="488" t="e">
        <f>AN28/AM28</f>
        <v>#DIV/0!</v>
      </c>
      <c r="AP28" s="613"/>
      <c r="AQ28" s="613"/>
      <c r="AR28" s="549"/>
      <c r="AS28" s="616"/>
      <c r="AT28" s="173">
        <v>0.5</v>
      </c>
      <c r="AU28" s="361">
        <v>0.61519999999999997</v>
      </c>
      <c r="AV28" s="488">
        <f>AU28/AT28</f>
        <v>1.2303999999999999</v>
      </c>
      <c r="AW28" s="330" t="s">
        <v>856</v>
      </c>
      <c r="AX28" s="330" t="s">
        <v>856</v>
      </c>
      <c r="AY28" s="549"/>
      <c r="AZ28" s="362" t="s">
        <v>875</v>
      </c>
      <c r="BA28" s="603">
        <v>0.55000000000000004</v>
      </c>
      <c r="BB28" s="615">
        <v>0.42</v>
      </c>
      <c r="BC28" s="488">
        <f>BB28/BA28</f>
        <v>0.76363636363636356</v>
      </c>
      <c r="BD28" s="613"/>
      <c r="BE28" s="613"/>
      <c r="BF28" s="549"/>
      <c r="BG28" s="616"/>
      <c r="BH28" s="603">
        <v>0.52</v>
      </c>
      <c r="BI28" s="615">
        <v>0.5091</v>
      </c>
      <c r="BJ28" s="663">
        <f>BI28/BH28*1</f>
        <v>0.97903846153846152</v>
      </c>
      <c r="BK28" s="613"/>
      <c r="BL28" s="294"/>
      <c r="BM28" s="622"/>
      <c r="BN28" s="648" t="s">
        <v>523</v>
      </c>
      <c r="BO28" s="664">
        <v>0.52</v>
      </c>
      <c r="BP28" s="675">
        <v>0.41539999999999999</v>
      </c>
      <c r="BQ28" s="488">
        <f>BP28/BO28</f>
        <v>0.79884615384615376</v>
      </c>
      <c r="BR28" s="575"/>
      <c r="BS28" s="575"/>
      <c r="BT28" s="549"/>
      <c r="BU28" s="662" t="s">
        <v>605</v>
      </c>
      <c r="BV28" s="555"/>
      <c r="BW28" s="557"/>
      <c r="BX28" s="488">
        <v>0</v>
      </c>
      <c r="BY28" s="575"/>
      <c r="BZ28" s="709"/>
      <c r="CA28" s="708"/>
      <c r="CB28" s="494" t="s">
        <v>1005</v>
      </c>
      <c r="CC28" s="702" t="s">
        <v>1050</v>
      </c>
      <c r="CD28" s="487"/>
      <c r="CE28" s="522"/>
      <c r="CF28" s="453"/>
      <c r="CG28" s="476"/>
      <c r="CH28" s="492"/>
      <c r="CI28" s="524"/>
      <c r="CJ28" s="454" t="s">
        <v>1005</v>
      </c>
      <c r="CK28" s="457" t="s">
        <v>1111</v>
      </c>
      <c r="CL28" s="791"/>
      <c r="CM28" s="522"/>
      <c r="CN28" s="441"/>
    </row>
    <row r="29" spans="1:92" ht="95.25" customHeight="1" x14ac:dyDescent="0.25">
      <c r="A29" s="561"/>
      <c r="B29" s="445"/>
      <c r="C29" s="558"/>
      <c r="D29" s="548"/>
      <c r="E29" s="445"/>
      <c r="F29" s="445"/>
      <c r="G29" s="445"/>
      <c r="H29" s="477"/>
      <c r="I29" s="511"/>
      <c r="J29" s="549"/>
      <c r="K29" s="549"/>
      <c r="L29" s="549"/>
      <c r="M29" s="549"/>
      <c r="N29" s="549"/>
      <c r="O29" s="549"/>
      <c r="P29" s="549"/>
      <c r="Q29" s="582"/>
      <c r="R29" s="281" t="s">
        <v>41</v>
      </c>
      <c r="S29" s="579"/>
      <c r="T29" s="579"/>
      <c r="U29" s="579"/>
      <c r="V29" s="579"/>
      <c r="W29" s="549"/>
      <c r="X29" s="583"/>
      <c r="Y29" s="281" t="s">
        <v>41</v>
      </c>
      <c r="Z29" s="283" t="s">
        <v>661</v>
      </c>
      <c r="AA29" s="488"/>
      <c r="AB29" s="575"/>
      <c r="AC29" s="575"/>
      <c r="AD29" s="549"/>
      <c r="AE29" s="745" t="s">
        <v>679</v>
      </c>
      <c r="AF29" s="286">
        <v>5</v>
      </c>
      <c r="AG29" s="278">
        <v>5</v>
      </c>
      <c r="AH29" s="488"/>
      <c r="AI29" s="294" t="s">
        <v>701</v>
      </c>
      <c r="AJ29" s="294" t="s">
        <v>702</v>
      </c>
      <c r="AK29" s="549"/>
      <c r="AL29" s="287" t="s">
        <v>743</v>
      </c>
      <c r="AM29" s="288">
        <v>6</v>
      </c>
      <c r="AN29" s="289">
        <v>3</v>
      </c>
      <c r="AO29" s="488"/>
      <c r="AP29" s="119">
        <v>1186000000</v>
      </c>
      <c r="AQ29" s="363">
        <v>976986480</v>
      </c>
      <c r="AR29" s="549"/>
      <c r="AS29" s="290" t="s">
        <v>824</v>
      </c>
      <c r="AT29" s="638">
        <v>7</v>
      </c>
      <c r="AU29" s="640">
        <v>9</v>
      </c>
      <c r="AV29" s="488"/>
      <c r="AW29" s="642" t="s">
        <v>856</v>
      </c>
      <c r="AX29" s="579" t="s">
        <v>856</v>
      </c>
      <c r="AY29" s="549"/>
      <c r="AZ29" s="781" t="s">
        <v>876</v>
      </c>
      <c r="BA29" s="621"/>
      <c r="BB29" s="622"/>
      <c r="BC29" s="488"/>
      <c r="BD29" s="613"/>
      <c r="BE29" s="613"/>
      <c r="BF29" s="549"/>
      <c r="BG29" s="616"/>
      <c r="BH29" s="603"/>
      <c r="BI29" s="615"/>
      <c r="BJ29" s="663"/>
      <c r="BK29" s="613"/>
      <c r="BL29" s="294"/>
      <c r="BM29" s="622"/>
      <c r="BN29" s="648"/>
      <c r="BO29" s="664"/>
      <c r="BP29" s="675"/>
      <c r="BQ29" s="488"/>
      <c r="BR29" s="575"/>
      <c r="BS29" s="575"/>
      <c r="BT29" s="549"/>
      <c r="BU29" s="662"/>
      <c r="BV29" s="71">
        <v>0.53400000000000003</v>
      </c>
      <c r="BW29" s="256">
        <v>0.36549999999999999</v>
      </c>
      <c r="BX29" s="488"/>
      <c r="BY29" s="575"/>
      <c r="BZ29" s="465"/>
      <c r="CA29" s="707"/>
      <c r="CB29" s="495"/>
      <c r="CC29" s="703"/>
      <c r="CD29" s="289" t="s">
        <v>1103</v>
      </c>
      <c r="CE29" s="56">
        <v>0.36549999999999999</v>
      </c>
      <c r="CF29" s="221">
        <v>0</v>
      </c>
      <c r="CG29" s="476"/>
      <c r="CH29" s="471"/>
      <c r="CI29" s="525"/>
      <c r="CJ29" s="477"/>
      <c r="CK29" s="493"/>
      <c r="CL29" s="245">
        <v>0.55000000000000004</v>
      </c>
      <c r="CM29" s="56">
        <v>0.36549999999999999</v>
      </c>
      <c r="CN29" s="227">
        <v>0</v>
      </c>
    </row>
    <row r="30" spans="1:92" ht="89.25" customHeight="1" x14ac:dyDescent="0.25">
      <c r="A30" s="561"/>
      <c r="B30" s="445"/>
      <c r="C30" s="558"/>
      <c r="D30" s="548" t="s">
        <v>78</v>
      </c>
      <c r="E30" s="47" t="s">
        <v>79</v>
      </c>
      <c r="F30" s="47" t="s">
        <v>439</v>
      </c>
      <c r="G30" s="47" t="s">
        <v>72</v>
      </c>
      <c r="H30" s="85" t="s">
        <v>1005</v>
      </c>
      <c r="I30" s="47">
        <v>4</v>
      </c>
      <c r="J30" s="279">
        <v>8</v>
      </c>
      <c r="K30" s="279" t="s">
        <v>291</v>
      </c>
      <c r="L30" s="279" t="s">
        <v>309</v>
      </c>
      <c r="M30" s="279">
        <v>2201030</v>
      </c>
      <c r="N30" s="279" t="s">
        <v>310</v>
      </c>
      <c r="O30" s="279">
        <v>220103000</v>
      </c>
      <c r="P30" s="279" t="s">
        <v>311</v>
      </c>
      <c r="Q30" s="280">
        <v>8</v>
      </c>
      <c r="R30" s="281" t="s">
        <v>41</v>
      </c>
      <c r="S30" s="579"/>
      <c r="T30" s="579"/>
      <c r="U30" s="579"/>
      <c r="V30" s="579"/>
      <c r="W30" s="279" t="s">
        <v>258</v>
      </c>
      <c r="X30" s="583"/>
      <c r="Y30" s="281" t="s">
        <v>41</v>
      </c>
      <c r="Z30" s="283" t="s">
        <v>661</v>
      </c>
      <c r="AA30" s="256" t="e">
        <f>(Z30/Y30)*1</f>
        <v>#VALUE!</v>
      </c>
      <c r="AB30" s="272"/>
      <c r="AC30" s="272"/>
      <c r="AD30" s="279" t="s">
        <v>258</v>
      </c>
      <c r="AE30" s="745"/>
      <c r="AF30" s="343">
        <v>0.4</v>
      </c>
      <c r="AG30" s="318">
        <v>0.19</v>
      </c>
      <c r="AH30" s="256">
        <f>(AG30/AF30)*1</f>
        <v>0.47499999999999998</v>
      </c>
      <c r="AI30" s="613">
        <v>130000000</v>
      </c>
      <c r="AJ30" s="613">
        <v>988000</v>
      </c>
      <c r="AK30" s="279" t="s">
        <v>258</v>
      </c>
      <c r="AL30" s="287" t="s">
        <v>744</v>
      </c>
      <c r="AM30" s="286" t="s">
        <v>778</v>
      </c>
      <c r="AN30" s="278" t="s">
        <v>41</v>
      </c>
      <c r="AO30" s="256" t="e">
        <f>(AN30/AM30)*1</f>
        <v>#VALUE!</v>
      </c>
      <c r="AP30" s="613" t="s">
        <v>793</v>
      </c>
      <c r="AQ30" s="613">
        <v>67600000</v>
      </c>
      <c r="AR30" s="279" t="s">
        <v>258</v>
      </c>
      <c r="AS30" s="616" t="s">
        <v>825</v>
      </c>
      <c r="AT30" s="638"/>
      <c r="AU30" s="640"/>
      <c r="AV30" s="256" t="e">
        <f>(AU30/AT30)*1</f>
        <v>#DIV/0!</v>
      </c>
      <c r="AW30" s="642"/>
      <c r="AX30" s="579"/>
      <c r="AY30" s="279" t="s">
        <v>258</v>
      </c>
      <c r="AZ30" s="780"/>
      <c r="BA30" s="286">
        <v>8</v>
      </c>
      <c r="BB30" s="278">
        <v>8</v>
      </c>
      <c r="BC30" s="256">
        <f>(BB30/BA30)*1</f>
        <v>1</v>
      </c>
      <c r="BD30" s="294" t="s">
        <v>925</v>
      </c>
      <c r="BE30" s="294" t="s">
        <v>926</v>
      </c>
      <c r="BF30" s="279" t="s">
        <v>258</v>
      </c>
      <c r="BG30" s="287" t="s">
        <v>943</v>
      </c>
      <c r="BH30" s="364">
        <v>8</v>
      </c>
      <c r="BI30" s="278">
        <v>8</v>
      </c>
      <c r="BJ30" s="14">
        <f>(BI30/BH30)*1</f>
        <v>1</v>
      </c>
      <c r="BK30" s="294"/>
      <c r="BL30" s="294"/>
      <c r="BM30" s="278" t="s">
        <v>258</v>
      </c>
      <c r="BN30" s="365" t="s">
        <v>524</v>
      </c>
      <c r="BO30" s="366">
        <v>8</v>
      </c>
      <c r="BP30" s="279">
        <v>8</v>
      </c>
      <c r="BQ30" s="256">
        <f>(BP30/BO30)*1</f>
        <v>1</v>
      </c>
      <c r="BR30" s="272"/>
      <c r="BS30" s="272"/>
      <c r="BT30" s="279" t="s">
        <v>258</v>
      </c>
      <c r="BU30" s="367" t="s">
        <v>606</v>
      </c>
      <c r="BV30" s="368">
        <v>8</v>
      </c>
      <c r="BW30" s="188">
        <v>4</v>
      </c>
      <c r="BX30" s="256">
        <f>(BW30/BV30)*1</f>
        <v>0.5</v>
      </c>
      <c r="BY30" s="272">
        <v>0</v>
      </c>
      <c r="BZ30" s="272">
        <v>0</v>
      </c>
      <c r="CA30" s="256">
        <v>0</v>
      </c>
      <c r="CB30" s="278" t="s">
        <v>1005</v>
      </c>
      <c r="CC30" s="369" t="s">
        <v>1092</v>
      </c>
      <c r="CD30" s="368">
        <v>8</v>
      </c>
      <c r="CE30" s="262">
        <v>4</v>
      </c>
      <c r="CF30" s="54">
        <f>(CE30/CD30)*1</f>
        <v>0.5</v>
      </c>
      <c r="CG30" s="55">
        <v>0</v>
      </c>
      <c r="CH30" s="429">
        <v>0</v>
      </c>
      <c r="CI30" s="54">
        <v>0</v>
      </c>
      <c r="CJ30" s="85" t="s">
        <v>1005</v>
      </c>
      <c r="CK30" s="270" t="s">
        <v>1112</v>
      </c>
      <c r="CL30" s="47">
        <v>8</v>
      </c>
      <c r="CM30" s="57">
        <v>4</v>
      </c>
      <c r="CN30" s="60">
        <f>CM30/CL30</f>
        <v>0.5</v>
      </c>
    </row>
    <row r="31" spans="1:92" ht="195.75" customHeight="1" x14ac:dyDescent="0.25">
      <c r="A31" s="561"/>
      <c r="B31" s="445"/>
      <c r="C31" s="558"/>
      <c r="D31" s="548"/>
      <c r="E31" s="47" t="s">
        <v>454</v>
      </c>
      <c r="F31" s="47" t="s">
        <v>80</v>
      </c>
      <c r="G31" s="47" t="s">
        <v>81</v>
      </c>
      <c r="H31" s="85" t="s">
        <v>1006</v>
      </c>
      <c r="I31" s="36" t="s">
        <v>82</v>
      </c>
      <c r="J31" s="279" t="s">
        <v>83</v>
      </c>
      <c r="K31" s="279" t="s">
        <v>291</v>
      </c>
      <c r="L31" s="279" t="s">
        <v>312</v>
      </c>
      <c r="M31" s="279" t="s">
        <v>293</v>
      </c>
      <c r="N31" s="279" t="s">
        <v>313</v>
      </c>
      <c r="O31" s="279" t="s">
        <v>293</v>
      </c>
      <c r="P31" s="279" t="s">
        <v>314</v>
      </c>
      <c r="Q31" s="280" t="s">
        <v>83</v>
      </c>
      <c r="R31" s="281" t="s">
        <v>41</v>
      </c>
      <c r="S31" s="579"/>
      <c r="T31" s="579"/>
      <c r="U31" s="579"/>
      <c r="V31" s="579"/>
      <c r="W31" s="549" t="s">
        <v>259</v>
      </c>
      <c r="X31" s="323"/>
      <c r="Y31" s="281" t="s">
        <v>41</v>
      </c>
      <c r="Z31" s="283" t="s">
        <v>661</v>
      </c>
      <c r="AA31" s="256">
        <v>1</v>
      </c>
      <c r="AB31" s="272"/>
      <c r="AC31" s="272"/>
      <c r="AD31" s="549" t="s">
        <v>259</v>
      </c>
      <c r="AE31" s="324" t="s">
        <v>680</v>
      </c>
      <c r="AF31" s="343">
        <v>0.5</v>
      </c>
      <c r="AG31" s="278" t="s">
        <v>41</v>
      </c>
      <c r="AH31" s="256">
        <v>1</v>
      </c>
      <c r="AI31" s="613"/>
      <c r="AJ31" s="613"/>
      <c r="AK31" s="549" t="s">
        <v>259</v>
      </c>
      <c r="AL31" s="616" t="s">
        <v>745</v>
      </c>
      <c r="AM31" s="343">
        <v>0.5</v>
      </c>
      <c r="AN31" s="318" t="s">
        <v>41</v>
      </c>
      <c r="AO31" s="256">
        <v>1</v>
      </c>
      <c r="AP31" s="613"/>
      <c r="AQ31" s="613"/>
      <c r="AR31" s="549" t="s">
        <v>259</v>
      </c>
      <c r="AS31" s="616"/>
      <c r="AT31" s="344">
        <v>0.24</v>
      </c>
      <c r="AU31" s="312">
        <v>0.44</v>
      </c>
      <c r="AV31" s="256">
        <v>1</v>
      </c>
      <c r="AW31" s="330" t="s">
        <v>856</v>
      </c>
      <c r="AX31" s="330" t="s">
        <v>856</v>
      </c>
      <c r="AY31" s="549" t="s">
        <v>259</v>
      </c>
      <c r="AZ31" s="370" t="s">
        <v>877</v>
      </c>
      <c r="BA31" s="286"/>
      <c r="BB31" s="278"/>
      <c r="BC31" s="256">
        <v>1</v>
      </c>
      <c r="BD31" s="613" t="s">
        <v>927</v>
      </c>
      <c r="BE31" s="613" t="s">
        <v>927</v>
      </c>
      <c r="BF31" s="549" t="s">
        <v>259</v>
      </c>
      <c r="BG31" s="287" t="s">
        <v>944</v>
      </c>
      <c r="BH31" s="371">
        <v>0.4415</v>
      </c>
      <c r="BI31" s="372">
        <v>0.47299999999999998</v>
      </c>
      <c r="BJ31" s="14">
        <v>1</v>
      </c>
      <c r="BK31" s="294" t="s">
        <v>525</v>
      </c>
      <c r="BL31" s="294" t="s">
        <v>526</v>
      </c>
      <c r="BM31" s="622" t="s">
        <v>259</v>
      </c>
      <c r="BN31" s="365" t="s">
        <v>527</v>
      </c>
      <c r="BO31" s="373">
        <v>0.46100000000000002</v>
      </c>
      <c r="BP31" s="266">
        <v>0.47299999999999998</v>
      </c>
      <c r="BQ31" s="256">
        <v>1</v>
      </c>
      <c r="BR31" s="272" t="s">
        <v>468</v>
      </c>
      <c r="BS31" s="272" t="s">
        <v>469</v>
      </c>
      <c r="BT31" s="549" t="s">
        <v>259</v>
      </c>
      <c r="BU31" s="367" t="s">
        <v>607</v>
      </c>
      <c r="BV31" s="310" t="s">
        <v>980</v>
      </c>
      <c r="BW31" s="266">
        <v>0.47299999999999998</v>
      </c>
      <c r="BX31" s="256">
        <v>0.93</v>
      </c>
      <c r="BY31" s="272">
        <f>918000000+
3690000</f>
        <v>921690000</v>
      </c>
      <c r="BZ31" s="273">
        <v>3960000</v>
      </c>
      <c r="CA31" s="256">
        <f>BZ31/BY31</f>
        <v>4.296455424274973E-3</v>
      </c>
      <c r="CB31" s="278" t="s">
        <v>1006</v>
      </c>
      <c r="CC31" s="702" t="s">
        <v>1095</v>
      </c>
      <c r="CD31" s="310">
        <v>0.5</v>
      </c>
      <c r="CE31" s="266">
        <v>0.47299999999999998</v>
      </c>
      <c r="CF31" s="259">
        <v>0.86</v>
      </c>
      <c r="CG31" s="55">
        <f>918000000+
3690000+1700000</f>
        <v>923390000</v>
      </c>
      <c r="CH31" s="425">
        <f>3960000+1700000</f>
        <v>5660000</v>
      </c>
      <c r="CI31" s="54">
        <f>CH31/CG31</f>
        <v>6.1295877148333858E-3</v>
      </c>
      <c r="CJ31" s="85" t="s">
        <v>1006</v>
      </c>
      <c r="CK31" s="506" t="s">
        <v>1113</v>
      </c>
      <c r="CL31" s="47" t="s">
        <v>83</v>
      </c>
      <c r="CM31" s="266">
        <v>0.47299999999999998</v>
      </c>
      <c r="CN31" s="259">
        <v>0.86</v>
      </c>
    </row>
    <row r="32" spans="1:92" ht="108" customHeight="1" x14ac:dyDescent="0.25">
      <c r="A32" s="561"/>
      <c r="B32" s="445"/>
      <c r="C32" s="558"/>
      <c r="D32" s="548" t="s">
        <v>84</v>
      </c>
      <c r="E32" s="47" t="s">
        <v>85</v>
      </c>
      <c r="F32" s="47" t="s">
        <v>86</v>
      </c>
      <c r="G32" s="47" t="s">
        <v>81</v>
      </c>
      <c r="H32" s="85" t="s">
        <v>1006</v>
      </c>
      <c r="I32" s="36" t="s">
        <v>87</v>
      </c>
      <c r="J32" s="279" t="s">
        <v>88</v>
      </c>
      <c r="K32" s="549" t="s">
        <v>291</v>
      </c>
      <c r="L32" s="549" t="s">
        <v>309</v>
      </c>
      <c r="M32" s="549">
        <v>2201033</v>
      </c>
      <c r="N32" s="549" t="s">
        <v>315</v>
      </c>
      <c r="O32" s="549">
        <v>220103300</v>
      </c>
      <c r="P32" s="549" t="s">
        <v>316</v>
      </c>
      <c r="Q32" s="280" t="s">
        <v>88</v>
      </c>
      <c r="R32" s="281" t="s">
        <v>41</v>
      </c>
      <c r="S32" s="579"/>
      <c r="T32" s="579"/>
      <c r="U32" s="579"/>
      <c r="V32" s="579"/>
      <c r="W32" s="549"/>
      <c r="X32" s="583"/>
      <c r="Y32" s="281" t="s">
        <v>41</v>
      </c>
      <c r="Z32" s="283" t="s">
        <v>661</v>
      </c>
      <c r="AA32" s="256">
        <v>0.86550000000000005</v>
      </c>
      <c r="AB32" s="272"/>
      <c r="AC32" s="272"/>
      <c r="AD32" s="549"/>
      <c r="AE32" s="745" t="s">
        <v>681</v>
      </c>
      <c r="AF32" s="343">
        <v>0.1</v>
      </c>
      <c r="AG32" s="351">
        <v>8.7999999999999995E-2</v>
      </c>
      <c r="AH32" s="256">
        <v>0.86550000000000005</v>
      </c>
      <c r="AI32" s="613"/>
      <c r="AJ32" s="613"/>
      <c r="AK32" s="549"/>
      <c r="AL32" s="616"/>
      <c r="AM32" s="309">
        <v>0.09</v>
      </c>
      <c r="AN32" s="310" t="s">
        <v>41</v>
      </c>
      <c r="AO32" s="256">
        <v>0.86550000000000005</v>
      </c>
      <c r="AP32" s="613"/>
      <c r="AQ32" s="613"/>
      <c r="AR32" s="549"/>
      <c r="AS32" s="616"/>
      <c r="AT32" s="344">
        <v>0.48</v>
      </c>
      <c r="AU32" s="312">
        <v>0.42</v>
      </c>
      <c r="AV32" s="256">
        <v>0.86550000000000005</v>
      </c>
      <c r="AW32" s="330" t="s">
        <v>856</v>
      </c>
      <c r="AX32" s="330" t="s">
        <v>856</v>
      </c>
      <c r="AY32" s="549"/>
      <c r="AZ32" s="374" t="s">
        <v>878</v>
      </c>
      <c r="BA32" s="343"/>
      <c r="BB32" s="278"/>
      <c r="BC32" s="256">
        <v>0.86550000000000005</v>
      </c>
      <c r="BD32" s="613"/>
      <c r="BE32" s="613"/>
      <c r="BF32" s="549"/>
      <c r="BG32" s="293" t="s">
        <v>945</v>
      </c>
      <c r="BH32" s="375">
        <v>0.47</v>
      </c>
      <c r="BI32" s="376">
        <v>0.54300000000000004</v>
      </c>
      <c r="BJ32" s="14">
        <v>0</v>
      </c>
      <c r="BK32" s="294">
        <v>71030094</v>
      </c>
      <c r="BL32" s="294">
        <v>56824075</v>
      </c>
      <c r="BM32" s="622"/>
      <c r="BN32" s="293" t="s">
        <v>528</v>
      </c>
      <c r="BO32" s="377">
        <v>0.46800000000000003</v>
      </c>
      <c r="BP32" s="183">
        <v>0.54300000000000004</v>
      </c>
      <c r="BQ32" s="256">
        <v>0.86550000000000005</v>
      </c>
      <c r="BR32" s="272">
        <v>0</v>
      </c>
      <c r="BS32" s="272">
        <v>0</v>
      </c>
      <c r="BT32" s="549"/>
      <c r="BU32" s="298" t="s">
        <v>608</v>
      </c>
      <c r="BV32" s="348" t="s">
        <v>981</v>
      </c>
      <c r="BW32" s="183">
        <v>0.54300000000000004</v>
      </c>
      <c r="BX32" s="256">
        <v>0</v>
      </c>
      <c r="BY32" s="272">
        <v>0</v>
      </c>
      <c r="BZ32" s="272">
        <v>0</v>
      </c>
      <c r="CA32" s="256">
        <v>0</v>
      </c>
      <c r="CB32" s="278" t="s">
        <v>1006</v>
      </c>
      <c r="CC32" s="703"/>
      <c r="CD32" s="318">
        <v>0.45</v>
      </c>
      <c r="CE32" s="58">
        <v>0.54300000000000004</v>
      </c>
      <c r="CF32" s="54">
        <v>0</v>
      </c>
      <c r="CG32" s="55">
        <v>0</v>
      </c>
      <c r="CH32" s="429">
        <v>0</v>
      </c>
      <c r="CI32" s="54">
        <v>0</v>
      </c>
      <c r="CJ32" s="85" t="s">
        <v>1006</v>
      </c>
      <c r="CK32" s="485"/>
      <c r="CL32" s="47" t="s">
        <v>88</v>
      </c>
      <c r="CM32" s="58">
        <v>0.54300000000000004</v>
      </c>
      <c r="CN32" s="60">
        <v>0</v>
      </c>
    </row>
    <row r="33" spans="1:92" ht="183" customHeight="1" x14ac:dyDescent="0.25">
      <c r="A33" s="561"/>
      <c r="B33" s="445"/>
      <c r="C33" s="558"/>
      <c r="D33" s="548"/>
      <c r="E33" s="47" t="s">
        <v>89</v>
      </c>
      <c r="F33" s="47" t="s">
        <v>90</v>
      </c>
      <c r="G33" s="47" t="s">
        <v>81</v>
      </c>
      <c r="H33" s="85" t="s">
        <v>1006</v>
      </c>
      <c r="I33" s="36" t="s">
        <v>91</v>
      </c>
      <c r="J33" s="279" t="s">
        <v>92</v>
      </c>
      <c r="K33" s="549"/>
      <c r="L33" s="549"/>
      <c r="M33" s="549"/>
      <c r="N33" s="549"/>
      <c r="O33" s="549"/>
      <c r="P33" s="549"/>
      <c r="Q33" s="280" t="s">
        <v>92</v>
      </c>
      <c r="R33" s="281" t="s">
        <v>41</v>
      </c>
      <c r="S33" s="579"/>
      <c r="T33" s="579"/>
      <c r="U33" s="579"/>
      <c r="V33" s="579"/>
      <c r="W33" s="549"/>
      <c r="X33" s="583"/>
      <c r="Y33" s="281" t="s">
        <v>41</v>
      </c>
      <c r="Z33" s="283" t="s">
        <v>661</v>
      </c>
      <c r="AA33" s="256">
        <v>1</v>
      </c>
      <c r="AB33" s="272"/>
      <c r="AC33" s="272"/>
      <c r="AD33" s="549"/>
      <c r="AE33" s="745"/>
      <c r="AF33" s="343">
        <v>0.55000000000000004</v>
      </c>
      <c r="AG33" s="318">
        <v>0.51</v>
      </c>
      <c r="AH33" s="256">
        <v>1</v>
      </c>
      <c r="AI33" s="613"/>
      <c r="AJ33" s="613"/>
      <c r="AK33" s="549"/>
      <c r="AL33" s="290" t="s">
        <v>746</v>
      </c>
      <c r="AM33" s="343">
        <v>0.57999999999999996</v>
      </c>
      <c r="AN33" s="318" t="s">
        <v>41</v>
      </c>
      <c r="AO33" s="256">
        <v>1</v>
      </c>
      <c r="AP33" s="613"/>
      <c r="AQ33" s="613"/>
      <c r="AR33" s="549"/>
      <c r="AS33" s="616"/>
      <c r="AT33" s="344">
        <v>0.08</v>
      </c>
      <c r="AU33" s="350">
        <v>8.5000000000000006E-2</v>
      </c>
      <c r="AV33" s="256">
        <v>1</v>
      </c>
      <c r="AW33" s="330" t="s">
        <v>856</v>
      </c>
      <c r="AX33" s="330" t="s">
        <v>856</v>
      </c>
      <c r="AY33" s="549"/>
      <c r="AZ33" s="370" t="s">
        <v>879</v>
      </c>
      <c r="BA33" s="343">
        <v>7.0000000000000007E-2</v>
      </c>
      <c r="BB33" s="351" t="s">
        <v>919</v>
      </c>
      <c r="BC33" s="256">
        <v>1</v>
      </c>
      <c r="BD33" s="613"/>
      <c r="BE33" s="613"/>
      <c r="BF33" s="549"/>
      <c r="BG33" s="293" t="s">
        <v>946</v>
      </c>
      <c r="BH33" s="375">
        <v>8.6800000000000002E-2</v>
      </c>
      <c r="BI33" s="376">
        <v>8.7900000000000006E-2</v>
      </c>
      <c r="BJ33" s="14">
        <v>1</v>
      </c>
      <c r="BK33" s="294" t="s">
        <v>529</v>
      </c>
      <c r="BL33" s="294" t="s">
        <v>529</v>
      </c>
      <c r="BM33" s="622"/>
      <c r="BN33" s="293" t="s">
        <v>530</v>
      </c>
      <c r="BO33" s="377">
        <v>8.1199999999999994E-2</v>
      </c>
      <c r="BP33" s="183">
        <v>8.7900000000000006E-2</v>
      </c>
      <c r="BQ33" s="256">
        <v>1</v>
      </c>
      <c r="BR33" s="272">
        <v>0</v>
      </c>
      <c r="BS33" s="272">
        <v>0</v>
      </c>
      <c r="BT33" s="549"/>
      <c r="BU33" s="298" t="s">
        <v>609</v>
      </c>
      <c r="BV33" s="348" t="s">
        <v>982</v>
      </c>
      <c r="BW33" s="183">
        <v>8.7900000000000006E-2</v>
      </c>
      <c r="BX33" s="256">
        <v>0.75</v>
      </c>
      <c r="BY33" s="272">
        <f>359582000+90000000</f>
        <v>449582000</v>
      </c>
      <c r="BZ33" s="272">
        <f>107874824+90000000</f>
        <v>197874824</v>
      </c>
      <c r="CA33" s="256">
        <f>BZ33/BY33</f>
        <v>0.44013066359418301</v>
      </c>
      <c r="CB33" s="278" t="s">
        <v>1006</v>
      </c>
      <c r="CC33" s="300" t="s">
        <v>1051</v>
      </c>
      <c r="CD33" s="310">
        <v>7.0000000000000007E-2</v>
      </c>
      <c r="CE33" s="183">
        <v>8.7900000000000006E-2</v>
      </c>
      <c r="CF33" s="54">
        <v>0.68</v>
      </c>
      <c r="CG33" s="55">
        <f>359582000+90000000+1700000</f>
        <v>451282000</v>
      </c>
      <c r="CH33" s="429">
        <f>107874824+90000000+1700000</f>
        <v>199574824</v>
      </c>
      <c r="CI33" s="54">
        <f>CH33/CG33</f>
        <v>0.4422397170726951</v>
      </c>
      <c r="CJ33" s="85" t="s">
        <v>1006</v>
      </c>
      <c r="CK33" s="419" t="s">
        <v>1114</v>
      </c>
      <c r="CL33" s="47" t="s">
        <v>92</v>
      </c>
      <c r="CM33" s="183">
        <v>8.7900000000000006E-2</v>
      </c>
      <c r="CN33" s="60">
        <v>0.68</v>
      </c>
    </row>
    <row r="34" spans="1:92" ht="116.25" customHeight="1" x14ac:dyDescent="0.25">
      <c r="A34" s="561"/>
      <c r="B34" s="445"/>
      <c r="C34" s="558"/>
      <c r="D34" s="111" t="s">
        <v>93</v>
      </c>
      <c r="E34" s="47" t="s">
        <v>94</v>
      </c>
      <c r="F34" s="47" t="s">
        <v>95</v>
      </c>
      <c r="G34" s="47" t="s">
        <v>81</v>
      </c>
      <c r="H34" s="85" t="s">
        <v>1006</v>
      </c>
      <c r="I34" s="36" t="s">
        <v>96</v>
      </c>
      <c r="J34" s="279" t="s">
        <v>97</v>
      </c>
      <c r="K34" s="279" t="s">
        <v>291</v>
      </c>
      <c r="L34" s="279" t="s">
        <v>312</v>
      </c>
      <c r="M34" s="279" t="s">
        <v>293</v>
      </c>
      <c r="N34" s="279" t="s">
        <v>313</v>
      </c>
      <c r="O34" s="279" t="s">
        <v>293</v>
      </c>
      <c r="P34" s="279" t="s">
        <v>314</v>
      </c>
      <c r="Q34" s="280" t="s">
        <v>97</v>
      </c>
      <c r="R34" s="281" t="s">
        <v>41</v>
      </c>
      <c r="S34" s="579"/>
      <c r="T34" s="579"/>
      <c r="U34" s="579"/>
      <c r="V34" s="579"/>
      <c r="W34" s="549"/>
      <c r="X34" s="583"/>
      <c r="Y34" s="281" t="s">
        <v>41</v>
      </c>
      <c r="Z34" s="283" t="s">
        <v>661</v>
      </c>
      <c r="AA34" s="256" t="e">
        <f>Z34/Y34</f>
        <v>#VALUE!</v>
      </c>
      <c r="AB34" s="272"/>
      <c r="AC34" s="272"/>
      <c r="AD34" s="549"/>
      <c r="AE34" s="745"/>
      <c r="AF34" s="343">
        <v>0.7</v>
      </c>
      <c r="AG34" s="318">
        <v>0.5</v>
      </c>
      <c r="AH34" s="256">
        <f>AG34/AF34</f>
        <v>0.7142857142857143</v>
      </c>
      <c r="AI34" s="294" t="s">
        <v>703</v>
      </c>
      <c r="AJ34" s="294" t="s">
        <v>704</v>
      </c>
      <c r="AK34" s="549"/>
      <c r="AL34" s="287" t="s">
        <v>747</v>
      </c>
      <c r="AM34" s="309">
        <v>0.7</v>
      </c>
      <c r="AN34" s="310">
        <v>0.5</v>
      </c>
      <c r="AO34" s="256">
        <f>AN34/AM34</f>
        <v>0.7142857142857143</v>
      </c>
      <c r="AP34" s="184">
        <v>25750000</v>
      </c>
      <c r="AQ34" s="378">
        <v>22400000</v>
      </c>
      <c r="AR34" s="549"/>
      <c r="AS34" s="311" t="s">
        <v>826</v>
      </c>
      <c r="AT34" s="344">
        <v>0.6</v>
      </c>
      <c r="AU34" s="312">
        <v>0.56899999999999995</v>
      </c>
      <c r="AV34" s="256">
        <f>AU34/AT34</f>
        <v>0.94833333333333325</v>
      </c>
      <c r="AW34" s="330" t="s">
        <v>856</v>
      </c>
      <c r="AX34" s="330" t="s">
        <v>856</v>
      </c>
      <c r="AY34" s="549"/>
      <c r="AZ34" s="370" t="s">
        <v>880</v>
      </c>
      <c r="BA34" s="343">
        <v>0.71</v>
      </c>
      <c r="BB34" s="318">
        <v>0.63</v>
      </c>
      <c r="BC34" s="256">
        <f>BB34/BA34</f>
        <v>0.88732394366197187</v>
      </c>
      <c r="BD34" s="613"/>
      <c r="BE34" s="613"/>
      <c r="BF34" s="549"/>
      <c r="BG34" s="290" t="s">
        <v>947</v>
      </c>
      <c r="BH34" s="379">
        <v>0.68600000000000005</v>
      </c>
      <c r="BI34" s="380">
        <v>0.623</v>
      </c>
      <c r="BJ34" s="14">
        <f>BI34/BH34</f>
        <v>0.90816326530612235</v>
      </c>
      <c r="BK34" s="294"/>
      <c r="BL34" s="294"/>
      <c r="BM34" s="622"/>
      <c r="BN34" s="301" t="s">
        <v>531</v>
      </c>
      <c r="BO34" s="381">
        <v>0.69020000000000004</v>
      </c>
      <c r="BP34" s="382">
        <v>0.623</v>
      </c>
      <c r="BQ34" s="256">
        <f>BP34/BO34</f>
        <v>0.9026369168356998</v>
      </c>
      <c r="BR34" s="272">
        <v>0</v>
      </c>
      <c r="BS34" s="272">
        <v>0</v>
      </c>
      <c r="BT34" s="549"/>
      <c r="BU34" s="336" t="s">
        <v>610</v>
      </c>
      <c r="BV34" s="310">
        <v>0.70199999999999996</v>
      </c>
      <c r="BW34" s="382">
        <v>0.623</v>
      </c>
      <c r="BX34" s="256">
        <v>0.122</v>
      </c>
      <c r="BY34" s="272">
        <v>0</v>
      </c>
      <c r="BZ34" s="274">
        <v>0</v>
      </c>
      <c r="CA34" s="256">
        <f>BY34/BX34</f>
        <v>0</v>
      </c>
      <c r="CB34" s="278" t="s">
        <v>1006</v>
      </c>
      <c r="CC34" s="383" t="s">
        <v>1052</v>
      </c>
      <c r="CD34" s="310">
        <v>0.71</v>
      </c>
      <c r="CE34" s="39">
        <v>0.623</v>
      </c>
      <c r="CF34" s="54">
        <v>0.122</v>
      </c>
      <c r="CG34" s="55">
        <v>0</v>
      </c>
      <c r="CH34" s="426">
        <v>0</v>
      </c>
      <c r="CI34" s="54">
        <f>CG34/CF34</f>
        <v>0</v>
      </c>
      <c r="CJ34" s="85" t="s">
        <v>1006</v>
      </c>
      <c r="CK34" s="270" t="s">
        <v>1115</v>
      </c>
      <c r="CL34" s="47" t="s">
        <v>97</v>
      </c>
      <c r="CM34" s="39">
        <v>0.623</v>
      </c>
      <c r="CN34" s="60">
        <v>0.122</v>
      </c>
    </row>
    <row r="35" spans="1:92" ht="165.75" customHeight="1" x14ac:dyDescent="0.25">
      <c r="A35" s="561"/>
      <c r="B35" s="445" t="s">
        <v>98</v>
      </c>
      <c r="C35" s="558" t="s">
        <v>99</v>
      </c>
      <c r="D35" s="111" t="s">
        <v>100</v>
      </c>
      <c r="E35" s="47" t="s">
        <v>101</v>
      </c>
      <c r="F35" s="47" t="s">
        <v>102</v>
      </c>
      <c r="G35" s="47" t="s">
        <v>103</v>
      </c>
      <c r="H35" s="1" t="s">
        <v>1007</v>
      </c>
      <c r="I35" s="36" t="s">
        <v>104</v>
      </c>
      <c r="J35" s="305">
        <v>0.8</v>
      </c>
      <c r="K35" s="279" t="s">
        <v>291</v>
      </c>
      <c r="L35" s="279" t="s">
        <v>317</v>
      </c>
      <c r="M35" s="279" t="s">
        <v>293</v>
      </c>
      <c r="N35" s="279" t="s">
        <v>318</v>
      </c>
      <c r="O35" s="279" t="s">
        <v>293</v>
      </c>
      <c r="P35" s="279" t="s">
        <v>319</v>
      </c>
      <c r="Q35" s="306">
        <v>0.8</v>
      </c>
      <c r="R35" s="281" t="s">
        <v>41</v>
      </c>
      <c r="S35" s="579"/>
      <c r="T35" s="579"/>
      <c r="U35" s="579"/>
      <c r="V35" s="579"/>
      <c r="W35" s="279" t="s">
        <v>260</v>
      </c>
      <c r="X35" s="282"/>
      <c r="Y35" s="281" t="s">
        <v>41</v>
      </c>
      <c r="Z35" s="283" t="s">
        <v>661</v>
      </c>
      <c r="AA35" s="256" t="e">
        <f>Z35/Y35</f>
        <v>#VALUE!</v>
      </c>
      <c r="AB35" s="272"/>
      <c r="AC35" s="384"/>
      <c r="AD35" s="279" t="s">
        <v>260</v>
      </c>
      <c r="AE35" s="285" t="s">
        <v>670</v>
      </c>
      <c r="AF35" s="343">
        <v>0.6</v>
      </c>
      <c r="AG35" s="318">
        <v>0.86</v>
      </c>
      <c r="AH35" s="256">
        <f>AG35/AF35</f>
        <v>1.4333333333333333</v>
      </c>
      <c r="AI35" s="294">
        <v>28200000</v>
      </c>
      <c r="AJ35" s="294">
        <v>8167000</v>
      </c>
      <c r="AK35" s="279" t="s">
        <v>260</v>
      </c>
      <c r="AL35" s="287" t="s">
        <v>748</v>
      </c>
      <c r="AM35" s="309">
        <v>0.65</v>
      </c>
      <c r="AN35" s="310">
        <v>0.86</v>
      </c>
      <c r="AO35" s="256">
        <f>AN35/AM35</f>
        <v>1.323076923076923</v>
      </c>
      <c r="AP35" s="185">
        <v>29046000</v>
      </c>
      <c r="AQ35" s="385" t="s">
        <v>700</v>
      </c>
      <c r="AR35" s="279" t="s">
        <v>260</v>
      </c>
      <c r="AS35" s="311" t="s">
        <v>827</v>
      </c>
      <c r="AT35" s="344">
        <v>0.72</v>
      </c>
      <c r="AU35" s="312">
        <v>0.5</v>
      </c>
      <c r="AV35" s="256">
        <f>AU35/AT35</f>
        <v>0.69444444444444442</v>
      </c>
      <c r="AW35" s="330" t="s">
        <v>856</v>
      </c>
      <c r="AX35" s="330" t="s">
        <v>856</v>
      </c>
      <c r="AY35" s="279" t="s">
        <v>260</v>
      </c>
      <c r="AZ35" s="355" t="s">
        <v>881</v>
      </c>
      <c r="BA35" s="286">
        <v>12</v>
      </c>
      <c r="BB35" s="278">
        <v>12</v>
      </c>
      <c r="BC35" s="256">
        <f>BB35/BA35</f>
        <v>1</v>
      </c>
      <c r="BD35" s="294"/>
      <c r="BE35" s="294"/>
      <c r="BF35" s="279" t="s">
        <v>260</v>
      </c>
      <c r="BG35" s="287" t="s">
        <v>948</v>
      </c>
      <c r="BH35" s="343">
        <v>0.56000000000000005</v>
      </c>
      <c r="BI35" s="14">
        <f>5/12</f>
        <v>0.41666666666666669</v>
      </c>
      <c r="BJ35" s="14">
        <f>BI35/BH35</f>
        <v>0.74404761904761896</v>
      </c>
      <c r="BK35" s="294" t="s">
        <v>532</v>
      </c>
      <c r="BL35" s="386">
        <v>900</v>
      </c>
      <c r="BM35" s="278" t="s">
        <v>260</v>
      </c>
      <c r="BN35" s="287" t="s">
        <v>533</v>
      </c>
      <c r="BO35" s="356">
        <v>0.74</v>
      </c>
      <c r="BP35" s="256">
        <f>5/12</f>
        <v>0.41666666666666669</v>
      </c>
      <c r="BQ35" s="256">
        <f>BP35/BO35</f>
        <v>0.56306306306306309</v>
      </c>
      <c r="BR35" s="272" t="s">
        <v>461</v>
      </c>
      <c r="BS35" s="384" t="s">
        <v>460</v>
      </c>
      <c r="BT35" s="279" t="s">
        <v>260</v>
      </c>
      <c r="BU35" s="367" t="s">
        <v>611</v>
      </c>
      <c r="BV35" s="310">
        <v>0.72</v>
      </c>
      <c r="BW35" s="256">
        <f>11/12</f>
        <v>0.91666666666666663</v>
      </c>
      <c r="BX35" s="256">
        <v>1</v>
      </c>
      <c r="BY35" s="387">
        <v>90000000</v>
      </c>
      <c r="BZ35" s="388">
        <v>28753833</v>
      </c>
      <c r="CA35" s="256">
        <f>BZ35/BY35</f>
        <v>0.31948703333333334</v>
      </c>
      <c r="CB35" s="351" t="s">
        <v>1007</v>
      </c>
      <c r="CC35" s="389" t="s">
        <v>1053</v>
      </c>
      <c r="CD35" s="310">
        <v>0.8</v>
      </c>
      <c r="CE35" s="56">
        <f>11/12</f>
        <v>0.91666666666666663</v>
      </c>
      <c r="CF35" s="54">
        <v>1</v>
      </c>
      <c r="CG35" s="246">
        <v>90000000</v>
      </c>
      <c r="CH35" s="426">
        <v>28753833</v>
      </c>
      <c r="CI35" s="54">
        <f>CH35/CG35</f>
        <v>0.31948703333333334</v>
      </c>
      <c r="CJ35" s="1" t="s">
        <v>1007</v>
      </c>
      <c r="CK35" s="277" t="s">
        <v>1116</v>
      </c>
      <c r="CL35" s="61">
        <v>0.8</v>
      </c>
      <c r="CM35" s="56">
        <f>11/12</f>
        <v>0.91666666666666663</v>
      </c>
      <c r="CN35" s="60">
        <v>1</v>
      </c>
    </row>
    <row r="36" spans="1:92" ht="123.75" customHeight="1" x14ac:dyDescent="0.25">
      <c r="A36" s="561"/>
      <c r="B36" s="445"/>
      <c r="C36" s="558"/>
      <c r="D36" s="111" t="s">
        <v>105</v>
      </c>
      <c r="E36" s="47" t="s">
        <v>106</v>
      </c>
      <c r="F36" s="47" t="s">
        <v>107</v>
      </c>
      <c r="G36" s="47" t="s">
        <v>108</v>
      </c>
      <c r="H36" s="85" t="s">
        <v>1008</v>
      </c>
      <c r="I36" s="47" t="s">
        <v>109</v>
      </c>
      <c r="J36" s="305">
        <v>1</v>
      </c>
      <c r="K36" s="279" t="s">
        <v>291</v>
      </c>
      <c r="L36" s="279" t="s">
        <v>320</v>
      </c>
      <c r="M36" s="279">
        <v>1903011</v>
      </c>
      <c r="N36" s="279" t="s">
        <v>321</v>
      </c>
      <c r="O36" s="279">
        <v>190301100</v>
      </c>
      <c r="P36" s="279" t="s">
        <v>322</v>
      </c>
      <c r="Q36" s="306">
        <v>1</v>
      </c>
      <c r="R36" s="281" t="s">
        <v>41</v>
      </c>
      <c r="S36" s="579"/>
      <c r="T36" s="579"/>
      <c r="U36" s="579"/>
      <c r="V36" s="579"/>
      <c r="W36" s="279" t="s">
        <v>261</v>
      </c>
      <c r="X36" s="282"/>
      <c r="Y36" s="281" t="s">
        <v>41</v>
      </c>
      <c r="Z36" s="283" t="s">
        <v>661</v>
      </c>
      <c r="AA36" s="256" t="e">
        <f>Z36/Y36</f>
        <v>#VALUE!</v>
      </c>
      <c r="AB36" s="272"/>
      <c r="AC36" s="272"/>
      <c r="AD36" s="279" t="s">
        <v>261</v>
      </c>
      <c r="AE36" s="285" t="s">
        <v>680</v>
      </c>
      <c r="AF36" s="621">
        <v>13</v>
      </c>
      <c r="AG36" s="622">
        <v>13</v>
      </c>
      <c r="AH36" s="256">
        <f>AG36/AF36</f>
        <v>1</v>
      </c>
      <c r="AI36" s="613" t="s">
        <v>705</v>
      </c>
      <c r="AJ36" s="613" t="s">
        <v>706</v>
      </c>
      <c r="AK36" s="279" t="s">
        <v>261</v>
      </c>
      <c r="AL36" s="616" t="s">
        <v>749</v>
      </c>
      <c r="AM36" s="623">
        <v>15</v>
      </c>
      <c r="AN36" s="624">
        <v>15</v>
      </c>
      <c r="AO36" s="256">
        <f>AN36/AM36</f>
        <v>1</v>
      </c>
      <c r="AP36" s="614">
        <v>405652392</v>
      </c>
      <c r="AQ36" s="614">
        <v>222770997</v>
      </c>
      <c r="AR36" s="279" t="s">
        <v>261</v>
      </c>
      <c r="AS36" s="752" t="s">
        <v>828</v>
      </c>
      <c r="AT36" s="344">
        <v>0.7</v>
      </c>
      <c r="AU36" s="312">
        <v>0.7</v>
      </c>
      <c r="AV36" s="256">
        <f>AU36/AT36</f>
        <v>1</v>
      </c>
      <c r="AW36" s="330" t="s">
        <v>856</v>
      </c>
      <c r="AX36" s="330" t="s">
        <v>856</v>
      </c>
      <c r="AY36" s="279" t="s">
        <v>261</v>
      </c>
      <c r="AZ36" s="355" t="s">
        <v>882</v>
      </c>
      <c r="BA36" s="286">
        <v>12</v>
      </c>
      <c r="BB36" s="278">
        <v>12</v>
      </c>
      <c r="BC36" s="256">
        <f>BB36/BA36</f>
        <v>1</v>
      </c>
      <c r="BD36" s="294"/>
      <c r="BE36" s="294"/>
      <c r="BF36" s="279" t="s">
        <v>261</v>
      </c>
      <c r="BG36" s="287" t="s">
        <v>948</v>
      </c>
      <c r="BH36" s="390">
        <v>0.94769999999999999</v>
      </c>
      <c r="BI36" s="14">
        <v>0.85</v>
      </c>
      <c r="BJ36" s="14">
        <f>BI36/BH36</f>
        <v>0.89690830431571167</v>
      </c>
      <c r="BK36" s="294"/>
      <c r="BL36" s="294"/>
      <c r="BM36" s="278" t="s">
        <v>261</v>
      </c>
      <c r="BN36" s="287" t="s">
        <v>534</v>
      </c>
      <c r="BO36" s="269">
        <v>0.96509999999999996</v>
      </c>
      <c r="BP36" s="256">
        <v>0.85</v>
      </c>
      <c r="BQ36" s="256">
        <f>BP36/BO36</f>
        <v>0.88073774738369082</v>
      </c>
      <c r="BR36" s="272">
        <v>0</v>
      </c>
      <c r="BS36" s="272">
        <v>0</v>
      </c>
      <c r="BT36" s="279" t="s">
        <v>261</v>
      </c>
      <c r="BU36" s="391" t="s">
        <v>612</v>
      </c>
      <c r="BV36" s="348">
        <v>0.98250000000000004</v>
      </c>
      <c r="BW36" s="256">
        <v>0.85</v>
      </c>
      <c r="BX36" s="256">
        <v>0.15379999999999999</v>
      </c>
      <c r="BY36" s="274">
        <v>0</v>
      </c>
      <c r="BZ36" s="274">
        <v>0</v>
      </c>
      <c r="CA36" s="256">
        <v>0</v>
      </c>
      <c r="CB36" s="278" t="s">
        <v>1008</v>
      </c>
      <c r="CC36" s="369" t="s">
        <v>1096</v>
      </c>
      <c r="CD36" s="318">
        <v>1</v>
      </c>
      <c r="CE36" s="56">
        <v>0.85</v>
      </c>
      <c r="CF36" s="54">
        <v>0.15379999999999999</v>
      </c>
      <c r="CG36" s="241">
        <v>0</v>
      </c>
      <c r="CH36" s="426">
        <v>0</v>
      </c>
      <c r="CI36" s="54">
        <v>0</v>
      </c>
      <c r="CJ36" s="85" t="s">
        <v>1008</v>
      </c>
      <c r="CK36" s="270" t="s">
        <v>1117</v>
      </c>
      <c r="CL36" s="61">
        <v>1</v>
      </c>
      <c r="CM36" s="56">
        <v>0.85</v>
      </c>
      <c r="CN36" s="60">
        <v>0.13800000000000001</v>
      </c>
    </row>
    <row r="37" spans="1:92" ht="15" customHeight="1" x14ac:dyDescent="0.25">
      <c r="A37" s="561"/>
      <c r="B37" s="445"/>
      <c r="C37" s="558"/>
      <c r="D37" s="548" t="s">
        <v>110</v>
      </c>
      <c r="E37" s="445" t="s">
        <v>111</v>
      </c>
      <c r="F37" s="445" t="s">
        <v>440</v>
      </c>
      <c r="G37" s="445" t="s">
        <v>112</v>
      </c>
      <c r="H37" s="454" t="s">
        <v>1009</v>
      </c>
      <c r="I37" s="445" t="s">
        <v>37</v>
      </c>
      <c r="J37" s="549" t="s">
        <v>441</v>
      </c>
      <c r="K37" s="549" t="s">
        <v>291</v>
      </c>
      <c r="L37" s="549" t="s">
        <v>323</v>
      </c>
      <c r="M37" s="549">
        <v>4301037</v>
      </c>
      <c r="N37" s="549" t="s">
        <v>324</v>
      </c>
      <c r="O37" s="549">
        <v>430103704</v>
      </c>
      <c r="P37" s="549" t="s">
        <v>325</v>
      </c>
      <c r="Q37" s="582" t="s">
        <v>441</v>
      </c>
      <c r="R37" s="281" t="s">
        <v>41</v>
      </c>
      <c r="S37" s="579"/>
      <c r="T37" s="579"/>
      <c r="U37" s="579"/>
      <c r="V37" s="579"/>
      <c r="W37" s="549" t="s">
        <v>262</v>
      </c>
      <c r="X37" s="607"/>
      <c r="Y37" s="281" t="s">
        <v>41</v>
      </c>
      <c r="Z37" s="283" t="s">
        <v>661</v>
      </c>
      <c r="AA37" s="488">
        <v>1</v>
      </c>
      <c r="AB37" s="575"/>
      <c r="AC37" s="575"/>
      <c r="AD37" s="549" t="s">
        <v>262</v>
      </c>
      <c r="AE37" s="746" t="s">
        <v>670</v>
      </c>
      <c r="AF37" s="621"/>
      <c r="AG37" s="622"/>
      <c r="AH37" s="488">
        <v>1</v>
      </c>
      <c r="AI37" s="613"/>
      <c r="AJ37" s="613"/>
      <c r="AK37" s="549" t="s">
        <v>262</v>
      </c>
      <c r="AL37" s="616"/>
      <c r="AM37" s="623"/>
      <c r="AN37" s="624"/>
      <c r="AO37" s="488">
        <v>1</v>
      </c>
      <c r="AP37" s="614"/>
      <c r="AQ37" s="614"/>
      <c r="AR37" s="549" t="s">
        <v>262</v>
      </c>
      <c r="AS37" s="752"/>
      <c r="AT37" s="638">
        <v>18</v>
      </c>
      <c r="AU37" s="640">
        <v>18</v>
      </c>
      <c r="AV37" s="488">
        <v>1</v>
      </c>
      <c r="AW37" s="642" t="s">
        <v>856</v>
      </c>
      <c r="AX37" s="642" t="s">
        <v>856</v>
      </c>
      <c r="AY37" s="549" t="s">
        <v>262</v>
      </c>
      <c r="AZ37" s="782" t="s">
        <v>883</v>
      </c>
      <c r="BA37" s="621">
        <v>1</v>
      </c>
      <c r="BB37" s="622">
        <v>1</v>
      </c>
      <c r="BC37" s="488">
        <v>1</v>
      </c>
      <c r="BD37" s="613" t="s">
        <v>928</v>
      </c>
      <c r="BE37" s="613">
        <v>120300000</v>
      </c>
      <c r="BF37" s="549" t="s">
        <v>262</v>
      </c>
      <c r="BG37" s="648" t="s">
        <v>949</v>
      </c>
      <c r="BH37" s="679">
        <v>0.21</v>
      </c>
      <c r="BI37" s="663">
        <v>0.75</v>
      </c>
      <c r="BJ37" s="663">
        <v>1</v>
      </c>
      <c r="BK37" s="613" t="s">
        <v>535</v>
      </c>
      <c r="BL37" s="680" t="s">
        <v>536</v>
      </c>
      <c r="BM37" s="622" t="s">
        <v>262</v>
      </c>
      <c r="BN37" s="648" t="s">
        <v>537</v>
      </c>
      <c r="BO37" s="681">
        <v>0.24</v>
      </c>
      <c r="BP37" s="488">
        <v>0.75</v>
      </c>
      <c r="BQ37" s="488">
        <v>1</v>
      </c>
      <c r="BR37" s="575">
        <v>143411000</v>
      </c>
      <c r="BS37" s="575" t="s">
        <v>613</v>
      </c>
      <c r="BT37" s="549" t="s">
        <v>262</v>
      </c>
      <c r="BU37" s="677" t="s">
        <v>614</v>
      </c>
      <c r="BV37" s="507">
        <v>0.27</v>
      </c>
      <c r="BW37" s="488">
        <v>0.75</v>
      </c>
      <c r="BX37" s="488">
        <v>1</v>
      </c>
      <c r="BY37" s="575">
        <f>12894828+14057500+
1253376033+
1405500</f>
        <v>1281733861</v>
      </c>
      <c r="BZ37" s="575">
        <f>12894828+
592550000+
14057500+14057500</f>
        <v>633559828</v>
      </c>
      <c r="CA37" s="706">
        <f>BZ37/BY37</f>
        <v>0.4942990485604406</v>
      </c>
      <c r="CB37" s="494" t="s">
        <v>1009</v>
      </c>
      <c r="CC37" s="714" t="s">
        <v>1054</v>
      </c>
      <c r="CD37" s="507">
        <v>0.3</v>
      </c>
      <c r="CE37" s="509">
        <v>0.75</v>
      </c>
      <c r="CF37" s="446">
        <v>1</v>
      </c>
      <c r="CG37" s="476">
        <f>12894828+14057500+37200000+278428571+300000000+
1253376033+
1405500+830364707</f>
        <v>2727727139</v>
      </c>
      <c r="CH37" s="476">
        <f>12894828+37200000+278428571+300000000+
592550000+
14057500+14057500+130000000</f>
        <v>1379188399</v>
      </c>
      <c r="CI37" s="440">
        <f>CH37/CG37</f>
        <v>0.50561816806413351</v>
      </c>
      <c r="CJ37" s="454" t="s">
        <v>1009</v>
      </c>
      <c r="CK37" s="505" t="s">
        <v>1118</v>
      </c>
      <c r="CL37" s="445" t="s">
        <v>441</v>
      </c>
      <c r="CM37" s="812">
        <v>0.75</v>
      </c>
      <c r="CN37" s="440">
        <v>1</v>
      </c>
    </row>
    <row r="38" spans="1:92" ht="83.25" customHeight="1" x14ac:dyDescent="0.25">
      <c r="A38" s="561"/>
      <c r="B38" s="445"/>
      <c r="C38" s="558"/>
      <c r="D38" s="548"/>
      <c r="E38" s="445"/>
      <c r="F38" s="445"/>
      <c r="G38" s="445"/>
      <c r="H38" s="455"/>
      <c r="I38" s="445"/>
      <c r="J38" s="549"/>
      <c r="K38" s="549"/>
      <c r="L38" s="549"/>
      <c r="M38" s="549"/>
      <c r="N38" s="549"/>
      <c r="O38" s="549"/>
      <c r="P38" s="549"/>
      <c r="Q38" s="582"/>
      <c r="R38" s="281" t="s">
        <v>41</v>
      </c>
      <c r="S38" s="579"/>
      <c r="T38" s="579"/>
      <c r="U38" s="579"/>
      <c r="V38" s="579"/>
      <c r="W38" s="549"/>
      <c r="X38" s="607"/>
      <c r="Y38" s="281" t="s">
        <v>41</v>
      </c>
      <c r="Z38" s="283" t="s">
        <v>661</v>
      </c>
      <c r="AA38" s="488"/>
      <c r="AB38" s="575"/>
      <c r="AC38" s="605"/>
      <c r="AD38" s="549"/>
      <c r="AE38" s="746"/>
      <c r="AF38" s="621"/>
      <c r="AG38" s="622"/>
      <c r="AH38" s="488"/>
      <c r="AI38" s="613"/>
      <c r="AJ38" s="613"/>
      <c r="AK38" s="549"/>
      <c r="AL38" s="616"/>
      <c r="AM38" s="623"/>
      <c r="AN38" s="624"/>
      <c r="AO38" s="488"/>
      <c r="AP38" s="614"/>
      <c r="AQ38" s="614"/>
      <c r="AR38" s="549"/>
      <c r="AS38" s="752"/>
      <c r="AT38" s="638"/>
      <c r="AU38" s="640"/>
      <c r="AV38" s="488"/>
      <c r="AW38" s="642"/>
      <c r="AX38" s="642"/>
      <c r="AY38" s="549"/>
      <c r="AZ38" s="782"/>
      <c r="BA38" s="621"/>
      <c r="BB38" s="622"/>
      <c r="BC38" s="488"/>
      <c r="BD38" s="613"/>
      <c r="BE38" s="613"/>
      <c r="BF38" s="549"/>
      <c r="BG38" s="648"/>
      <c r="BH38" s="679"/>
      <c r="BI38" s="663"/>
      <c r="BJ38" s="663"/>
      <c r="BK38" s="613"/>
      <c r="BL38" s="680"/>
      <c r="BM38" s="622"/>
      <c r="BN38" s="648"/>
      <c r="BO38" s="681"/>
      <c r="BP38" s="488"/>
      <c r="BQ38" s="488"/>
      <c r="BR38" s="575"/>
      <c r="BS38" s="605"/>
      <c r="BT38" s="549"/>
      <c r="BU38" s="662"/>
      <c r="BV38" s="508"/>
      <c r="BW38" s="488"/>
      <c r="BX38" s="488"/>
      <c r="BY38" s="575"/>
      <c r="BZ38" s="605"/>
      <c r="CA38" s="708"/>
      <c r="CB38" s="713"/>
      <c r="CC38" s="711"/>
      <c r="CD38" s="508"/>
      <c r="CE38" s="509"/>
      <c r="CF38" s="446"/>
      <c r="CG38" s="476"/>
      <c r="CH38" s="510"/>
      <c r="CI38" s="441"/>
      <c r="CJ38" s="455"/>
      <c r="CK38" s="458"/>
      <c r="CL38" s="445"/>
      <c r="CM38" s="813"/>
      <c r="CN38" s="441"/>
    </row>
    <row r="39" spans="1:92" ht="84.75" customHeight="1" x14ac:dyDescent="0.25">
      <c r="A39" s="561"/>
      <c r="B39" s="445"/>
      <c r="C39" s="558"/>
      <c r="D39" s="548"/>
      <c r="E39" s="445"/>
      <c r="F39" s="445"/>
      <c r="G39" s="445"/>
      <c r="H39" s="477"/>
      <c r="I39" s="445"/>
      <c r="J39" s="549"/>
      <c r="K39" s="549"/>
      <c r="L39" s="549"/>
      <c r="M39" s="549"/>
      <c r="N39" s="549"/>
      <c r="O39" s="549"/>
      <c r="P39" s="549"/>
      <c r="Q39" s="582"/>
      <c r="R39" s="281" t="s">
        <v>41</v>
      </c>
      <c r="S39" s="579"/>
      <c r="T39" s="579"/>
      <c r="U39" s="579"/>
      <c r="V39" s="579"/>
      <c r="W39" s="549"/>
      <c r="X39" s="282"/>
      <c r="Y39" s="281" t="s">
        <v>41</v>
      </c>
      <c r="Z39" s="283" t="s">
        <v>661</v>
      </c>
      <c r="AA39" s="488"/>
      <c r="AB39" s="575"/>
      <c r="AC39" s="605"/>
      <c r="AD39" s="549"/>
      <c r="AE39" s="285" t="s">
        <v>670</v>
      </c>
      <c r="AF39" s="286">
        <v>12</v>
      </c>
      <c r="AG39" s="278">
        <v>12</v>
      </c>
      <c r="AH39" s="488"/>
      <c r="AI39" s="294" t="s">
        <v>707</v>
      </c>
      <c r="AJ39" s="294" t="s">
        <v>708</v>
      </c>
      <c r="AK39" s="549"/>
      <c r="AL39" s="287" t="s">
        <v>750</v>
      </c>
      <c r="AM39" s="288">
        <v>12</v>
      </c>
      <c r="AN39" s="289">
        <v>6</v>
      </c>
      <c r="AO39" s="488"/>
      <c r="AP39" s="385" t="s">
        <v>794</v>
      </c>
      <c r="AQ39" s="392">
        <v>31680000</v>
      </c>
      <c r="AR39" s="549"/>
      <c r="AS39" s="290" t="s">
        <v>829</v>
      </c>
      <c r="AT39" s="291">
        <v>12</v>
      </c>
      <c r="AU39" s="292">
        <v>12</v>
      </c>
      <c r="AV39" s="488"/>
      <c r="AW39" s="330" t="s">
        <v>856</v>
      </c>
      <c r="AX39" s="330" t="s">
        <v>856</v>
      </c>
      <c r="AY39" s="549"/>
      <c r="AZ39" s="370" t="s">
        <v>884</v>
      </c>
      <c r="BA39" s="621"/>
      <c r="BB39" s="622"/>
      <c r="BC39" s="488"/>
      <c r="BD39" s="613"/>
      <c r="BE39" s="613"/>
      <c r="BF39" s="549"/>
      <c r="BG39" s="648"/>
      <c r="BH39" s="679"/>
      <c r="BI39" s="663"/>
      <c r="BJ39" s="663"/>
      <c r="BK39" s="613"/>
      <c r="BL39" s="680"/>
      <c r="BM39" s="622"/>
      <c r="BN39" s="648"/>
      <c r="BO39" s="681"/>
      <c r="BP39" s="488"/>
      <c r="BQ39" s="488"/>
      <c r="BR39" s="575"/>
      <c r="BS39" s="605"/>
      <c r="BT39" s="549"/>
      <c r="BU39" s="662"/>
      <c r="BV39" s="508"/>
      <c r="BW39" s="488"/>
      <c r="BX39" s="488"/>
      <c r="BY39" s="575"/>
      <c r="BZ39" s="605"/>
      <c r="CA39" s="707"/>
      <c r="CB39" s="495"/>
      <c r="CC39" s="703"/>
      <c r="CD39" s="508"/>
      <c r="CE39" s="509"/>
      <c r="CF39" s="446"/>
      <c r="CG39" s="476"/>
      <c r="CH39" s="510"/>
      <c r="CI39" s="453"/>
      <c r="CJ39" s="477"/>
      <c r="CK39" s="493"/>
      <c r="CL39" s="445"/>
      <c r="CM39" s="814"/>
      <c r="CN39" s="453"/>
    </row>
    <row r="40" spans="1:92" s="2" customFormat="1" ht="104.25" customHeight="1" x14ac:dyDescent="0.25">
      <c r="A40" s="561"/>
      <c r="B40" s="445"/>
      <c r="C40" s="558"/>
      <c r="D40" s="112" t="s">
        <v>113</v>
      </c>
      <c r="E40" s="57" t="s">
        <v>114</v>
      </c>
      <c r="F40" s="57" t="s">
        <v>115</v>
      </c>
      <c r="G40" s="57" t="s">
        <v>108</v>
      </c>
      <c r="H40" s="85" t="s">
        <v>1010</v>
      </c>
      <c r="I40" s="57" t="s">
        <v>37</v>
      </c>
      <c r="J40" s="279">
        <v>12</v>
      </c>
      <c r="K40" s="279" t="s">
        <v>291</v>
      </c>
      <c r="L40" s="279" t="s">
        <v>384</v>
      </c>
      <c r="M40" s="279" t="s">
        <v>326</v>
      </c>
      <c r="N40" s="279" t="s">
        <v>442</v>
      </c>
      <c r="O40" s="279" t="s">
        <v>327</v>
      </c>
      <c r="P40" s="279" t="s">
        <v>397</v>
      </c>
      <c r="Q40" s="280">
        <v>12</v>
      </c>
      <c r="R40" s="281" t="s">
        <v>41</v>
      </c>
      <c r="S40" s="579"/>
      <c r="T40" s="579"/>
      <c r="U40" s="579"/>
      <c r="V40" s="579"/>
      <c r="W40" s="279" t="s">
        <v>263</v>
      </c>
      <c r="X40" s="323"/>
      <c r="Y40" s="281" t="s">
        <v>41</v>
      </c>
      <c r="Z40" s="283" t="s">
        <v>661</v>
      </c>
      <c r="AA40" s="256">
        <v>1</v>
      </c>
      <c r="AB40" s="272"/>
      <c r="AC40" s="272"/>
      <c r="AD40" s="279" t="s">
        <v>263</v>
      </c>
      <c r="AE40" s="324" t="s">
        <v>678</v>
      </c>
      <c r="AF40" s="343">
        <v>1</v>
      </c>
      <c r="AG40" s="318">
        <v>1</v>
      </c>
      <c r="AH40" s="256">
        <v>1</v>
      </c>
      <c r="AI40" s="294" t="s">
        <v>709</v>
      </c>
      <c r="AJ40" s="294" t="s">
        <v>710</v>
      </c>
      <c r="AK40" s="279" t="s">
        <v>263</v>
      </c>
      <c r="AL40" s="354" t="s">
        <v>751</v>
      </c>
      <c r="AM40" s="179">
        <v>0.6</v>
      </c>
      <c r="AN40" s="71">
        <v>0.7</v>
      </c>
      <c r="AO40" s="256">
        <v>1</v>
      </c>
      <c r="AP40" s="122" t="s">
        <v>795</v>
      </c>
      <c r="AQ40" s="123">
        <v>43190000</v>
      </c>
      <c r="AR40" s="279" t="s">
        <v>263</v>
      </c>
      <c r="AS40" s="180" t="s">
        <v>830</v>
      </c>
      <c r="AT40" s="344">
        <v>0.65</v>
      </c>
      <c r="AU40" s="312">
        <v>0</v>
      </c>
      <c r="AV40" s="256">
        <v>1</v>
      </c>
      <c r="AW40" s="330" t="s">
        <v>856</v>
      </c>
      <c r="AX40" s="330" t="s">
        <v>856</v>
      </c>
      <c r="AY40" s="279" t="s">
        <v>263</v>
      </c>
      <c r="AZ40" s="197" t="s">
        <v>885</v>
      </c>
      <c r="BA40" s="286">
        <v>12</v>
      </c>
      <c r="BB40" s="278">
        <v>12</v>
      </c>
      <c r="BC40" s="256">
        <v>1</v>
      </c>
      <c r="BD40" s="294" t="s">
        <v>929</v>
      </c>
      <c r="BE40" s="294" t="s">
        <v>930</v>
      </c>
      <c r="BF40" s="279" t="s">
        <v>263</v>
      </c>
      <c r="BG40" s="287" t="s">
        <v>950</v>
      </c>
      <c r="BH40" s="364">
        <v>7</v>
      </c>
      <c r="BI40" s="278">
        <v>0</v>
      </c>
      <c r="BJ40" s="14">
        <f>(BI40/BH40)*1</f>
        <v>0</v>
      </c>
      <c r="BK40" s="294"/>
      <c r="BL40" s="294"/>
      <c r="BM40" s="278" t="s">
        <v>263</v>
      </c>
      <c r="BN40" s="287" t="s">
        <v>538</v>
      </c>
      <c r="BO40" s="366">
        <v>8</v>
      </c>
      <c r="BP40" s="279">
        <v>12</v>
      </c>
      <c r="BQ40" s="256">
        <v>1</v>
      </c>
      <c r="BR40" s="272">
        <v>0</v>
      </c>
      <c r="BS40" s="272">
        <v>5770000</v>
      </c>
      <c r="BT40" s="279" t="s">
        <v>263</v>
      </c>
      <c r="BU40" s="393" t="s">
        <v>615</v>
      </c>
      <c r="BV40" s="394">
        <v>9</v>
      </c>
      <c r="BW40" s="279">
        <v>11</v>
      </c>
      <c r="BX40" s="256">
        <v>1</v>
      </c>
      <c r="BY40" s="387">
        <v>90000000</v>
      </c>
      <c r="BZ40" s="388">
        <v>28753833</v>
      </c>
      <c r="CA40" s="268">
        <v>0</v>
      </c>
      <c r="CB40" s="278" t="s">
        <v>1010</v>
      </c>
      <c r="CC40" s="395" t="s">
        <v>1055</v>
      </c>
      <c r="CD40" s="279">
        <v>12</v>
      </c>
      <c r="CE40" s="47">
        <v>11</v>
      </c>
      <c r="CF40" s="56">
        <f>CE40/CD40</f>
        <v>0.91666666666666663</v>
      </c>
      <c r="CG40" s="246">
        <f>28800000+90000000</f>
        <v>118800000</v>
      </c>
      <c r="CH40" s="426">
        <f>28753833+28800000</f>
        <v>57553833</v>
      </c>
      <c r="CI40" s="210">
        <v>0</v>
      </c>
      <c r="CJ40" s="85" t="s">
        <v>1010</v>
      </c>
      <c r="CK40" s="277" t="s">
        <v>1145</v>
      </c>
      <c r="CL40" s="57">
        <v>12</v>
      </c>
      <c r="CM40" s="211">
        <v>11</v>
      </c>
      <c r="CN40" s="227">
        <f>CM40/CL40</f>
        <v>0.91666666666666663</v>
      </c>
    </row>
    <row r="41" spans="1:92" s="2" customFormat="1" ht="147.75" customHeight="1" x14ac:dyDescent="0.25">
      <c r="A41" s="561"/>
      <c r="B41" s="445"/>
      <c r="C41" s="558"/>
      <c r="D41" s="112" t="s">
        <v>116</v>
      </c>
      <c r="E41" s="57" t="s">
        <v>117</v>
      </c>
      <c r="F41" s="57" t="s">
        <v>118</v>
      </c>
      <c r="G41" s="57" t="s">
        <v>108</v>
      </c>
      <c r="H41" s="85" t="s">
        <v>1010</v>
      </c>
      <c r="I41" s="57" t="s">
        <v>37</v>
      </c>
      <c r="J41" s="305">
        <v>1</v>
      </c>
      <c r="K41" s="279" t="s">
        <v>291</v>
      </c>
      <c r="L41" s="279" t="s">
        <v>328</v>
      </c>
      <c r="M41" s="279" t="s">
        <v>37</v>
      </c>
      <c r="N41" s="279" t="s">
        <v>329</v>
      </c>
      <c r="O41" s="279" t="s">
        <v>37</v>
      </c>
      <c r="P41" s="279" t="s">
        <v>330</v>
      </c>
      <c r="Q41" s="306">
        <v>1</v>
      </c>
      <c r="R41" s="281" t="s">
        <v>41</v>
      </c>
      <c r="S41" s="579"/>
      <c r="T41" s="579"/>
      <c r="U41" s="579"/>
      <c r="V41" s="579"/>
      <c r="W41" s="279" t="s">
        <v>264</v>
      </c>
      <c r="X41" s="583"/>
      <c r="Y41" s="281" t="s">
        <v>41</v>
      </c>
      <c r="Z41" s="283" t="s">
        <v>661</v>
      </c>
      <c r="AA41" s="256">
        <v>1</v>
      </c>
      <c r="AB41" s="272"/>
      <c r="AC41" s="272"/>
      <c r="AD41" s="279" t="s">
        <v>264</v>
      </c>
      <c r="AE41" s="745" t="s">
        <v>682</v>
      </c>
      <c r="AF41" s="286">
        <v>12</v>
      </c>
      <c r="AG41" s="278">
        <v>12</v>
      </c>
      <c r="AH41" s="256">
        <v>1</v>
      </c>
      <c r="AI41" s="613" t="s">
        <v>711</v>
      </c>
      <c r="AJ41" s="613" t="s">
        <v>711</v>
      </c>
      <c r="AK41" s="279" t="s">
        <v>264</v>
      </c>
      <c r="AL41" s="616" t="s">
        <v>752</v>
      </c>
      <c r="AM41" s="288">
        <v>12</v>
      </c>
      <c r="AN41" s="289">
        <v>12</v>
      </c>
      <c r="AO41" s="256">
        <v>1</v>
      </c>
      <c r="AP41" s="743">
        <v>106571580996</v>
      </c>
      <c r="AQ41" s="743">
        <v>47709283071</v>
      </c>
      <c r="AR41" s="279" t="s">
        <v>264</v>
      </c>
      <c r="AS41" s="616" t="s">
        <v>831</v>
      </c>
      <c r="AT41" s="291">
        <v>12</v>
      </c>
      <c r="AU41" s="292">
        <v>12</v>
      </c>
      <c r="AV41" s="256">
        <v>1</v>
      </c>
      <c r="AW41" s="330" t="s">
        <v>856</v>
      </c>
      <c r="AX41" s="330" t="s">
        <v>856</v>
      </c>
      <c r="AY41" s="279" t="s">
        <v>264</v>
      </c>
      <c r="AZ41" s="362" t="s">
        <v>886</v>
      </c>
      <c r="BA41" s="286">
        <v>12</v>
      </c>
      <c r="BB41" s="278">
        <v>10</v>
      </c>
      <c r="BC41" s="256">
        <v>1</v>
      </c>
      <c r="BD41" s="294"/>
      <c r="BE41" s="294"/>
      <c r="BF41" s="279" t="s">
        <v>264</v>
      </c>
      <c r="BG41" s="354" t="s">
        <v>951</v>
      </c>
      <c r="BH41" s="396">
        <v>1</v>
      </c>
      <c r="BI41" s="278">
        <v>0</v>
      </c>
      <c r="BJ41" s="14">
        <v>0</v>
      </c>
      <c r="BK41" s="294"/>
      <c r="BL41" s="294"/>
      <c r="BM41" s="278" t="s">
        <v>264</v>
      </c>
      <c r="BN41" s="354" t="s">
        <v>539</v>
      </c>
      <c r="BO41" s="366">
        <v>100</v>
      </c>
      <c r="BP41" s="279">
        <v>1</v>
      </c>
      <c r="BQ41" s="256">
        <v>1</v>
      </c>
      <c r="BR41" s="272">
        <v>13200000</v>
      </c>
      <c r="BS41" s="272" t="s">
        <v>616</v>
      </c>
      <c r="BT41" s="279" t="s">
        <v>264</v>
      </c>
      <c r="BU41" s="354" t="s">
        <v>617</v>
      </c>
      <c r="BV41" s="305">
        <v>1</v>
      </c>
      <c r="BW41" s="305">
        <v>1</v>
      </c>
      <c r="BX41" s="256">
        <v>1</v>
      </c>
      <c r="BY41" s="274">
        <v>8655000</v>
      </c>
      <c r="BZ41" s="274">
        <v>8655000</v>
      </c>
      <c r="CA41" s="256">
        <f>BZ41/BY41</f>
        <v>1</v>
      </c>
      <c r="CB41" s="278" t="s">
        <v>1010</v>
      </c>
      <c r="CC41" s="397" t="s">
        <v>1056</v>
      </c>
      <c r="CD41" s="310">
        <v>1</v>
      </c>
      <c r="CE41" s="61">
        <v>1</v>
      </c>
      <c r="CF41" s="56">
        <v>1</v>
      </c>
      <c r="CG41" s="241">
        <v>8655000</v>
      </c>
      <c r="CH41" s="426">
        <v>8655000</v>
      </c>
      <c r="CI41" s="56">
        <f>CH41/CG41</f>
        <v>1</v>
      </c>
      <c r="CJ41" s="85" t="s">
        <v>1010</v>
      </c>
      <c r="CK41" s="271" t="s">
        <v>1119</v>
      </c>
      <c r="CL41" s="61">
        <v>1</v>
      </c>
      <c r="CM41" s="61">
        <v>1</v>
      </c>
      <c r="CN41" s="56">
        <f>CM41/CL41</f>
        <v>1</v>
      </c>
    </row>
    <row r="42" spans="1:92" ht="123" customHeight="1" x14ac:dyDescent="0.25">
      <c r="A42" s="561"/>
      <c r="B42" s="445"/>
      <c r="C42" s="558"/>
      <c r="D42" s="548" t="s">
        <v>119</v>
      </c>
      <c r="E42" s="445" t="s">
        <v>120</v>
      </c>
      <c r="F42" s="47" t="s">
        <v>121</v>
      </c>
      <c r="G42" s="47" t="s">
        <v>122</v>
      </c>
      <c r="H42" s="85" t="s">
        <v>1011</v>
      </c>
      <c r="I42" s="47">
        <v>1</v>
      </c>
      <c r="J42" s="279">
        <v>12</v>
      </c>
      <c r="K42" s="549" t="s">
        <v>291</v>
      </c>
      <c r="L42" s="601" t="s">
        <v>331</v>
      </c>
      <c r="M42" s="549">
        <v>1203002</v>
      </c>
      <c r="N42" s="549" t="s">
        <v>332</v>
      </c>
      <c r="O42" s="549">
        <v>120300200</v>
      </c>
      <c r="P42" s="549" t="s">
        <v>333</v>
      </c>
      <c r="Q42" s="280">
        <v>12</v>
      </c>
      <c r="R42" s="281" t="s">
        <v>41</v>
      </c>
      <c r="S42" s="579"/>
      <c r="T42" s="579"/>
      <c r="U42" s="579"/>
      <c r="V42" s="579"/>
      <c r="W42" s="549" t="s">
        <v>265</v>
      </c>
      <c r="X42" s="583"/>
      <c r="Y42" s="281" t="s">
        <v>41</v>
      </c>
      <c r="Z42" s="283" t="s">
        <v>662</v>
      </c>
      <c r="AA42" s="256" t="e">
        <f>Z42/Y42</f>
        <v>#VALUE!</v>
      </c>
      <c r="AB42" s="272"/>
      <c r="AC42" s="272"/>
      <c r="AD42" s="549" t="s">
        <v>265</v>
      </c>
      <c r="AE42" s="745"/>
      <c r="AF42" s="286">
        <v>1</v>
      </c>
      <c r="AG42" s="278">
        <v>1</v>
      </c>
      <c r="AH42" s="256">
        <f>AG42/AF42</f>
        <v>1</v>
      </c>
      <c r="AI42" s="613"/>
      <c r="AJ42" s="613"/>
      <c r="AK42" s="549" t="s">
        <v>265</v>
      </c>
      <c r="AL42" s="616"/>
      <c r="AM42" s="288">
        <v>1</v>
      </c>
      <c r="AN42" s="289">
        <v>1</v>
      </c>
      <c r="AO42" s="256">
        <f>AN42/AM42</f>
        <v>1</v>
      </c>
      <c r="AP42" s="508"/>
      <c r="AQ42" s="508"/>
      <c r="AR42" s="549" t="s">
        <v>265</v>
      </c>
      <c r="AS42" s="616"/>
      <c r="AT42" s="291">
        <v>1</v>
      </c>
      <c r="AU42" s="292">
        <v>1</v>
      </c>
      <c r="AV42" s="256">
        <f>AU42/AT42</f>
        <v>1</v>
      </c>
      <c r="AW42" s="330" t="s">
        <v>856</v>
      </c>
      <c r="AX42" s="330" t="s">
        <v>856</v>
      </c>
      <c r="AY42" s="549" t="s">
        <v>265</v>
      </c>
      <c r="AZ42" s="398" t="s">
        <v>887</v>
      </c>
      <c r="BA42" s="286">
        <v>1</v>
      </c>
      <c r="BB42" s="278">
        <v>1</v>
      </c>
      <c r="BC42" s="256">
        <f>BB42/BA42</f>
        <v>1</v>
      </c>
      <c r="BD42" s="613"/>
      <c r="BE42" s="613"/>
      <c r="BF42" s="549" t="s">
        <v>265</v>
      </c>
      <c r="BG42" s="616" t="s">
        <v>1033</v>
      </c>
      <c r="BH42" s="364">
        <v>12</v>
      </c>
      <c r="BI42" s="278">
        <v>10</v>
      </c>
      <c r="BJ42" s="14">
        <f>BI42/BH42</f>
        <v>0.83333333333333337</v>
      </c>
      <c r="BK42" s="294">
        <v>14200000</v>
      </c>
      <c r="BL42" s="294">
        <v>14200000</v>
      </c>
      <c r="BM42" s="622" t="s">
        <v>265</v>
      </c>
      <c r="BN42" s="293" t="s">
        <v>540</v>
      </c>
      <c r="BO42" s="366">
        <v>12</v>
      </c>
      <c r="BP42" s="279">
        <v>12</v>
      </c>
      <c r="BQ42" s="256">
        <f>BP42/BO42</f>
        <v>1</v>
      </c>
      <c r="BR42" s="272">
        <v>14200000</v>
      </c>
      <c r="BS42" s="272" t="s">
        <v>987</v>
      </c>
      <c r="BT42" s="549" t="s">
        <v>265</v>
      </c>
      <c r="BU42" s="298" t="s">
        <v>988</v>
      </c>
      <c r="BV42" s="399">
        <v>12</v>
      </c>
      <c r="BW42" s="265">
        <v>12</v>
      </c>
      <c r="BX42" s="256">
        <f>BW42/BV42</f>
        <v>1</v>
      </c>
      <c r="BY42" s="274">
        <v>0</v>
      </c>
      <c r="BZ42" s="274">
        <v>0</v>
      </c>
      <c r="CA42" s="256">
        <f>BY42/BX42</f>
        <v>0</v>
      </c>
      <c r="CB42" s="278" t="s">
        <v>1011</v>
      </c>
      <c r="CC42" s="300" t="s">
        <v>1057</v>
      </c>
      <c r="CD42" s="399">
        <v>12</v>
      </c>
      <c r="CE42" s="235">
        <v>12</v>
      </c>
      <c r="CF42" s="259">
        <f>CE42/CD42</f>
        <v>1</v>
      </c>
      <c r="CG42" s="241">
        <f>6000000+9000000</f>
        <v>15000000</v>
      </c>
      <c r="CH42" s="426">
        <f>9000000+9000000</f>
        <v>18000000</v>
      </c>
      <c r="CI42" s="54">
        <f>CG42/CH42</f>
        <v>0.83333333333333337</v>
      </c>
      <c r="CJ42" s="85" t="s">
        <v>1011</v>
      </c>
      <c r="CK42" s="419" t="s">
        <v>1120</v>
      </c>
      <c r="CL42" s="47">
        <v>12</v>
      </c>
      <c r="CM42" s="57">
        <v>12</v>
      </c>
      <c r="CN42" s="60">
        <f>CM42/CL42</f>
        <v>1</v>
      </c>
    </row>
    <row r="43" spans="1:92" ht="131.25" customHeight="1" x14ac:dyDescent="0.25">
      <c r="A43" s="561"/>
      <c r="B43" s="445"/>
      <c r="C43" s="558"/>
      <c r="D43" s="548"/>
      <c r="E43" s="445"/>
      <c r="F43" s="57" t="s">
        <v>123</v>
      </c>
      <c r="G43" s="57" t="s">
        <v>124</v>
      </c>
      <c r="H43" s="85" t="s">
        <v>1012</v>
      </c>
      <c r="I43" s="47" t="s">
        <v>125</v>
      </c>
      <c r="J43" s="279" t="s">
        <v>126</v>
      </c>
      <c r="K43" s="549"/>
      <c r="L43" s="601"/>
      <c r="M43" s="549"/>
      <c r="N43" s="549"/>
      <c r="O43" s="549"/>
      <c r="P43" s="549"/>
      <c r="Q43" s="280" t="s">
        <v>126</v>
      </c>
      <c r="R43" s="281" t="s">
        <v>41</v>
      </c>
      <c r="S43" s="579"/>
      <c r="T43" s="579"/>
      <c r="U43" s="579"/>
      <c r="V43" s="579"/>
      <c r="W43" s="549"/>
      <c r="X43" s="282"/>
      <c r="Y43" s="281" t="s">
        <v>41</v>
      </c>
      <c r="Z43" s="283" t="s">
        <v>37</v>
      </c>
      <c r="AA43" s="256">
        <v>1</v>
      </c>
      <c r="AB43" s="272"/>
      <c r="AC43" s="272"/>
      <c r="AD43" s="549"/>
      <c r="AE43" s="285" t="s">
        <v>683</v>
      </c>
      <c r="AF43" s="621">
        <v>1</v>
      </c>
      <c r="AG43" s="622">
        <v>1</v>
      </c>
      <c r="AH43" s="256">
        <v>1</v>
      </c>
      <c r="AI43" s="613"/>
      <c r="AJ43" s="613"/>
      <c r="AK43" s="549"/>
      <c r="AL43" s="616"/>
      <c r="AM43" s="621" t="s">
        <v>693</v>
      </c>
      <c r="AN43" s="622" t="s">
        <v>693</v>
      </c>
      <c r="AO43" s="256">
        <v>1</v>
      </c>
      <c r="AP43" s="613" t="s">
        <v>796</v>
      </c>
      <c r="AQ43" s="613" t="s">
        <v>700</v>
      </c>
      <c r="AR43" s="549"/>
      <c r="AS43" s="616" t="s">
        <v>832</v>
      </c>
      <c r="AT43" s="761">
        <v>1</v>
      </c>
      <c r="AU43" s="640">
        <v>1</v>
      </c>
      <c r="AV43" s="256">
        <v>1</v>
      </c>
      <c r="AW43" s="642" t="s">
        <v>857</v>
      </c>
      <c r="AX43" s="642" t="s">
        <v>858</v>
      </c>
      <c r="AY43" s="549"/>
      <c r="AZ43" s="779" t="s">
        <v>888</v>
      </c>
      <c r="BA43" s="286">
        <v>332</v>
      </c>
      <c r="BB43" s="278">
        <v>200</v>
      </c>
      <c r="BC43" s="256">
        <v>1</v>
      </c>
      <c r="BD43" s="613"/>
      <c r="BE43" s="613"/>
      <c r="BF43" s="549"/>
      <c r="BG43" s="616"/>
      <c r="BH43" s="286">
        <v>234.42</v>
      </c>
      <c r="BI43" s="278">
        <v>306.45999999999998</v>
      </c>
      <c r="BJ43" s="14">
        <v>1</v>
      </c>
      <c r="BK43" s="294">
        <v>97928400</v>
      </c>
      <c r="BL43" s="294">
        <v>27393333</v>
      </c>
      <c r="BM43" s="622"/>
      <c r="BN43" s="293" t="s">
        <v>541</v>
      </c>
      <c r="BO43" s="342">
        <v>234.42</v>
      </c>
      <c r="BP43" s="279">
        <v>306.45999999999998</v>
      </c>
      <c r="BQ43" s="256">
        <v>1</v>
      </c>
      <c r="BR43" s="272">
        <v>97928400</v>
      </c>
      <c r="BS43" s="272" t="s">
        <v>990</v>
      </c>
      <c r="BT43" s="549"/>
      <c r="BU43" s="298" t="s">
        <v>989</v>
      </c>
      <c r="BV43" s="278">
        <v>234.42</v>
      </c>
      <c r="BW43" s="279">
        <v>682</v>
      </c>
      <c r="BX43" s="256">
        <v>0</v>
      </c>
      <c r="BY43" s="272">
        <f>17310000+11170350+
768000+7770000</f>
        <v>37018350</v>
      </c>
      <c r="BZ43" s="272">
        <f>17310000+22340700+384000+7770000</f>
        <v>47804700</v>
      </c>
      <c r="CA43" s="268">
        <v>1</v>
      </c>
      <c r="CB43" s="278" t="s">
        <v>1012</v>
      </c>
      <c r="CC43" s="300" t="s">
        <v>1058</v>
      </c>
      <c r="CD43" s="278" t="s">
        <v>983</v>
      </c>
      <c r="CE43" s="57">
        <v>682</v>
      </c>
      <c r="CF43" s="186">
        <v>0</v>
      </c>
      <c r="CG43" s="55" t="str">
        <f>'[2]Comisarías de Familia'!$N$10</f>
        <v>13 DE ABRIL DEL 2023 Por parte del equipo psicosocial de la Comisaria de Familia con acompañamiento de Policía de Infancia y Adolescencia se realiza operativo de requisa en Instituciones educativas priorizadas en el Comité de convivencia escolar, por lo tanto, se brindó dicho acompañamiento en la Institución educativa Pedacito de cielo, Gabriela Mistral y Antonio Nariño; con el fin de prevenir consumo y expendio de sustancias psicoactivas en el entorno escolar. 
11 DE MAYO DEL 2023 Se realizó campaña de prevención de la violencia en la Institución Educativa Antonio Nariño, dicha campaña fue dirigida a la psico-educación de estudiantes y docentes de diferentes grados con el fin de promover las líneas de atención y los espacios de escucha a Niños, Niñas y Adolescentes.                                   14 DE MAYO DEL 2023 Por parte del despacho de la Comisaria de familia y su equipo psicosocial se brindó acompañamiento durante operativo de control a menores de edad, dirigido por Secretaria de Gobierno, Policía Nacional y Ejercito Nacional, en diferentes sectores del municipio, lo anterior con el fin de prevenir el uso de sustancias psicoactivas en menores de edad, permanencia en calle y socializar decreto en horario de restricción a menores de edad.                                27 DE MAYO DEL 2023 Por parte del despacho de la Comisaria de familia y su equipo psicosocial se brindó acompañamiento durante operativo de control a menores de edad en diferentes sectores del municipio, lo anterior con el fin de prevenir el uso de sustancias psicoactivas en menores de edad, permanencia en calle y socializar decreto en horario de restricción a menores de edad.                                 11 DE MAYO DEL 2023 El equipo psicosocial de la Comisaria de Familia hizo parte de la campaña (TE RETO A DECIR NO) sobre prevención de la violencia en entornos escolares y dirigida a Instituciones educativas del municipio, dicha campaña genero impacto a docentes y estudiantes de diferentes grados, así mismo se sustenta la ruta de atención en casos de violencia teniendo en cuenta la Ley 1257 del 2008 .</v>
      </c>
      <c r="CH43" s="429">
        <f>23454000+4000000+17310000+22340700+384000+7770000+9775000</f>
        <v>85033700</v>
      </c>
      <c r="CI43" s="230" t="e">
        <f>CH43/CG43</f>
        <v>#VALUE!</v>
      </c>
      <c r="CJ43" s="85" t="s">
        <v>1012</v>
      </c>
      <c r="CK43" s="419" t="s">
        <v>1146</v>
      </c>
      <c r="CL43" s="278" t="s">
        <v>126</v>
      </c>
      <c r="CM43" s="260">
        <v>682</v>
      </c>
      <c r="CN43" s="258">
        <v>1</v>
      </c>
    </row>
    <row r="44" spans="1:92" ht="45" customHeight="1" x14ac:dyDescent="0.25">
      <c r="A44" s="561"/>
      <c r="B44" s="445"/>
      <c r="C44" s="558"/>
      <c r="D44" s="548" t="s">
        <v>127</v>
      </c>
      <c r="E44" s="445" t="s">
        <v>128</v>
      </c>
      <c r="F44" s="445" t="s">
        <v>129</v>
      </c>
      <c r="G44" s="445" t="s">
        <v>124</v>
      </c>
      <c r="H44" s="454" t="s">
        <v>1012</v>
      </c>
      <c r="I44" s="445" t="s">
        <v>130</v>
      </c>
      <c r="J44" s="549" t="s">
        <v>126</v>
      </c>
      <c r="K44" s="549" t="s">
        <v>291</v>
      </c>
      <c r="L44" s="601" t="s">
        <v>331</v>
      </c>
      <c r="M44" s="549">
        <v>1203002</v>
      </c>
      <c r="N44" s="549" t="s">
        <v>332</v>
      </c>
      <c r="O44" s="549">
        <v>120300200</v>
      </c>
      <c r="P44" s="549" t="s">
        <v>333</v>
      </c>
      <c r="Q44" s="582" t="s">
        <v>126</v>
      </c>
      <c r="R44" s="281" t="s">
        <v>41</v>
      </c>
      <c r="S44" s="579"/>
      <c r="T44" s="579"/>
      <c r="U44" s="579"/>
      <c r="V44" s="579"/>
      <c r="W44" s="549"/>
      <c r="X44" s="583"/>
      <c r="Y44" s="281" t="s">
        <v>41</v>
      </c>
      <c r="Z44" s="283" t="s">
        <v>37</v>
      </c>
      <c r="AA44" s="488">
        <v>0.76700000000000002</v>
      </c>
      <c r="AB44" s="575"/>
      <c r="AC44" s="575"/>
      <c r="AD44" s="549"/>
      <c r="AE44" s="745" t="s">
        <v>679</v>
      </c>
      <c r="AF44" s="621"/>
      <c r="AG44" s="622"/>
      <c r="AH44" s="488">
        <v>0.76700000000000002</v>
      </c>
      <c r="AI44" s="613"/>
      <c r="AJ44" s="613"/>
      <c r="AK44" s="549"/>
      <c r="AL44" s="616"/>
      <c r="AM44" s="621"/>
      <c r="AN44" s="622"/>
      <c r="AO44" s="488">
        <v>0.76700000000000002</v>
      </c>
      <c r="AP44" s="613"/>
      <c r="AQ44" s="613"/>
      <c r="AR44" s="549"/>
      <c r="AS44" s="616"/>
      <c r="AT44" s="761"/>
      <c r="AU44" s="640"/>
      <c r="AV44" s="488">
        <v>0.76700000000000002</v>
      </c>
      <c r="AW44" s="642"/>
      <c r="AX44" s="642"/>
      <c r="AY44" s="549"/>
      <c r="AZ44" s="779"/>
      <c r="BA44" s="621">
        <v>1</v>
      </c>
      <c r="BB44" s="622">
        <v>1</v>
      </c>
      <c r="BC44" s="488">
        <v>0.76700000000000002</v>
      </c>
      <c r="BD44" s="613"/>
      <c r="BE44" s="613"/>
      <c r="BF44" s="549"/>
      <c r="BG44" s="616"/>
      <c r="BH44" s="669" t="s">
        <v>418</v>
      </c>
      <c r="BI44" s="678">
        <v>0.31940000000000002</v>
      </c>
      <c r="BJ44" s="663">
        <v>0</v>
      </c>
      <c r="BK44" s="613">
        <v>15000000</v>
      </c>
      <c r="BL44" s="613">
        <v>3620000</v>
      </c>
      <c r="BM44" s="622"/>
      <c r="BN44" s="648" t="s">
        <v>542</v>
      </c>
      <c r="BO44" s="673" t="s">
        <v>418</v>
      </c>
      <c r="BP44" s="511">
        <v>0.31940000000000002</v>
      </c>
      <c r="BQ44" s="488">
        <v>0.76700000000000002</v>
      </c>
      <c r="BR44" s="575">
        <v>15000000</v>
      </c>
      <c r="BS44" s="575" t="s">
        <v>618</v>
      </c>
      <c r="BT44" s="549"/>
      <c r="BU44" s="662" t="s">
        <v>619</v>
      </c>
      <c r="BV44" s="582" t="s">
        <v>126</v>
      </c>
      <c r="BW44" s="715">
        <v>56.78</v>
      </c>
      <c r="BX44" s="488">
        <v>0.76700000000000002</v>
      </c>
      <c r="BY44" s="716">
        <v>157000000</v>
      </c>
      <c r="BZ44" s="464">
        <v>0</v>
      </c>
      <c r="CA44" s="706">
        <f>BZ44/BY44</f>
        <v>0</v>
      </c>
      <c r="CB44" s="494" t="s">
        <v>1012</v>
      </c>
      <c r="CC44" s="702" t="s">
        <v>1083</v>
      </c>
      <c r="CD44" s="494" t="s">
        <v>983</v>
      </c>
      <c r="CE44" s="511">
        <v>0.56779999999999997</v>
      </c>
      <c r="CF44" s="499">
        <v>0.76700000000000002</v>
      </c>
      <c r="CG44" s="512">
        <f>157000000+1020000</f>
        <v>158020000</v>
      </c>
      <c r="CH44" s="470">
        <v>10200000</v>
      </c>
      <c r="CI44" s="501">
        <f>CH44/CG44</f>
        <v>6.4548791292241489E-2</v>
      </c>
      <c r="CJ44" s="454" t="s">
        <v>1012</v>
      </c>
      <c r="CK44" s="457" t="s">
        <v>1147</v>
      </c>
      <c r="CL44" s="549" t="s">
        <v>126</v>
      </c>
      <c r="CM44" s="815">
        <v>0.31940000000000002</v>
      </c>
      <c r="CN44" s="501">
        <v>0</v>
      </c>
    </row>
    <row r="45" spans="1:92" ht="97.5" customHeight="1" x14ac:dyDescent="0.25">
      <c r="A45" s="561"/>
      <c r="B45" s="445"/>
      <c r="C45" s="558"/>
      <c r="D45" s="548"/>
      <c r="E45" s="445"/>
      <c r="F45" s="445"/>
      <c r="G45" s="445"/>
      <c r="H45" s="477"/>
      <c r="I45" s="445"/>
      <c r="J45" s="549"/>
      <c r="K45" s="549"/>
      <c r="L45" s="601"/>
      <c r="M45" s="549"/>
      <c r="N45" s="549"/>
      <c r="O45" s="549"/>
      <c r="P45" s="549"/>
      <c r="Q45" s="582"/>
      <c r="R45" s="281" t="s">
        <v>41</v>
      </c>
      <c r="S45" s="579"/>
      <c r="T45" s="579"/>
      <c r="U45" s="579"/>
      <c r="V45" s="579"/>
      <c r="W45" s="549"/>
      <c r="X45" s="583"/>
      <c r="Y45" s="281" t="s">
        <v>41</v>
      </c>
      <c r="Z45" s="283" t="s">
        <v>37</v>
      </c>
      <c r="AA45" s="488"/>
      <c r="AB45" s="575"/>
      <c r="AC45" s="575"/>
      <c r="AD45" s="549"/>
      <c r="AE45" s="745"/>
      <c r="AF45" s="621">
        <v>1</v>
      </c>
      <c r="AG45" s="622">
        <v>1</v>
      </c>
      <c r="AH45" s="488"/>
      <c r="AI45" s="613" t="s">
        <v>712</v>
      </c>
      <c r="AJ45" s="613" t="s">
        <v>713</v>
      </c>
      <c r="AK45" s="549"/>
      <c r="AL45" s="616" t="s">
        <v>753</v>
      </c>
      <c r="AM45" s="618">
        <v>1</v>
      </c>
      <c r="AN45" s="508">
        <v>1</v>
      </c>
      <c r="AO45" s="488"/>
      <c r="AP45" s="614">
        <v>20600000</v>
      </c>
      <c r="AQ45" s="614" t="s">
        <v>700</v>
      </c>
      <c r="AR45" s="549"/>
      <c r="AS45" s="616" t="s">
        <v>833</v>
      </c>
      <c r="AT45" s="761">
        <v>1</v>
      </c>
      <c r="AU45" s="640">
        <v>1</v>
      </c>
      <c r="AV45" s="488"/>
      <c r="AW45" s="643" t="s">
        <v>856</v>
      </c>
      <c r="AX45" s="643" t="s">
        <v>856</v>
      </c>
      <c r="AY45" s="549"/>
      <c r="AZ45" s="779" t="s">
        <v>889</v>
      </c>
      <c r="BA45" s="621"/>
      <c r="BB45" s="622"/>
      <c r="BC45" s="488"/>
      <c r="BD45" s="613"/>
      <c r="BE45" s="613"/>
      <c r="BF45" s="549"/>
      <c r="BG45" s="616"/>
      <c r="BH45" s="669"/>
      <c r="BI45" s="678"/>
      <c r="BJ45" s="663"/>
      <c r="BK45" s="613"/>
      <c r="BL45" s="613"/>
      <c r="BM45" s="622"/>
      <c r="BN45" s="648"/>
      <c r="BO45" s="673"/>
      <c r="BP45" s="511"/>
      <c r="BQ45" s="488"/>
      <c r="BR45" s="575"/>
      <c r="BS45" s="575"/>
      <c r="BT45" s="549"/>
      <c r="BU45" s="662"/>
      <c r="BV45" s="582"/>
      <c r="BW45" s="715"/>
      <c r="BX45" s="488"/>
      <c r="BY45" s="717"/>
      <c r="BZ45" s="465"/>
      <c r="CA45" s="707"/>
      <c r="CB45" s="495"/>
      <c r="CC45" s="703"/>
      <c r="CD45" s="495"/>
      <c r="CE45" s="511"/>
      <c r="CF45" s="499"/>
      <c r="CG45" s="513"/>
      <c r="CH45" s="471"/>
      <c r="CI45" s="502"/>
      <c r="CJ45" s="477"/>
      <c r="CK45" s="493"/>
      <c r="CL45" s="549"/>
      <c r="CM45" s="816"/>
      <c r="CN45" s="502"/>
    </row>
    <row r="46" spans="1:92" ht="51" customHeight="1" x14ac:dyDescent="0.25">
      <c r="A46" s="561"/>
      <c r="B46" s="445"/>
      <c r="C46" s="558"/>
      <c r="D46" s="548" t="s">
        <v>131</v>
      </c>
      <c r="E46" s="445" t="s">
        <v>132</v>
      </c>
      <c r="F46" s="445" t="s">
        <v>133</v>
      </c>
      <c r="G46" s="445" t="s">
        <v>124</v>
      </c>
      <c r="H46" s="454" t="s">
        <v>1013</v>
      </c>
      <c r="I46" s="445" t="s">
        <v>134</v>
      </c>
      <c r="J46" s="549" t="s">
        <v>126</v>
      </c>
      <c r="K46" s="549" t="s">
        <v>334</v>
      </c>
      <c r="L46" s="549" t="s">
        <v>335</v>
      </c>
      <c r="M46" s="549" t="s">
        <v>37</v>
      </c>
      <c r="N46" s="549" t="s">
        <v>336</v>
      </c>
      <c r="O46" s="549" t="s">
        <v>37</v>
      </c>
      <c r="P46" s="549" t="s">
        <v>337</v>
      </c>
      <c r="Q46" s="582" t="s">
        <v>126</v>
      </c>
      <c r="R46" s="281" t="s">
        <v>41</v>
      </c>
      <c r="S46" s="579"/>
      <c r="T46" s="579"/>
      <c r="U46" s="579"/>
      <c r="V46" s="579"/>
      <c r="W46" s="549" t="s">
        <v>266</v>
      </c>
      <c r="X46" s="583"/>
      <c r="Y46" s="281" t="s">
        <v>41</v>
      </c>
      <c r="Z46" s="283" t="s">
        <v>37</v>
      </c>
      <c r="AA46" s="488">
        <v>0.74860000000000004</v>
      </c>
      <c r="AB46" s="575"/>
      <c r="AC46" s="575"/>
      <c r="AD46" s="549" t="s">
        <v>266</v>
      </c>
      <c r="AE46" s="745"/>
      <c r="AF46" s="621"/>
      <c r="AG46" s="622"/>
      <c r="AH46" s="488">
        <v>0.74860000000000004</v>
      </c>
      <c r="AI46" s="613"/>
      <c r="AJ46" s="613"/>
      <c r="AK46" s="549" t="s">
        <v>266</v>
      </c>
      <c r="AL46" s="616"/>
      <c r="AM46" s="618"/>
      <c r="AN46" s="508"/>
      <c r="AO46" s="488">
        <v>0.74860000000000004</v>
      </c>
      <c r="AP46" s="614"/>
      <c r="AQ46" s="614"/>
      <c r="AR46" s="549" t="s">
        <v>266</v>
      </c>
      <c r="AS46" s="616"/>
      <c r="AT46" s="761"/>
      <c r="AU46" s="640"/>
      <c r="AV46" s="488">
        <v>0.74860000000000004</v>
      </c>
      <c r="AW46" s="643"/>
      <c r="AX46" s="643"/>
      <c r="AY46" s="549" t="s">
        <v>266</v>
      </c>
      <c r="AZ46" s="779"/>
      <c r="BA46" s="621">
        <v>933</v>
      </c>
      <c r="BB46" s="622">
        <v>558</v>
      </c>
      <c r="BC46" s="488">
        <v>0.74860000000000004</v>
      </c>
      <c r="BD46" s="613">
        <v>430000000</v>
      </c>
      <c r="BE46" s="613">
        <v>260170284</v>
      </c>
      <c r="BF46" s="549" t="s">
        <v>266</v>
      </c>
      <c r="BG46" s="616" t="s">
        <v>952</v>
      </c>
      <c r="BH46" s="603" t="s">
        <v>417</v>
      </c>
      <c r="BI46" s="625">
        <v>0.1862</v>
      </c>
      <c r="BJ46" s="663">
        <v>0</v>
      </c>
      <c r="BK46" s="613"/>
      <c r="BL46" s="613"/>
      <c r="BM46" s="622" t="s">
        <v>266</v>
      </c>
      <c r="BN46" s="683" t="s">
        <v>543</v>
      </c>
      <c r="BO46" s="664" t="s">
        <v>417</v>
      </c>
      <c r="BP46" s="675">
        <v>0.1862</v>
      </c>
      <c r="BQ46" s="488">
        <v>0.74860000000000004</v>
      </c>
      <c r="BR46" s="575"/>
      <c r="BS46" s="575">
        <v>21000000</v>
      </c>
      <c r="BT46" s="549" t="s">
        <v>266</v>
      </c>
      <c r="BU46" s="682" t="s">
        <v>620</v>
      </c>
      <c r="BV46" s="494" t="s">
        <v>983</v>
      </c>
      <c r="BW46" s="739">
        <v>131</v>
      </c>
      <c r="BX46" s="488">
        <v>0.74860000000000004</v>
      </c>
      <c r="BY46" s="575">
        <f>49862300+85288200+85288200+10000000</f>
        <v>230438700</v>
      </c>
      <c r="BZ46" s="725">
        <f>85288200+85288200+10000000</f>
        <v>180576400</v>
      </c>
      <c r="CA46" s="706">
        <f>BZ46/BY46</f>
        <v>0.78362011242035301</v>
      </c>
      <c r="CB46" s="494" t="s">
        <v>1013</v>
      </c>
      <c r="CC46" s="795" t="s">
        <v>1059</v>
      </c>
      <c r="CD46" s="494" t="s">
        <v>983</v>
      </c>
      <c r="CE46" s="498">
        <v>131</v>
      </c>
      <c r="CF46" s="499">
        <v>0.74860000000000004</v>
      </c>
      <c r="CG46" s="476">
        <f>49862300+85288200+85288200+10000000+26250000+3000000</f>
        <v>259688700</v>
      </c>
      <c r="CH46" s="500">
        <f>85288200+85288200+10000000+12250000+3000000</f>
        <v>195826400</v>
      </c>
      <c r="CI46" s="501">
        <f>CH46/CG46</f>
        <v>0.7540813289141961</v>
      </c>
      <c r="CJ46" s="454" t="s">
        <v>1013</v>
      </c>
      <c r="CK46" s="457" t="s">
        <v>1121</v>
      </c>
      <c r="CL46" s="549" t="s">
        <v>126</v>
      </c>
      <c r="CM46" s="817">
        <v>0.1862</v>
      </c>
      <c r="CN46" s="501">
        <v>0</v>
      </c>
    </row>
    <row r="47" spans="1:92" ht="92.25" customHeight="1" x14ac:dyDescent="0.25">
      <c r="A47" s="561"/>
      <c r="B47" s="445"/>
      <c r="C47" s="558"/>
      <c r="D47" s="548"/>
      <c r="E47" s="445"/>
      <c r="F47" s="445"/>
      <c r="G47" s="445"/>
      <c r="H47" s="477"/>
      <c r="I47" s="445"/>
      <c r="J47" s="549"/>
      <c r="K47" s="549"/>
      <c r="L47" s="549"/>
      <c r="M47" s="549"/>
      <c r="N47" s="549"/>
      <c r="O47" s="549"/>
      <c r="P47" s="549"/>
      <c r="Q47" s="582"/>
      <c r="R47" s="281" t="s">
        <v>41</v>
      </c>
      <c r="S47" s="579"/>
      <c r="T47" s="579"/>
      <c r="U47" s="579"/>
      <c r="V47" s="579"/>
      <c r="W47" s="549"/>
      <c r="X47" s="583"/>
      <c r="Y47" s="281" t="s">
        <v>41</v>
      </c>
      <c r="Z47" s="283" t="s">
        <v>37</v>
      </c>
      <c r="AA47" s="488"/>
      <c r="AB47" s="575"/>
      <c r="AC47" s="575"/>
      <c r="AD47" s="549"/>
      <c r="AE47" s="745"/>
      <c r="AF47" s="286">
        <v>1</v>
      </c>
      <c r="AG47" s="278">
        <v>1</v>
      </c>
      <c r="AH47" s="488"/>
      <c r="AI47" s="294" t="s">
        <v>709</v>
      </c>
      <c r="AJ47" s="294" t="s">
        <v>710</v>
      </c>
      <c r="AK47" s="549"/>
      <c r="AL47" s="290" t="s">
        <v>754</v>
      </c>
      <c r="AM47" s="288">
        <v>1</v>
      </c>
      <c r="AN47" s="289">
        <v>1</v>
      </c>
      <c r="AO47" s="488"/>
      <c r="AP47" s="122" t="s">
        <v>795</v>
      </c>
      <c r="AQ47" s="123">
        <v>43190000</v>
      </c>
      <c r="AR47" s="549"/>
      <c r="AS47" s="180" t="s">
        <v>830</v>
      </c>
      <c r="AT47" s="291">
        <v>1</v>
      </c>
      <c r="AU47" s="292">
        <v>1</v>
      </c>
      <c r="AV47" s="488"/>
      <c r="AW47" s="330" t="s">
        <v>856</v>
      </c>
      <c r="AX47" s="330" t="s">
        <v>856</v>
      </c>
      <c r="AY47" s="549"/>
      <c r="AZ47" s="197" t="s">
        <v>890</v>
      </c>
      <c r="BA47" s="621"/>
      <c r="BB47" s="622"/>
      <c r="BC47" s="488"/>
      <c r="BD47" s="613"/>
      <c r="BE47" s="613"/>
      <c r="BF47" s="549"/>
      <c r="BG47" s="616"/>
      <c r="BH47" s="621"/>
      <c r="BI47" s="625"/>
      <c r="BJ47" s="663"/>
      <c r="BK47" s="613"/>
      <c r="BL47" s="613"/>
      <c r="BM47" s="622"/>
      <c r="BN47" s="683"/>
      <c r="BO47" s="665"/>
      <c r="BP47" s="675"/>
      <c r="BQ47" s="488"/>
      <c r="BR47" s="575"/>
      <c r="BS47" s="575"/>
      <c r="BT47" s="549"/>
      <c r="BU47" s="682"/>
      <c r="BV47" s="495"/>
      <c r="BW47" s="739"/>
      <c r="BX47" s="488"/>
      <c r="BY47" s="575"/>
      <c r="BZ47" s="725"/>
      <c r="CA47" s="707"/>
      <c r="CB47" s="495"/>
      <c r="CC47" s="796"/>
      <c r="CD47" s="495"/>
      <c r="CE47" s="498"/>
      <c r="CF47" s="499"/>
      <c r="CG47" s="476"/>
      <c r="CH47" s="500"/>
      <c r="CI47" s="502"/>
      <c r="CJ47" s="477"/>
      <c r="CK47" s="493"/>
      <c r="CL47" s="549"/>
      <c r="CM47" s="818"/>
      <c r="CN47" s="502"/>
    </row>
    <row r="48" spans="1:92" ht="348.75" customHeight="1" x14ac:dyDescent="0.25">
      <c r="A48" s="561"/>
      <c r="B48" s="445"/>
      <c r="C48" s="558"/>
      <c r="D48" s="111" t="s">
        <v>135</v>
      </c>
      <c r="E48" s="47" t="s">
        <v>136</v>
      </c>
      <c r="F48" s="47" t="s">
        <v>137</v>
      </c>
      <c r="G48" s="47" t="s">
        <v>124</v>
      </c>
      <c r="H48" s="85" t="s">
        <v>1014</v>
      </c>
      <c r="I48" s="47" t="s">
        <v>138</v>
      </c>
      <c r="J48" s="279" t="s">
        <v>126</v>
      </c>
      <c r="K48" s="279" t="s">
        <v>291</v>
      </c>
      <c r="L48" s="279" t="s">
        <v>328</v>
      </c>
      <c r="M48" s="279" t="s">
        <v>37</v>
      </c>
      <c r="N48" s="279" t="s">
        <v>329</v>
      </c>
      <c r="O48" s="279" t="s">
        <v>37</v>
      </c>
      <c r="P48" s="279" t="s">
        <v>330</v>
      </c>
      <c r="Q48" s="280" t="s">
        <v>126</v>
      </c>
      <c r="R48" s="281" t="s">
        <v>41</v>
      </c>
      <c r="S48" s="579"/>
      <c r="T48" s="579"/>
      <c r="U48" s="579"/>
      <c r="V48" s="579"/>
      <c r="W48" s="279" t="s">
        <v>264</v>
      </c>
      <c r="X48" s="583"/>
      <c r="Y48" s="281" t="s">
        <v>41</v>
      </c>
      <c r="Z48" s="283" t="s">
        <v>37</v>
      </c>
      <c r="AA48" s="256">
        <v>0.71279999999999999</v>
      </c>
      <c r="AB48" s="272"/>
      <c r="AC48" s="272"/>
      <c r="AD48" s="279" t="s">
        <v>264</v>
      </c>
      <c r="AE48" s="745"/>
      <c r="AF48" s="286">
        <v>1</v>
      </c>
      <c r="AG48" s="318" t="s">
        <v>37</v>
      </c>
      <c r="AH48" s="256">
        <v>0.71279999999999999</v>
      </c>
      <c r="AI48" s="613" t="s">
        <v>714</v>
      </c>
      <c r="AJ48" s="613" t="s">
        <v>715</v>
      </c>
      <c r="AK48" s="279" t="s">
        <v>264</v>
      </c>
      <c r="AL48" s="612" t="s">
        <v>755</v>
      </c>
      <c r="AM48" s="288">
        <v>1</v>
      </c>
      <c r="AN48" s="289">
        <v>1</v>
      </c>
      <c r="AO48" s="256">
        <v>0.71279999999999999</v>
      </c>
      <c r="AP48" s="614" t="s">
        <v>797</v>
      </c>
      <c r="AQ48" s="614" t="s">
        <v>798</v>
      </c>
      <c r="AR48" s="279" t="s">
        <v>264</v>
      </c>
      <c r="AS48" s="616" t="s">
        <v>834</v>
      </c>
      <c r="AT48" s="291">
        <v>1</v>
      </c>
      <c r="AU48" s="292">
        <v>3</v>
      </c>
      <c r="AV48" s="256">
        <v>0.71279999999999999</v>
      </c>
      <c r="AW48" s="330" t="s">
        <v>856</v>
      </c>
      <c r="AX48" s="330" t="s">
        <v>856</v>
      </c>
      <c r="AY48" s="279" t="s">
        <v>264</v>
      </c>
      <c r="AZ48" s="362" t="s">
        <v>891</v>
      </c>
      <c r="BA48" s="286">
        <v>12</v>
      </c>
      <c r="BB48" s="278">
        <v>10</v>
      </c>
      <c r="BC48" s="256">
        <v>0.71279999999999999</v>
      </c>
      <c r="BD48" s="294"/>
      <c r="BE48" s="294"/>
      <c r="BF48" s="279" t="s">
        <v>264</v>
      </c>
      <c r="BG48" s="354" t="s">
        <v>951</v>
      </c>
      <c r="BH48" s="400" t="s">
        <v>416</v>
      </c>
      <c r="BI48" s="376">
        <v>8.1500000000000003E-2</v>
      </c>
      <c r="BJ48" s="14">
        <v>0</v>
      </c>
      <c r="BK48" s="294"/>
      <c r="BL48" s="294"/>
      <c r="BM48" s="278" t="s">
        <v>264</v>
      </c>
      <c r="BN48" s="313" t="s">
        <v>544</v>
      </c>
      <c r="BO48" s="138" t="s">
        <v>416</v>
      </c>
      <c r="BP48" s="183">
        <v>8.1500000000000003E-2</v>
      </c>
      <c r="BQ48" s="256">
        <v>0.71279999999999999</v>
      </c>
      <c r="BR48" s="272">
        <v>23080000</v>
      </c>
      <c r="BS48" s="272"/>
      <c r="BT48" s="279" t="s">
        <v>264</v>
      </c>
      <c r="BU48" s="316" t="s">
        <v>621</v>
      </c>
      <c r="BV48" s="278" t="s">
        <v>983</v>
      </c>
      <c r="BW48" s="244">
        <v>7.2</v>
      </c>
      <c r="BX48" s="256">
        <v>0.71279999999999999</v>
      </c>
      <c r="BY48" s="274">
        <v>8655000</v>
      </c>
      <c r="BZ48" s="274">
        <v>8655000</v>
      </c>
      <c r="CA48" s="267">
        <f>BZ48/BY48</f>
        <v>1</v>
      </c>
      <c r="CB48" s="278" t="s">
        <v>1014</v>
      </c>
      <c r="CC48" s="317" t="s">
        <v>1060</v>
      </c>
      <c r="CD48" s="278">
        <v>7.2</v>
      </c>
      <c r="CE48" s="244">
        <v>7.2</v>
      </c>
      <c r="CF48" s="186">
        <f>CE48/CD48</f>
        <v>1</v>
      </c>
      <c r="CG48" s="241">
        <f>8655000+10200000+13571428+9600000</f>
        <v>42026428</v>
      </c>
      <c r="CH48" s="426">
        <f>8655000+10200000+13571428+9600000</f>
        <v>42026428</v>
      </c>
      <c r="CI48" s="213">
        <f>CH48/CG48</f>
        <v>1</v>
      </c>
      <c r="CJ48" s="85" t="s">
        <v>1014</v>
      </c>
      <c r="CK48" s="437" t="s">
        <v>1148</v>
      </c>
      <c r="CL48" s="279" t="s">
        <v>126</v>
      </c>
      <c r="CM48" s="212">
        <v>7.1999999999999995E-2</v>
      </c>
      <c r="CN48" s="213">
        <v>0</v>
      </c>
    </row>
    <row r="49" spans="1:92" ht="41.25" customHeight="1" x14ac:dyDescent="0.25">
      <c r="A49" s="561"/>
      <c r="B49" s="445"/>
      <c r="C49" s="558"/>
      <c r="D49" s="548" t="s">
        <v>139</v>
      </c>
      <c r="E49" s="445" t="s">
        <v>140</v>
      </c>
      <c r="F49" s="47" t="s">
        <v>443</v>
      </c>
      <c r="G49" s="47" t="s">
        <v>141</v>
      </c>
      <c r="H49" s="85" t="s">
        <v>1015</v>
      </c>
      <c r="I49" s="47" t="s">
        <v>37</v>
      </c>
      <c r="J49" s="305">
        <v>1</v>
      </c>
      <c r="K49" s="549" t="s">
        <v>291</v>
      </c>
      <c r="L49" s="549" t="s">
        <v>338</v>
      </c>
      <c r="M49" s="549" t="s">
        <v>37</v>
      </c>
      <c r="N49" s="549" t="s">
        <v>339</v>
      </c>
      <c r="O49" s="549" t="s">
        <v>37</v>
      </c>
      <c r="P49" s="549" t="s">
        <v>390</v>
      </c>
      <c r="Q49" s="306">
        <v>1</v>
      </c>
      <c r="R49" s="281" t="s">
        <v>41</v>
      </c>
      <c r="S49" s="579"/>
      <c r="T49" s="579"/>
      <c r="U49" s="579"/>
      <c r="V49" s="579"/>
      <c r="W49" s="549" t="s">
        <v>267</v>
      </c>
      <c r="X49" s="583"/>
      <c r="Y49" s="281" t="s">
        <v>41</v>
      </c>
      <c r="Z49" s="283">
        <v>2</v>
      </c>
      <c r="AA49" s="256" t="e">
        <f>Z49/Y49</f>
        <v>#VALUE!</v>
      </c>
      <c r="AB49" s="575"/>
      <c r="AC49" s="575"/>
      <c r="AD49" s="549" t="s">
        <v>267</v>
      </c>
      <c r="AE49" s="745"/>
      <c r="AF49" s="343" t="s">
        <v>692</v>
      </c>
      <c r="AG49" s="278">
        <v>441</v>
      </c>
      <c r="AH49" s="256" t="e">
        <f>AG49/AF49</f>
        <v>#VALUE!</v>
      </c>
      <c r="AI49" s="613"/>
      <c r="AJ49" s="613"/>
      <c r="AK49" s="549" t="s">
        <v>267</v>
      </c>
      <c r="AL49" s="612"/>
      <c r="AM49" s="288" t="s">
        <v>692</v>
      </c>
      <c r="AN49" s="289" t="s">
        <v>41</v>
      </c>
      <c r="AO49" s="256" t="e">
        <f>AN49/AM49</f>
        <v>#VALUE!</v>
      </c>
      <c r="AP49" s="614"/>
      <c r="AQ49" s="614"/>
      <c r="AR49" s="549" t="s">
        <v>267</v>
      </c>
      <c r="AS49" s="616"/>
      <c r="AT49" s="291">
        <v>12</v>
      </c>
      <c r="AU49" s="292">
        <v>3</v>
      </c>
      <c r="AV49" s="256">
        <f>AU49/AT49</f>
        <v>0.25</v>
      </c>
      <c r="AW49" s="330" t="s">
        <v>856</v>
      </c>
      <c r="AX49" s="330" t="s">
        <v>856</v>
      </c>
      <c r="AY49" s="549" t="s">
        <v>267</v>
      </c>
      <c r="AZ49" s="362" t="s">
        <v>892</v>
      </c>
      <c r="BA49" s="286">
        <v>1</v>
      </c>
      <c r="BB49" s="401">
        <v>4</v>
      </c>
      <c r="BC49" s="256">
        <f>BB49/BA49</f>
        <v>4</v>
      </c>
      <c r="BD49" s="613"/>
      <c r="BE49" s="613"/>
      <c r="BF49" s="549" t="s">
        <v>267</v>
      </c>
      <c r="BG49" s="402" t="s">
        <v>953</v>
      </c>
      <c r="BH49" s="343">
        <v>0.7</v>
      </c>
      <c r="BI49" s="278">
        <v>0</v>
      </c>
      <c r="BJ49" s="14" t="s">
        <v>545</v>
      </c>
      <c r="BK49" s="613"/>
      <c r="BL49" s="613"/>
      <c r="BM49" s="622" t="s">
        <v>267</v>
      </c>
      <c r="BN49" s="301" t="s">
        <v>546</v>
      </c>
      <c r="BO49" s="403">
        <v>1800</v>
      </c>
      <c r="BP49" s="279">
        <v>1361</v>
      </c>
      <c r="BQ49" s="256">
        <f>BP49/BO49</f>
        <v>0.75611111111111107</v>
      </c>
      <c r="BR49" s="575">
        <v>1000000000</v>
      </c>
      <c r="BS49" s="575" t="s">
        <v>470</v>
      </c>
      <c r="BT49" s="549" t="s">
        <v>267</v>
      </c>
      <c r="BU49" s="336" t="s">
        <v>622</v>
      </c>
      <c r="BV49" s="310">
        <v>1</v>
      </c>
      <c r="BW49" s="305">
        <v>1</v>
      </c>
      <c r="BX49" s="256">
        <f>BW49/BV49</f>
        <v>1</v>
      </c>
      <c r="BY49" s="464">
        <f>6000000+10000000</f>
        <v>16000000</v>
      </c>
      <c r="BZ49" s="464">
        <f>6000000+10000000</f>
        <v>16000000</v>
      </c>
      <c r="CA49" s="706">
        <f>BZ49/BY49</f>
        <v>1</v>
      </c>
      <c r="CB49" s="278" t="s">
        <v>1015</v>
      </c>
      <c r="CC49" s="404" t="s">
        <v>1090</v>
      </c>
      <c r="CD49" s="310">
        <v>1</v>
      </c>
      <c r="CE49" s="61">
        <v>1</v>
      </c>
      <c r="CF49" s="259">
        <f>CE49/CD49</f>
        <v>1</v>
      </c>
      <c r="CG49" s="470">
        <f>6000000+10000000</f>
        <v>16000000</v>
      </c>
      <c r="CH49" s="470">
        <f>6000000+10000000</f>
        <v>16000000</v>
      </c>
      <c r="CI49" s="503">
        <f>CH49/CG49</f>
        <v>1</v>
      </c>
      <c r="CJ49" s="85" t="s">
        <v>1015</v>
      </c>
      <c r="CK49" s="419" t="s">
        <v>1122</v>
      </c>
      <c r="CL49" s="61">
        <v>1</v>
      </c>
      <c r="CM49" s="59">
        <v>1</v>
      </c>
      <c r="CN49" s="221">
        <v>1</v>
      </c>
    </row>
    <row r="50" spans="1:92" ht="104.25" customHeight="1" x14ac:dyDescent="0.25">
      <c r="A50" s="561"/>
      <c r="B50" s="445"/>
      <c r="C50" s="558"/>
      <c r="D50" s="548"/>
      <c r="E50" s="445"/>
      <c r="F50" s="47" t="s">
        <v>142</v>
      </c>
      <c r="G50" s="47" t="s">
        <v>124</v>
      </c>
      <c r="H50" s="85" t="s">
        <v>1012</v>
      </c>
      <c r="I50" s="47" t="s">
        <v>143</v>
      </c>
      <c r="J50" s="279" t="s">
        <v>126</v>
      </c>
      <c r="K50" s="549"/>
      <c r="L50" s="549"/>
      <c r="M50" s="549"/>
      <c r="N50" s="549"/>
      <c r="O50" s="549"/>
      <c r="P50" s="549"/>
      <c r="Q50" s="280" t="s">
        <v>126</v>
      </c>
      <c r="R50" s="281" t="s">
        <v>41</v>
      </c>
      <c r="S50" s="579"/>
      <c r="T50" s="579"/>
      <c r="U50" s="579"/>
      <c r="V50" s="579"/>
      <c r="W50" s="549"/>
      <c r="X50" s="282"/>
      <c r="Y50" s="281" t="s">
        <v>41</v>
      </c>
      <c r="Z50" s="283">
        <v>1</v>
      </c>
      <c r="AA50" s="256">
        <v>1</v>
      </c>
      <c r="AB50" s="575"/>
      <c r="AC50" s="575"/>
      <c r="AD50" s="549"/>
      <c r="AE50" s="405" t="s">
        <v>684</v>
      </c>
      <c r="AF50" s="621">
        <v>4</v>
      </c>
      <c r="AG50" s="625">
        <v>0.04</v>
      </c>
      <c r="AH50" s="256">
        <v>1</v>
      </c>
      <c r="AI50" s="613" t="s">
        <v>716</v>
      </c>
      <c r="AJ50" s="613" t="s">
        <v>717</v>
      </c>
      <c r="AK50" s="549"/>
      <c r="AL50" s="616" t="s">
        <v>756</v>
      </c>
      <c r="AM50" s="618">
        <v>5</v>
      </c>
      <c r="AN50" s="508">
        <v>5</v>
      </c>
      <c r="AO50" s="256">
        <v>1</v>
      </c>
      <c r="AP50" s="614" t="s">
        <v>799</v>
      </c>
      <c r="AQ50" s="614" t="s">
        <v>800</v>
      </c>
      <c r="AR50" s="549"/>
      <c r="AS50" s="616" t="s">
        <v>835</v>
      </c>
      <c r="AT50" s="638">
        <v>6</v>
      </c>
      <c r="AU50" s="640">
        <v>3</v>
      </c>
      <c r="AV50" s="256">
        <v>1</v>
      </c>
      <c r="AW50" s="643" t="s">
        <v>856</v>
      </c>
      <c r="AX50" s="643" t="s">
        <v>856</v>
      </c>
      <c r="AY50" s="549"/>
      <c r="AZ50" s="783" t="s">
        <v>893</v>
      </c>
      <c r="BA50" s="288" t="s">
        <v>692</v>
      </c>
      <c r="BB50" s="278">
        <v>200</v>
      </c>
      <c r="BC50" s="256">
        <v>1</v>
      </c>
      <c r="BD50" s="613"/>
      <c r="BE50" s="613"/>
      <c r="BF50" s="549"/>
      <c r="BG50" s="406" t="s">
        <v>954</v>
      </c>
      <c r="BH50" s="390">
        <v>0.15</v>
      </c>
      <c r="BI50" s="376">
        <v>0.1227</v>
      </c>
      <c r="BJ50" s="14">
        <v>1</v>
      </c>
      <c r="BK50" s="613"/>
      <c r="BL50" s="613"/>
      <c r="BM50" s="622"/>
      <c r="BN50" s="406" t="s">
        <v>547</v>
      </c>
      <c r="BO50" s="269">
        <v>0.15</v>
      </c>
      <c r="BP50" s="183">
        <v>0.1227</v>
      </c>
      <c r="BQ50" s="256">
        <v>1</v>
      </c>
      <c r="BR50" s="575"/>
      <c r="BS50" s="575"/>
      <c r="BT50" s="549"/>
      <c r="BU50" s="407" t="s">
        <v>623</v>
      </c>
      <c r="BV50" s="318">
        <v>0.15</v>
      </c>
      <c r="BW50" s="183">
        <v>0.1227</v>
      </c>
      <c r="BX50" s="256">
        <v>1</v>
      </c>
      <c r="BY50" s="465"/>
      <c r="BZ50" s="465"/>
      <c r="CA50" s="707"/>
      <c r="CB50" s="278" t="s">
        <v>1012</v>
      </c>
      <c r="CC50" s="408" t="s">
        <v>1061</v>
      </c>
      <c r="CD50" s="278" t="s">
        <v>983</v>
      </c>
      <c r="CE50" s="58">
        <v>0.1227</v>
      </c>
      <c r="CF50" s="54">
        <v>1</v>
      </c>
      <c r="CG50" s="471"/>
      <c r="CH50" s="471"/>
      <c r="CI50" s="504"/>
      <c r="CJ50" s="85" t="s">
        <v>1012</v>
      </c>
      <c r="CK50" s="438" t="s">
        <v>1149</v>
      </c>
      <c r="CL50" s="279" t="s">
        <v>1039</v>
      </c>
      <c r="CM50" s="214">
        <v>0.1227</v>
      </c>
      <c r="CN50" s="221">
        <v>1</v>
      </c>
    </row>
    <row r="51" spans="1:92" ht="41.25" customHeight="1" x14ac:dyDescent="0.25">
      <c r="A51" s="561"/>
      <c r="B51" s="445"/>
      <c r="C51" s="558"/>
      <c r="D51" s="548" t="s">
        <v>144</v>
      </c>
      <c r="E51" s="516" t="s">
        <v>145</v>
      </c>
      <c r="F51" s="516" t="s">
        <v>444</v>
      </c>
      <c r="G51" s="516" t="s">
        <v>445</v>
      </c>
      <c r="H51" s="454" t="s">
        <v>1016</v>
      </c>
      <c r="I51" s="516">
        <v>1</v>
      </c>
      <c r="J51" s="549" t="s">
        <v>446</v>
      </c>
      <c r="K51" s="549" t="s">
        <v>291</v>
      </c>
      <c r="L51" s="549" t="s">
        <v>385</v>
      </c>
      <c r="M51" s="549" t="s">
        <v>340</v>
      </c>
      <c r="N51" s="549" t="s">
        <v>447</v>
      </c>
      <c r="O51" s="549" t="s">
        <v>341</v>
      </c>
      <c r="P51" s="549" t="s">
        <v>342</v>
      </c>
      <c r="Q51" s="582" t="s">
        <v>446</v>
      </c>
      <c r="R51" s="281" t="s">
        <v>41</v>
      </c>
      <c r="S51" s="584"/>
      <c r="T51" s="584"/>
      <c r="U51" s="584"/>
      <c r="V51" s="584"/>
      <c r="W51" s="549" t="s">
        <v>268</v>
      </c>
      <c r="X51" s="282"/>
      <c r="Y51" s="281" t="s">
        <v>41</v>
      </c>
      <c r="Z51" s="283" t="s">
        <v>37</v>
      </c>
      <c r="AA51" s="488" t="e">
        <f>Z51/Y51</f>
        <v>#VALUE!</v>
      </c>
      <c r="AB51" s="575"/>
      <c r="AC51" s="575"/>
      <c r="AD51" s="549" t="s">
        <v>268</v>
      </c>
      <c r="AE51" s="285" t="s">
        <v>685</v>
      </c>
      <c r="AF51" s="621"/>
      <c r="AG51" s="625"/>
      <c r="AH51" s="488" t="e">
        <f>AG51/AF51</f>
        <v>#DIV/0!</v>
      </c>
      <c r="AI51" s="613"/>
      <c r="AJ51" s="613"/>
      <c r="AK51" s="549" t="s">
        <v>268</v>
      </c>
      <c r="AL51" s="616"/>
      <c r="AM51" s="618"/>
      <c r="AN51" s="508"/>
      <c r="AO51" s="488" t="e">
        <f>AN51/AM51</f>
        <v>#DIV/0!</v>
      </c>
      <c r="AP51" s="614"/>
      <c r="AQ51" s="614"/>
      <c r="AR51" s="549" t="s">
        <v>268</v>
      </c>
      <c r="AS51" s="616"/>
      <c r="AT51" s="638"/>
      <c r="AU51" s="640"/>
      <c r="AV51" s="488" t="e">
        <f>AU51/AT51</f>
        <v>#DIV/0!</v>
      </c>
      <c r="AW51" s="643"/>
      <c r="AX51" s="643"/>
      <c r="AY51" s="549" t="s">
        <v>268</v>
      </c>
      <c r="AZ51" s="783"/>
      <c r="BA51" s="621">
        <v>1</v>
      </c>
      <c r="BB51" s="622" t="s">
        <v>915</v>
      </c>
      <c r="BC51" s="488" t="e">
        <f>BB51/BA51</f>
        <v>#VALUE!</v>
      </c>
      <c r="BD51" s="613">
        <v>562895700</v>
      </c>
      <c r="BE51" s="613">
        <v>256575255</v>
      </c>
      <c r="BF51" s="549" t="s">
        <v>268</v>
      </c>
      <c r="BG51" s="616" t="s">
        <v>955</v>
      </c>
      <c r="BH51" s="603">
        <v>0.01</v>
      </c>
      <c r="BI51" s="663">
        <v>0</v>
      </c>
      <c r="BJ51" s="663">
        <f>BI51/BH51</f>
        <v>0</v>
      </c>
      <c r="BK51" s="613">
        <v>3000000</v>
      </c>
      <c r="BL51" s="613">
        <v>3000000</v>
      </c>
      <c r="BM51" s="622" t="s">
        <v>268</v>
      </c>
      <c r="BN51" s="677" t="s">
        <v>1041</v>
      </c>
      <c r="BO51" s="681">
        <v>0.01</v>
      </c>
      <c r="BP51" s="488">
        <v>0.01</v>
      </c>
      <c r="BQ51" s="488">
        <f>BP51/BO51</f>
        <v>1</v>
      </c>
      <c r="BR51" s="575">
        <v>3000000</v>
      </c>
      <c r="BS51" s="575">
        <v>3000000</v>
      </c>
      <c r="BT51" s="549" t="s">
        <v>268</v>
      </c>
      <c r="BU51" s="684" t="s">
        <v>624</v>
      </c>
      <c r="BV51" s="486">
        <v>0.01</v>
      </c>
      <c r="BW51" s="488">
        <v>0.01</v>
      </c>
      <c r="BX51" s="488">
        <f>BW51/BV51</f>
        <v>1</v>
      </c>
      <c r="BY51" s="464">
        <f>3800000+5600000</f>
        <v>9400000</v>
      </c>
      <c r="BZ51" s="464">
        <f>3800000+3000000+5600000</f>
        <v>12400000</v>
      </c>
      <c r="CA51" s="706">
        <v>1</v>
      </c>
      <c r="CB51" s="494" t="s">
        <v>1016</v>
      </c>
      <c r="CC51" s="714" t="s">
        <v>1062</v>
      </c>
      <c r="CD51" s="486">
        <v>0.01</v>
      </c>
      <c r="CE51" s="488">
        <v>0.01</v>
      </c>
      <c r="CF51" s="446">
        <f>CE51/CD51</f>
        <v>1</v>
      </c>
      <c r="CG51" s="470">
        <f>3800000+5600000</f>
        <v>9400000</v>
      </c>
      <c r="CH51" s="470">
        <f>3800000+3000000+5600000</f>
        <v>12400000</v>
      </c>
      <c r="CI51" s="440">
        <v>1</v>
      </c>
      <c r="CJ51" s="454" t="s">
        <v>1016</v>
      </c>
      <c r="CK51" s="505" t="s">
        <v>1123</v>
      </c>
      <c r="CL51" s="445" t="s">
        <v>446</v>
      </c>
      <c r="CM51" s="706">
        <v>0.01</v>
      </c>
      <c r="CN51" s="440">
        <v>1</v>
      </c>
    </row>
    <row r="52" spans="1:92" ht="76.5" customHeight="1" x14ac:dyDescent="0.25">
      <c r="A52" s="561"/>
      <c r="B52" s="445"/>
      <c r="C52" s="558"/>
      <c r="D52" s="548"/>
      <c r="E52" s="516"/>
      <c r="F52" s="516"/>
      <c r="G52" s="516"/>
      <c r="H52" s="477"/>
      <c r="I52" s="516"/>
      <c r="J52" s="549"/>
      <c r="K52" s="549"/>
      <c r="L52" s="549"/>
      <c r="M52" s="549"/>
      <c r="N52" s="549"/>
      <c r="O52" s="549"/>
      <c r="P52" s="549"/>
      <c r="Q52" s="582"/>
      <c r="R52" s="281" t="s">
        <v>41</v>
      </c>
      <c r="S52" s="579"/>
      <c r="T52" s="579"/>
      <c r="U52" s="579"/>
      <c r="V52" s="579"/>
      <c r="W52" s="549"/>
      <c r="X52" s="583"/>
      <c r="Y52" s="281" t="s">
        <v>41</v>
      </c>
      <c r="Z52" s="283" t="s">
        <v>37</v>
      </c>
      <c r="AA52" s="488"/>
      <c r="AB52" s="575"/>
      <c r="AC52" s="575"/>
      <c r="AD52" s="549"/>
      <c r="AE52" s="745" t="s">
        <v>686</v>
      </c>
      <c r="AF52" s="603" t="s">
        <v>693</v>
      </c>
      <c r="AG52" s="615" t="s">
        <v>693</v>
      </c>
      <c r="AH52" s="488"/>
      <c r="AI52" s="613" t="s">
        <v>703</v>
      </c>
      <c r="AJ52" s="613" t="s">
        <v>704</v>
      </c>
      <c r="AK52" s="549"/>
      <c r="AL52" s="612" t="s">
        <v>757</v>
      </c>
      <c r="AM52" s="621" t="s">
        <v>693</v>
      </c>
      <c r="AN52" s="622" t="s">
        <v>693</v>
      </c>
      <c r="AO52" s="488"/>
      <c r="AP52" s="613" t="s">
        <v>801</v>
      </c>
      <c r="AQ52" s="753">
        <v>23220000</v>
      </c>
      <c r="AR52" s="549"/>
      <c r="AS52" s="612" t="s">
        <v>836</v>
      </c>
      <c r="AT52" s="638">
        <v>1</v>
      </c>
      <c r="AU52" s="640">
        <v>1</v>
      </c>
      <c r="AV52" s="488"/>
      <c r="AW52" s="643" t="s">
        <v>856</v>
      </c>
      <c r="AX52" s="643" t="s">
        <v>856</v>
      </c>
      <c r="AY52" s="549"/>
      <c r="AZ52" s="784" t="s">
        <v>894</v>
      </c>
      <c r="BA52" s="621"/>
      <c r="BB52" s="622"/>
      <c r="BC52" s="488"/>
      <c r="BD52" s="613"/>
      <c r="BE52" s="613"/>
      <c r="BF52" s="549"/>
      <c r="BG52" s="616"/>
      <c r="BH52" s="621"/>
      <c r="BI52" s="663"/>
      <c r="BJ52" s="663"/>
      <c r="BK52" s="613"/>
      <c r="BL52" s="613"/>
      <c r="BM52" s="622"/>
      <c r="BN52" s="648"/>
      <c r="BO52" s="681"/>
      <c r="BP52" s="488"/>
      <c r="BQ52" s="488"/>
      <c r="BR52" s="575"/>
      <c r="BS52" s="575"/>
      <c r="BT52" s="549"/>
      <c r="BU52" s="662"/>
      <c r="BV52" s="487"/>
      <c r="BW52" s="488"/>
      <c r="BX52" s="488"/>
      <c r="BY52" s="465"/>
      <c r="BZ52" s="465"/>
      <c r="CA52" s="707"/>
      <c r="CB52" s="495"/>
      <c r="CC52" s="703"/>
      <c r="CD52" s="487"/>
      <c r="CE52" s="488"/>
      <c r="CF52" s="446"/>
      <c r="CG52" s="471"/>
      <c r="CH52" s="471"/>
      <c r="CI52" s="453"/>
      <c r="CJ52" s="477"/>
      <c r="CK52" s="493"/>
      <c r="CL52" s="445"/>
      <c r="CM52" s="707"/>
      <c r="CN52" s="453"/>
    </row>
    <row r="53" spans="1:92" ht="60" customHeight="1" x14ac:dyDescent="0.25">
      <c r="A53" s="561"/>
      <c r="B53" s="445"/>
      <c r="C53" s="558"/>
      <c r="D53" s="548" t="s">
        <v>146</v>
      </c>
      <c r="E53" s="445" t="s">
        <v>147</v>
      </c>
      <c r="F53" s="445" t="s">
        <v>148</v>
      </c>
      <c r="G53" s="445" t="s">
        <v>149</v>
      </c>
      <c r="H53" s="454" t="s">
        <v>1017</v>
      </c>
      <c r="I53" s="445" t="s">
        <v>37</v>
      </c>
      <c r="J53" s="559">
        <v>1</v>
      </c>
      <c r="K53" s="549" t="s">
        <v>291</v>
      </c>
      <c r="L53" s="549" t="s">
        <v>328</v>
      </c>
      <c r="M53" s="549">
        <v>1905021</v>
      </c>
      <c r="N53" s="549" t="s">
        <v>343</v>
      </c>
      <c r="O53" s="549">
        <v>190502100</v>
      </c>
      <c r="P53" s="549" t="s">
        <v>344</v>
      </c>
      <c r="Q53" s="581">
        <v>1</v>
      </c>
      <c r="R53" s="281" t="s">
        <v>41</v>
      </c>
      <c r="S53" s="579"/>
      <c r="T53" s="579"/>
      <c r="U53" s="579"/>
      <c r="V53" s="579"/>
      <c r="W53" s="549" t="s">
        <v>260</v>
      </c>
      <c r="X53" s="583"/>
      <c r="Y53" s="281" t="s">
        <v>41</v>
      </c>
      <c r="Z53" s="283" t="s">
        <v>37</v>
      </c>
      <c r="AA53" s="488">
        <v>1</v>
      </c>
      <c r="AB53" s="575"/>
      <c r="AC53" s="575"/>
      <c r="AD53" s="549" t="s">
        <v>260</v>
      </c>
      <c r="AE53" s="745"/>
      <c r="AF53" s="603"/>
      <c r="AG53" s="615"/>
      <c r="AH53" s="488">
        <v>1</v>
      </c>
      <c r="AI53" s="613"/>
      <c r="AJ53" s="613"/>
      <c r="AK53" s="549" t="s">
        <v>260</v>
      </c>
      <c r="AL53" s="612"/>
      <c r="AM53" s="621"/>
      <c r="AN53" s="622"/>
      <c r="AO53" s="488">
        <v>1</v>
      </c>
      <c r="AP53" s="613"/>
      <c r="AQ53" s="622"/>
      <c r="AR53" s="549" t="s">
        <v>260</v>
      </c>
      <c r="AS53" s="612"/>
      <c r="AT53" s="638"/>
      <c r="AU53" s="640"/>
      <c r="AV53" s="488">
        <v>1</v>
      </c>
      <c r="AW53" s="643"/>
      <c r="AX53" s="643"/>
      <c r="AY53" s="549" t="s">
        <v>260</v>
      </c>
      <c r="AZ53" s="784"/>
      <c r="BA53" s="649">
        <v>1</v>
      </c>
      <c r="BB53" s="622">
        <v>1</v>
      </c>
      <c r="BC53" s="488">
        <v>1</v>
      </c>
      <c r="BD53" s="613"/>
      <c r="BE53" s="613"/>
      <c r="BF53" s="549" t="s">
        <v>260</v>
      </c>
      <c r="BG53" s="616" t="s">
        <v>948</v>
      </c>
      <c r="BH53" s="685">
        <v>0.7</v>
      </c>
      <c r="BI53" s="663">
        <v>0</v>
      </c>
      <c r="BJ53" s="663">
        <f>BI53/BH53*1</f>
        <v>0</v>
      </c>
      <c r="BK53" s="613"/>
      <c r="BL53" s="613"/>
      <c r="BM53" s="622" t="s">
        <v>260</v>
      </c>
      <c r="BN53" s="648" t="s">
        <v>548</v>
      </c>
      <c r="BO53" s="686">
        <v>0.8</v>
      </c>
      <c r="BP53" s="488">
        <v>1</v>
      </c>
      <c r="BQ53" s="488">
        <v>1</v>
      </c>
      <c r="BR53" s="575">
        <v>0</v>
      </c>
      <c r="BS53" s="575">
        <v>2285000</v>
      </c>
      <c r="BT53" s="549" t="s">
        <v>260</v>
      </c>
      <c r="BU53" s="662" t="s">
        <v>625</v>
      </c>
      <c r="BV53" s="486">
        <v>0.9</v>
      </c>
      <c r="BW53" s="488">
        <v>1</v>
      </c>
      <c r="BX53" s="488">
        <v>1</v>
      </c>
      <c r="BY53" s="575">
        <v>135994000</v>
      </c>
      <c r="BZ53" s="575">
        <v>117200000</v>
      </c>
      <c r="CA53" s="706">
        <f>BZ53/BY53</f>
        <v>0.86180272659087898</v>
      </c>
      <c r="CB53" s="494" t="s">
        <v>1017</v>
      </c>
      <c r="CC53" s="702" t="s">
        <v>1063</v>
      </c>
      <c r="CD53" s="486">
        <v>1</v>
      </c>
      <c r="CE53" s="488">
        <v>1</v>
      </c>
      <c r="CF53" s="489">
        <v>1</v>
      </c>
      <c r="CG53" s="476">
        <f>135994000+10200000+1500000</f>
        <v>147694000</v>
      </c>
      <c r="CH53" s="476">
        <f>117200000+10200000+1500000</f>
        <v>128900000</v>
      </c>
      <c r="CI53" s="490">
        <f>CH53/CG53</f>
        <v>0.87275041640147877</v>
      </c>
      <c r="CJ53" s="454" t="s">
        <v>1017</v>
      </c>
      <c r="CK53" s="457" t="s">
        <v>1124</v>
      </c>
      <c r="CL53" s="481">
        <v>1</v>
      </c>
      <c r="CM53" s="706">
        <v>1</v>
      </c>
      <c r="CN53" s="446">
        <v>1</v>
      </c>
    </row>
    <row r="54" spans="1:92" ht="144.75" customHeight="1" x14ac:dyDescent="0.25">
      <c r="A54" s="561"/>
      <c r="B54" s="47" t="s">
        <v>98</v>
      </c>
      <c r="C54" s="107" t="s">
        <v>99</v>
      </c>
      <c r="D54" s="548"/>
      <c r="E54" s="445"/>
      <c r="F54" s="445"/>
      <c r="G54" s="445"/>
      <c r="H54" s="477"/>
      <c r="I54" s="445"/>
      <c r="J54" s="559"/>
      <c r="K54" s="549"/>
      <c r="L54" s="549"/>
      <c r="M54" s="549"/>
      <c r="N54" s="549"/>
      <c r="O54" s="549"/>
      <c r="P54" s="549"/>
      <c r="Q54" s="581"/>
      <c r="R54" s="281" t="s">
        <v>41</v>
      </c>
      <c r="S54" s="579"/>
      <c r="T54" s="579"/>
      <c r="U54" s="579"/>
      <c r="V54" s="579"/>
      <c r="W54" s="549"/>
      <c r="X54" s="583"/>
      <c r="Y54" s="281" t="s">
        <v>41</v>
      </c>
      <c r="Z54" s="283" t="s">
        <v>37</v>
      </c>
      <c r="AA54" s="488"/>
      <c r="AB54" s="575"/>
      <c r="AC54" s="575"/>
      <c r="AD54" s="549"/>
      <c r="AE54" s="745"/>
      <c r="AF54" s="286">
        <v>0.2</v>
      </c>
      <c r="AG54" s="278">
        <v>0</v>
      </c>
      <c r="AH54" s="488"/>
      <c r="AI54" s="613" t="s">
        <v>718</v>
      </c>
      <c r="AJ54" s="613" t="s">
        <v>719</v>
      </c>
      <c r="AK54" s="549"/>
      <c r="AL54" s="616" t="s">
        <v>758</v>
      </c>
      <c r="AM54" s="288">
        <v>0.4</v>
      </c>
      <c r="AN54" s="289" t="s">
        <v>41</v>
      </c>
      <c r="AO54" s="488"/>
      <c r="AP54" s="613" t="s">
        <v>802</v>
      </c>
      <c r="AQ54" s="613" t="s">
        <v>803</v>
      </c>
      <c r="AR54" s="549"/>
      <c r="AS54" s="616" t="s">
        <v>837</v>
      </c>
      <c r="AT54" s="291">
        <v>0.6</v>
      </c>
      <c r="AU54" s="292">
        <v>0.15</v>
      </c>
      <c r="AV54" s="488"/>
      <c r="AW54" s="330" t="s">
        <v>856</v>
      </c>
      <c r="AX54" s="330" t="s">
        <v>856</v>
      </c>
      <c r="AY54" s="549"/>
      <c r="AZ54" s="362" t="s">
        <v>895</v>
      </c>
      <c r="BA54" s="649"/>
      <c r="BB54" s="622"/>
      <c r="BC54" s="488"/>
      <c r="BD54" s="613"/>
      <c r="BE54" s="613"/>
      <c r="BF54" s="549"/>
      <c r="BG54" s="616"/>
      <c r="BH54" s="649"/>
      <c r="BI54" s="663"/>
      <c r="BJ54" s="663"/>
      <c r="BK54" s="613"/>
      <c r="BL54" s="613"/>
      <c r="BM54" s="622"/>
      <c r="BN54" s="648"/>
      <c r="BO54" s="687"/>
      <c r="BP54" s="488"/>
      <c r="BQ54" s="488"/>
      <c r="BR54" s="575"/>
      <c r="BS54" s="575"/>
      <c r="BT54" s="549"/>
      <c r="BU54" s="662"/>
      <c r="BV54" s="487"/>
      <c r="BW54" s="488"/>
      <c r="BX54" s="488"/>
      <c r="BY54" s="575"/>
      <c r="BZ54" s="464"/>
      <c r="CA54" s="707"/>
      <c r="CB54" s="495"/>
      <c r="CC54" s="711"/>
      <c r="CD54" s="487"/>
      <c r="CE54" s="488"/>
      <c r="CF54" s="489"/>
      <c r="CG54" s="476"/>
      <c r="CH54" s="470"/>
      <c r="CI54" s="491"/>
      <c r="CJ54" s="477"/>
      <c r="CK54" s="458"/>
      <c r="CL54" s="481"/>
      <c r="CM54" s="707"/>
      <c r="CN54" s="446"/>
    </row>
    <row r="55" spans="1:92" ht="44.25" customHeight="1" x14ac:dyDescent="0.25">
      <c r="A55" s="561"/>
      <c r="B55" s="445" t="s">
        <v>150</v>
      </c>
      <c r="C55" s="558" t="s">
        <v>99</v>
      </c>
      <c r="D55" s="548" t="s">
        <v>151</v>
      </c>
      <c r="E55" s="445" t="s">
        <v>455</v>
      </c>
      <c r="F55" s="47" t="s">
        <v>152</v>
      </c>
      <c r="G55" s="47" t="s">
        <v>153</v>
      </c>
      <c r="H55" s="85" t="s">
        <v>1018</v>
      </c>
      <c r="I55" s="47" t="s">
        <v>154</v>
      </c>
      <c r="J55" s="279" t="s">
        <v>155</v>
      </c>
      <c r="K55" s="549" t="s">
        <v>291</v>
      </c>
      <c r="L55" s="549" t="s">
        <v>328</v>
      </c>
      <c r="M55" s="549">
        <v>1905020</v>
      </c>
      <c r="N55" s="549" t="s">
        <v>345</v>
      </c>
      <c r="O55" s="549">
        <v>190502000</v>
      </c>
      <c r="P55" s="549" t="s">
        <v>346</v>
      </c>
      <c r="Q55" s="280" t="s">
        <v>155</v>
      </c>
      <c r="R55" s="281">
        <v>100</v>
      </c>
      <c r="S55" s="584"/>
      <c r="T55" s="584"/>
      <c r="U55" s="584"/>
      <c r="V55" s="584"/>
      <c r="W55" s="275" t="s">
        <v>282</v>
      </c>
      <c r="X55" s="282" t="s">
        <v>499</v>
      </c>
      <c r="Y55" s="281">
        <v>100</v>
      </c>
      <c r="Z55" s="308">
        <v>0.1</v>
      </c>
      <c r="AA55" s="256">
        <v>0.52939999999999998</v>
      </c>
      <c r="AB55" s="575"/>
      <c r="AC55" s="575"/>
      <c r="AD55" s="275" t="s">
        <v>282</v>
      </c>
      <c r="AE55" s="285" t="s">
        <v>687</v>
      </c>
      <c r="AF55" s="603">
        <v>0.16</v>
      </c>
      <c r="AG55" s="622">
        <v>0</v>
      </c>
      <c r="AH55" s="256">
        <v>0.52939999999999998</v>
      </c>
      <c r="AI55" s="613"/>
      <c r="AJ55" s="613"/>
      <c r="AK55" s="275" t="s">
        <v>282</v>
      </c>
      <c r="AL55" s="616"/>
      <c r="AM55" s="747">
        <v>0.15</v>
      </c>
      <c r="AN55" s="748" t="s">
        <v>41</v>
      </c>
      <c r="AO55" s="256">
        <v>0.52939999999999998</v>
      </c>
      <c r="AP55" s="614"/>
      <c r="AQ55" s="614"/>
      <c r="AR55" s="275" t="s">
        <v>282</v>
      </c>
      <c r="AS55" s="616"/>
      <c r="AT55" s="637">
        <v>0.15</v>
      </c>
      <c r="AU55" s="639">
        <v>0.15</v>
      </c>
      <c r="AV55" s="256">
        <v>0.52939999999999998</v>
      </c>
      <c r="AW55" s="643">
        <v>38000000</v>
      </c>
      <c r="AX55" s="643">
        <v>35720000</v>
      </c>
      <c r="AY55" s="275" t="s">
        <v>282</v>
      </c>
      <c r="AZ55" s="779" t="s">
        <v>896</v>
      </c>
      <c r="BA55" s="409">
        <v>12</v>
      </c>
      <c r="BB55" s="300">
        <v>7</v>
      </c>
      <c r="BC55" s="256">
        <v>0.52939999999999998</v>
      </c>
      <c r="BD55" s="410"/>
      <c r="BE55" s="410"/>
      <c r="BF55" s="275" t="s">
        <v>282</v>
      </c>
      <c r="BG55" s="293" t="s">
        <v>956</v>
      </c>
      <c r="BH55" s="286" t="s">
        <v>419</v>
      </c>
      <c r="BI55" s="351">
        <v>6.8000000000000005E-2</v>
      </c>
      <c r="BJ55" s="14">
        <v>0</v>
      </c>
      <c r="BK55" s="613"/>
      <c r="BL55" s="613"/>
      <c r="BM55" s="300" t="s">
        <v>282</v>
      </c>
      <c r="BN55" s="648" t="s">
        <v>549</v>
      </c>
      <c r="BO55" s="342" t="s">
        <v>419</v>
      </c>
      <c r="BP55" s="352">
        <v>6.8000000000000005E-2</v>
      </c>
      <c r="BQ55" s="256">
        <v>0.52939999999999998</v>
      </c>
      <c r="BR55" s="575">
        <v>13200000</v>
      </c>
      <c r="BS55" s="575">
        <v>3300000</v>
      </c>
      <c r="BT55" s="275" t="s">
        <v>282</v>
      </c>
      <c r="BU55" s="662" t="s">
        <v>626</v>
      </c>
      <c r="BV55" s="278" t="s">
        <v>984</v>
      </c>
      <c r="BW55" s="352">
        <v>6.8000000000000005E-2</v>
      </c>
      <c r="BX55" s="256">
        <v>0.52939999999999998</v>
      </c>
      <c r="BY55" s="464">
        <v>2885000</v>
      </c>
      <c r="BZ55" s="464">
        <v>2885000</v>
      </c>
      <c r="CA55" s="792">
        <f>BZ55/BY55</f>
        <v>1</v>
      </c>
      <c r="CB55" s="278" t="s">
        <v>1018</v>
      </c>
      <c r="CC55" s="702" t="s">
        <v>1064</v>
      </c>
      <c r="CD55" s="278" t="s">
        <v>984</v>
      </c>
      <c r="CE55" s="36">
        <v>6.8000000000000005E-2</v>
      </c>
      <c r="CF55" s="40">
        <v>0.52939999999999998</v>
      </c>
      <c r="CG55" s="470">
        <f>2885000+1500000</f>
        <v>4385000</v>
      </c>
      <c r="CH55" s="470">
        <f>2885000+1500000</f>
        <v>4385000</v>
      </c>
      <c r="CI55" s="466">
        <f>CH55/CG55</f>
        <v>1</v>
      </c>
      <c r="CJ55" s="85" t="s">
        <v>1018</v>
      </c>
      <c r="CK55" s="457" t="s">
        <v>1125</v>
      </c>
      <c r="CL55" s="47" t="s">
        <v>155</v>
      </c>
      <c r="CM55" s="36">
        <v>6.8000000000000005E-2</v>
      </c>
      <c r="CN55" s="60">
        <v>0</v>
      </c>
    </row>
    <row r="56" spans="1:92" ht="47.25" customHeight="1" x14ac:dyDescent="0.25">
      <c r="A56" s="561"/>
      <c r="B56" s="445"/>
      <c r="C56" s="558"/>
      <c r="D56" s="548"/>
      <c r="E56" s="445"/>
      <c r="F56" s="445" t="s">
        <v>156</v>
      </c>
      <c r="G56" s="445" t="s">
        <v>153</v>
      </c>
      <c r="H56" s="454" t="s">
        <v>1012</v>
      </c>
      <c r="I56" s="445" t="s">
        <v>157</v>
      </c>
      <c r="J56" s="549" t="s">
        <v>155</v>
      </c>
      <c r="K56" s="549"/>
      <c r="L56" s="549"/>
      <c r="M56" s="549"/>
      <c r="N56" s="549"/>
      <c r="O56" s="549"/>
      <c r="P56" s="549"/>
      <c r="Q56" s="582" t="s">
        <v>155</v>
      </c>
      <c r="R56" s="281" t="s">
        <v>41</v>
      </c>
      <c r="S56" s="579"/>
      <c r="T56" s="579"/>
      <c r="U56" s="579"/>
      <c r="V56" s="579"/>
      <c r="W56" s="549"/>
      <c r="X56" s="583"/>
      <c r="Y56" s="281" t="s">
        <v>41</v>
      </c>
      <c r="Z56" s="283">
        <v>1</v>
      </c>
      <c r="AA56" s="488">
        <v>0.52939999999999998</v>
      </c>
      <c r="AB56" s="575"/>
      <c r="AC56" s="575"/>
      <c r="AD56" s="549"/>
      <c r="AE56" s="745" t="s">
        <v>688</v>
      </c>
      <c r="AF56" s="603"/>
      <c r="AG56" s="622"/>
      <c r="AH56" s="488">
        <v>0.52939999999999998</v>
      </c>
      <c r="AI56" s="613"/>
      <c r="AJ56" s="613"/>
      <c r="AK56" s="549"/>
      <c r="AL56" s="616"/>
      <c r="AM56" s="747"/>
      <c r="AN56" s="748"/>
      <c r="AO56" s="488">
        <v>0.52939999999999998</v>
      </c>
      <c r="AP56" s="614"/>
      <c r="AQ56" s="614"/>
      <c r="AR56" s="549"/>
      <c r="AS56" s="616"/>
      <c r="AT56" s="637"/>
      <c r="AU56" s="639"/>
      <c r="AV56" s="488">
        <v>0.52939999999999998</v>
      </c>
      <c r="AW56" s="643"/>
      <c r="AX56" s="643"/>
      <c r="AY56" s="549"/>
      <c r="AZ56" s="779"/>
      <c r="BA56" s="621"/>
      <c r="BB56" s="622"/>
      <c r="BC56" s="488">
        <v>0.52939999999999998</v>
      </c>
      <c r="BD56" s="613"/>
      <c r="BE56" s="613"/>
      <c r="BF56" s="549"/>
      <c r="BG56" s="616" t="s">
        <v>957</v>
      </c>
      <c r="BH56" s="621" t="s">
        <v>419</v>
      </c>
      <c r="BI56" s="625">
        <v>6.8000000000000005E-2</v>
      </c>
      <c r="BJ56" s="663">
        <v>0</v>
      </c>
      <c r="BK56" s="613"/>
      <c r="BL56" s="613"/>
      <c r="BM56" s="622"/>
      <c r="BN56" s="648"/>
      <c r="BO56" s="665" t="s">
        <v>419</v>
      </c>
      <c r="BP56" s="675">
        <v>6.8000000000000005E-2</v>
      </c>
      <c r="BQ56" s="488">
        <v>0.52939999999999998</v>
      </c>
      <c r="BR56" s="575"/>
      <c r="BS56" s="575"/>
      <c r="BT56" s="549"/>
      <c r="BU56" s="662"/>
      <c r="BV56" s="494" t="s">
        <v>984</v>
      </c>
      <c r="BW56" s="675">
        <v>6.8000000000000005E-2</v>
      </c>
      <c r="BX56" s="488">
        <v>0.52939999999999998</v>
      </c>
      <c r="BY56" s="709"/>
      <c r="BZ56" s="709"/>
      <c r="CA56" s="793"/>
      <c r="CB56" s="494" t="s">
        <v>1012</v>
      </c>
      <c r="CC56" s="711"/>
      <c r="CD56" s="494" t="s">
        <v>984</v>
      </c>
      <c r="CE56" s="496">
        <v>6.8000000000000005E-2</v>
      </c>
      <c r="CF56" s="461">
        <v>0.52939999999999998</v>
      </c>
      <c r="CG56" s="492"/>
      <c r="CH56" s="492"/>
      <c r="CI56" s="482"/>
      <c r="CJ56" s="454" t="s">
        <v>1012</v>
      </c>
      <c r="CK56" s="458"/>
      <c r="CL56" s="445" t="s">
        <v>155</v>
      </c>
      <c r="CM56" s="817">
        <v>6.8000000000000005E-2</v>
      </c>
      <c r="CN56" s="503">
        <v>0</v>
      </c>
    </row>
    <row r="57" spans="1:92" ht="35.25" customHeight="1" x14ac:dyDescent="0.25">
      <c r="A57" s="561"/>
      <c r="B57" s="445"/>
      <c r="C57" s="558"/>
      <c r="D57" s="548"/>
      <c r="E57" s="445"/>
      <c r="F57" s="445"/>
      <c r="G57" s="445"/>
      <c r="H57" s="477"/>
      <c r="I57" s="445"/>
      <c r="J57" s="549"/>
      <c r="K57" s="549"/>
      <c r="L57" s="549"/>
      <c r="M57" s="549"/>
      <c r="N57" s="549"/>
      <c r="O57" s="549"/>
      <c r="P57" s="549"/>
      <c r="Q57" s="582"/>
      <c r="R57" s="281" t="s">
        <v>41</v>
      </c>
      <c r="S57" s="579"/>
      <c r="T57" s="579"/>
      <c r="U57" s="579"/>
      <c r="V57" s="579"/>
      <c r="W57" s="549"/>
      <c r="X57" s="583"/>
      <c r="Y57" s="281" t="s">
        <v>41</v>
      </c>
      <c r="Z57" s="584">
        <v>1</v>
      </c>
      <c r="AA57" s="488"/>
      <c r="AB57" s="575"/>
      <c r="AC57" s="575"/>
      <c r="AD57" s="549"/>
      <c r="AE57" s="745"/>
      <c r="AF57" s="286" t="s">
        <v>693</v>
      </c>
      <c r="AG57" s="278" t="s">
        <v>693</v>
      </c>
      <c r="AH57" s="488"/>
      <c r="AI57" s="294" t="s">
        <v>703</v>
      </c>
      <c r="AJ57" s="294" t="s">
        <v>704</v>
      </c>
      <c r="AK57" s="549"/>
      <c r="AL57" s="290" t="s">
        <v>759</v>
      </c>
      <c r="AM57" s="364" t="s">
        <v>693</v>
      </c>
      <c r="AN57" s="394" t="s">
        <v>693</v>
      </c>
      <c r="AO57" s="488"/>
      <c r="AP57" s="294" t="s">
        <v>801</v>
      </c>
      <c r="AQ57" s="294">
        <v>22400000</v>
      </c>
      <c r="AR57" s="549"/>
      <c r="AS57" s="411" t="s">
        <v>838</v>
      </c>
      <c r="AT57" s="291">
        <v>1</v>
      </c>
      <c r="AU57" s="292">
        <v>1</v>
      </c>
      <c r="AV57" s="488"/>
      <c r="AW57" s="330" t="s">
        <v>856</v>
      </c>
      <c r="AX57" s="330" t="s">
        <v>856</v>
      </c>
      <c r="AY57" s="549"/>
      <c r="AZ57" s="412" t="s">
        <v>897</v>
      </c>
      <c r="BA57" s="621"/>
      <c r="BB57" s="622"/>
      <c r="BC57" s="488"/>
      <c r="BD57" s="613"/>
      <c r="BE57" s="613"/>
      <c r="BF57" s="549"/>
      <c r="BG57" s="616"/>
      <c r="BH57" s="621"/>
      <c r="BI57" s="622"/>
      <c r="BJ57" s="663"/>
      <c r="BK57" s="613"/>
      <c r="BL57" s="613"/>
      <c r="BM57" s="622"/>
      <c r="BN57" s="648"/>
      <c r="BO57" s="665"/>
      <c r="BP57" s="549"/>
      <c r="BQ57" s="488"/>
      <c r="BR57" s="575"/>
      <c r="BS57" s="575"/>
      <c r="BT57" s="549"/>
      <c r="BU57" s="662"/>
      <c r="BV57" s="495"/>
      <c r="BW57" s="549"/>
      <c r="BX57" s="488"/>
      <c r="BY57" s="465"/>
      <c r="BZ57" s="465"/>
      <c r="CA57" s="794"/>
      <c r="CB57" s="495"/>
      <c r="CC57" s="703"/>
      <c r="CD57" s="495"/>
      <c r="CE57" s="445"/>
      <c r="CF57" s="461"/>
      <c r="CG57" s="471"/>
      <c r="CH57" s="471"/>
      <c r="CI57" s="473"/>
      <c r="CJ57" s="477"/>
      <c r="CK57" s="493"/>
      <c r="CL57" s="445"/>
      <c r="CM57" s="804"/>
      <c r="CN57" s="504"/>
    </row>
    <row r="58" spans="1:92" ht="198.75" customHeight="1" x14ac:dyDescent="0.25">
      <c r="A58" s="561"/>
      <c r="B58" s="445"/>
      <c r="C58" s="558"/>
      <c r="D58" s="111" t="s">
        <v>158</v>
      </c>
      <c r="E58" s="47" t="s">
        <v>159</v>
      </c>
      <c r="F58" s="47" t="s">
        <v>160</v>
      </c>
      <c r="G58" s="47" t="s">
        <v>161</v>
      </c>
      <c r="H58" s="85" t="s">
        <v>1019</v>
      </c>
      <c r="I58" s="47" t="s">
        <v>162</v>
      </c>
      <c r="J58" s="279" t="s">
        <v>163</v>
      </c>
      <c r="K58" s="279" t="s">
        <v>291</v>
      </c>
      <c r="L58" s="279" t="s">
        <v>347</v>
      </c>
      <c r="M58" s="279" t="s">
        <v>326</v>
      </c>
      <c r="N58" s="279" t="s">
        <v>388</v>
      </c>
      <c r="O58" s="279" t="s">
        <v>327</v>
      </c>
      <c r="P58" s="279" t="s">
        <v>391</v>
      </c>
      <c r="Q58" s="280" t="s">
        <v>163</v>
      </c>
      <c r="R58" s="281" t="s">
        <v>41</v>
      </c>
      <c r="S58" s="579"/>
      <c r="T58" s="579"/>
      <c r="U58" s="579"/>
      <c r="V58" s="579"/>
      <c r="W58" s="279" t="s">
        <v>275</v>
      </c>
      <c r="X58" s="583"/>
      <c r="Y58" s="281" t="s">
        <v>41</v>
      </c>
      <c r="Z58" s="584"/>
      <c r="AA58" s="256">
        <v>1</v>
      </c>
      <c r="AB58" s="272"/>
      <c r="AC58" s="272"/>
      <c r="AD58" s="279" t="s">
        <v>275</v>
      </c>
      <c r="AE58" s="745"/>
      <c r="AF58" s="343">
        <v>0.9</v>
      </c>
      <c r="AG58" s="318">
        <v>1</v>
      </c>
      <c r="AH58" s="256">
        <v>1</v>
      </c>
      <c r="AI58" s="294" t="s">
        <v>705</v>
      </c>
      <c r="AJ58" s="294" t="s">
        <v>706</v>
      </c>
      <c r="AK58" s="279" t="s">
        <v>275</v>
      </c>
      <c r="AL58" s="287" t="s">
        <v>760</v>
      </c>
      <c r="AM58" s="309">
        <v>0.95</v>
      </c>
      <c r="AN58" s="310">
        <v>0.95</v>
      </c>
      <c r="AO58" s="256">
        <v>1</v>
      </c>
      <c r="AP58" s="124" t="s">
        <v>804</v>
      </c>
      <c r="AQ58" s="124" t="s">
        <v>805</v>
      </c>
      <c r="AR58" s="279" t="s">
        <v>275</v>
      </c>
      <c r="AS58" s="311" t="s">
        <v>839</v>
      </c>
      <c r="AT58" s="413">
        <v>1</v>
      </c>
      <c r="AU58" s="414">
        <v>1</v>
      </c>
      <c r="AV58" s="256">
        <v>1</v>
      </c>
      <c r="AW58" s="330" t="s">
        <v>856</v>
      </c>
      <c r="AX58" s="330" t="s">
        <v>856</v>
      </c>
      <c r="AY58" s="279" t="s">
        <v>275</v>
      </c>
      <c r="AZ58" s="415" t="s">
        <v>1034</v>
      </c>
      <c r="BA58" s="286">
        <v>390</v>
      </c>
      <c r="BB58" s="278">
        <v>556</v>
      </c>
      <c r="BC58" s="256">
        <v>1</v>
      </c>
      <c r="BD58" s="294">
        <v>0</v>
      </c>
      <c r="BE58" s="294">
        <v>0</v>
      </c>
      <c r="BF58" s="279" t="s">
        <v>275</v>
      </c>
      <c r="BG58" s="290" t="s">
        <v>958</v>
      </c>
      <c r="BH58" s="286" t="s">
        <v>420</v>
      </c>
      <c r="BI58" s="187">
        <v>4358</v>
      </c>
      <c r="BJ58" s="14">
        <v>1</v>
      </c>
      <c r="BK58" s="294"/>
      <c r="BL58" s="294"/>
      <c r="BM58" s="278" t="s">
        <v>275</v>
      </c>
      <c r="BN58" s="357" t="s">
        <v>550</v>
      </c>
      <c r="BO58" s="342" t="s">
        <v>420</v>
      </c>
      <c r="BP58" s="188">
        <v>4358</v>
      </c>
      <c r="BQ58" s="256">
        <v>1</v>
      </c>
      <c r="BR58" s="272"/>
      <c r="BS58" s="272"/>
      <c r="BT58" s="279" t="s">
        <v>275</v>
      </c>
      <c r="BU58" s="302" t="s">
        <v>627</v>
      </c>
      <c r="BV58" s="416">
        <v>1150</v>
      </c>
      <c r="BW58" s="188">
        <v>4358</v>
      </c>
      <c r="BX58" s="256">
        <v>0</v>
      </c>
      <c r="BY58" s="274">
        <f>10000000+624000+
11170350+
135994000+
624000</f>
        <v>158412350</v>
      </c>
      <c r="BZ58" s="274">
        <f>10000000+624000+
22340700+
546239083+
624000</f>
        <v>579827783</v>
      </c>
      <c r="CA58" s="268">
        <v>1</v>
      </c>
      <c r="CB58" s="278" t="s">
        <v>1019</v>
      </c>
      <c r="CC58" s="417" t="s">
        <v>1084</v>
      </c>
      <c r="CD58" s="368">
        <v>1100</v>
      </c>
      <c r="CE58" s="188">
        <v>4358</v>
      </c>
      <c r="CF58" s="42">
        <v>0</v>
      </c>
      <c r="CG58" s="274">
        <f>23454000+10000000+624000+1500000+
22340700+
546239083+
624000+9775000</f>
        <v>614556783</v>
      </c>
      <c r="CH58" s="427">
        <f>41044500+10000000+624000+1500000+
11170350+
135994000+
624000+44965000</f>
        <v>245921850</v>
      </c>
      <c r="CI58" s="230">
        <f>CH58/CG58</f>
        <v>0.40016131430445867</v>
      </c>
      <c r="CJ58" s="85" t="s">
        <v>1019</v>
      </c>
      <c r="CK58" s="277" t="s">
        <v>1126</v>
      </c>
      <c r="CL58" s="47" t="s">
        <v>163</v>
      </c>
      <c r="CM58" s="217">
        <v>4358</v>
      </c>
      <c r="CN58" s="230">
        <v>0</v>
      </c>
    </row>
    <row r="59" spans="1:92" ht="205.5" customHeight="1" x14ac:dyDescent="0.25">
      <c r="A59" s="561"/>
      <c r="B59" s="445" t="s">
        <v>164</v>
      </c>
      <c r="C59" s="558" t="s">
        <v>165</v>
      </c>
      <c r="D59" s="111" t="s">
        <v>166</v>
      </c>
      <c r="E59" s="47" t="s">
        <v>167</v>
      </c>
      <c r="F59" s="47" t="s">
        <v>168</v>
      </c>
      <c r="G59" s="47" t="s">
        <v>169</v>
      </c>
      <c r="H59" s="85" t="s">
        <v>1020</v>
      </c>
      <c r="I59" s="47" t="s">
        <v>170</v>
      </c>
      <c r="J59" s="47" t="s">
        <v>171</v>
      </c>
      <c r="K59" s="57" t="s">
        <v>291</v>
      </c>
      <c r="L59" s="57" t="s">
        <v>323</v>
      </c>
      <c r="M59" s="57">
        <v>4301037</v>
      </c>
      <c r="N59" s="57" t="s">
        <v>324</v>
      </c>
      <c r="O59" s="57">
        <v>430103704</v>
      </c>
      <c r="P59" s="57" t="s">
        <v>325</v>
      </c>
      <c r="Q59" s="109" t="s">
        <v>171</v>
      </c>
      <c r="R59" s="92" t="s">
        <v>41</v>
      </c>
      <c r="S59" s="594"/>
      <c r="T59" s="594"/>
      <c r="U59" s="594"/>
      <c r="V59" s="594"/>
      <c r="W59" s="59" t="s">
        <v>262</v>
      </c>
      <c r="X59" s="608"/>
      <c r="Y59" s="92" t="s">
        <v>41</v>
      </c>
      <c r="Z59" s="90">
        <v>0</v>
      </c>
      <c r="AA59" s="54">
        <v>1</v>
      </c>
      <c r="AB59" s="55"/>
      <c r="AC59" s="55"/>
      <c r="AD59" s="59" t="s">
        <v>262</v>
      </c>
      <c r="AE59" s="589" t="s">
        <v>689</v>
      </c>
      <c r="AF59" s="177">
        <v>1</v>
      </c>
      <c r="AG59" s="85">
        <v>1</v>
      </c>
      <c r="AH59" s="54">
        <v>1</v>
      </c>
      <c r="AI59" s="628" t="s">
        <v>720</v>
      </c>
      <c r="AJ59" s="628" t="s">
        <v>721</v>
      </c>
      <c r="AK59" s="59" t="s">
        <v>262</v>
      </c>
      <c r="AL59" s="192" t="s">
        <v>761</v>
      </c>
      <c r="AM59" s="147">
        <v>1</v>
      </c>
      <c r="AN59" s="68">
        <v>1</v>
      </c>
      <c r="AO59" s="54">
        <v>1</v>
      </c>
      <c r="AP59" s="754" t="s">
        <v>806</v>
      </c>
      <c r="AQ59" s="543" t="s">
        <v>807</v>
      </c>
      <c r="AR59" s="59" t="s">
        <v>262</v>
      </c>
      <c r="AS59" s="629" t="s">
        <v>840</v>
      </c>
      <c r="AT59" s="755">
        <v>1</v>
      </c>
      <c r="AU59" s="756">
        <v>1</v>
      </c>
      <c r="AV59" s="54">
        <v>1</v>
      </c>
      <c r="AW59" s="766" t="s">
        <v>856</v>
      </c>
      <c r="AX59" s="768" t="s">
        <v>856</v>
      </c>
      <c r="AY59" s="59" t="s">
        <v>262</v>
      </c>
      <c r="AZ59" s="774" t="s">
        <v>898</v>
      </c>
      <c r="BA59" s="148">
        <v>1</v>
      </c>
      <c r="BB59" s="74">
        <v>1</v>
      </c>
      <c r="BC59" s="54">
        <v>1</v>
      </c>
      <c r="BD59" s="73" t="s">
        <v>928</v>
      </c>
      <c r="BE59" s="73">
        <v>31112000</v>
      </c>
      <c r="BF59" s="59" t="s">
        <v>262</v>
      </c>
      <c r="BG59" s="142" t="s">
        <v>959</v>
      </c>
      <c r="BH59" s="152"/>
      <c r="BI59" s="74">
        <v>1</v>
      </c>
      <c r="BJ59" s="75">
        <v>0</v>
      </c>
      <c r="BK59" s="73" t="s">
        <v>551</v>
      </c>
      <c r="BL59" s="73" t="s">
        <v>552</v>
      </c>
      <c r="BM59" s="78" t="s">
        <v>262</v>
      </c>
      <c r="BN59" s="142" t="s">
        <v>553</v>
      </c>
      <c r="BO59" s="139"/>
      <c r="BP59" s="47">
        <v>666</v>
      </c>
      <c r="BQ59" s="54">
        <v>1</v>
      </c>
      <c r="BR59" s="55">
        <v>42833333</v>
      </c>
      <c r="BS59" s="55" t="s">
        <v>628</v>
      </c>
      <c r="BT59" s="59" t="s">
        <v>262</v>
      </c>
      <c r="BU59" s="137" t="s">
        <v>629</v>
      </c>
      <c r="BV59" s="263">
        <v>90</v>
      </c>
      <c r="BW59" s="47">
        <v>692</v>
      </c>
      <c r="BX59" s="54">
        <v>1</v>
      </c>
      <c r="BY59" s="228">
        <f>20878000000+495000000+177000000</f>
        <v>21550000000</v>
      </c>
      <c r="BZ59" s="228">
        <f>8878000000+177000000+495000000</f>
        <v>9550000000</v>
      </c>
      <c r="CA59" s="207">
        <f>BZ59/BY59</f>
        <v>0.44315545243619492</v>
      </c>
      <c r="CB59" s="85" t="s">
        <v>1020</v>
      </c>
      <c r="CC59" s="253" t="s">
        <v>1065</v>
      </c>
      <c r="CD59" s="234">
        <v>90</v>
      </c>
      <c r="CE59" s="279">
        <f>692+4</f>
        <v>696</v>
      </c>
      <c r="CF59" s="54">
        <v>1</v>
      </c>
      <c r="CG59" s="228">
        <f>20878000000+495000000+177000000+5000000+1020000+5165000</f>
        <v>21561185000</v>
      </c>
      <c r="CH59" s="430">
        <f>8878000000+177000000+495000000+5000000+10200000+5165000</f>
        <v>9570365000</v>
      </c>
      <c r="CI59" s="207">
        <f>CH59/CG59</f>
        <v>0.44387008413498608</v>
      </c>
      <c r="CJ59" s="85" t="s">
        <v>1020</v>
      </c>
      <c r="CK59" s="418" t="s">
        <v>1150</v>
      </c>
      <c r="CL59" s="47">
        <v>90</v>
      </c>
      <c r="CM59" s="215">
        <v>696</v>
      </c>
      <c r="CN59" s="207">
        <v>1</v>
      </c>
    </row>
    <row r="60" spans="1:92" ht="106.5" customHeight="1" x14ac:dyDescent="0.25">
      <c r="A60" s="561"/>
      <c r="B60" s="445"/>
      <c r="C60" s="558"/>
      <c r="D60" s="548" t="s">
        <v>172</v>
      </c>
      <c r="E60" s="445" t="s">
        <v>173</v>
      </c>
      <c r="F60" s="47" t="s">
        <v>174</v>
      </c>
      <c r="G60" s="47" t="s">
        <v>169</v>
      </c>
      <c r="H60" s="85" t="s">
        <v>1020</v>
      </c>
      <c r="I60" s="32" t="s">
        <v>170</v>
      </c>
      <c r="J60" s="47" t="s">
        <v>171</v>
      </c>
      <c r="K60" s="516" t="s">
        <v>291</v>
      </c>
      <c r="L60" s="516" t="s">
        <v>348</v>
      </c>
      <c r="M60" s="445">
        <v>4302075</v>
      </c>
      <c r="N60" s="445" t="s">
        <v>349</v>
      </c>
      <c r="O60" s="445">
        <v>430207500</v>
      </c>
      <c r="P60" s="445" t="s">
        <v>350</v>
      </c>
      <c r="Q60" s="109" t="s">
        <v>171</v>
      </c>
      <c r="R60" s="92">
        <v>0</v>
      </c>
      <c r="S60" s="595"/>
      <c r="T60" s="595"/>
      <c r="U60" s="595"/>
      <c r="V60" s="595"/>
      <c r="W60" s="516" t="s">
        <v>269</v>
      </c>
      <c r="X60" s="608"/>
      <c r="Y60" s="92" t="s">
        <v>41</v>
      </c>
      <c r="Z60" s="91">
        <v>0.1</v>
      </c>
      <c r="AA60" s="42" t="e">
        <f>Z60/Y60</f>
        <v>#VALUE!</v>
      </c>
      <c r="AB60" s="476"/>
      <c r="AC60" s="476"/>
      <c r="AD60" s="516" t="s">
        <v>269</v>
      </c>
      <c r="AE60" s="589"/>
      <c r="AF60" s="177">
        <v>1</v>
      </c>
      <c r="AG60" s="85">
        <v>1</v>
      </c>
      <c r="AH60" s="42">
        <f>AG60/AF60</f>
        <v>1</v>
      </c>
      <c r="AI60" s="628"/>
      <c r="AJ60" s="628"/>
      <c r="AK60" s="516" t="s">
        <v>269</v>
      </c>
      <c r="AL60" s="192" t="s">
        <v>761</v>
      </c>
      <c r="AM60" s="147">
        <v>1</v>
      </c>
      <c r="AN60" s="68">
        <v>1</v>
      </c>
      <c r="AO60" s="42">
        <f>AN60/AM60</f>
        <v>1</v>
      </c>
      <c r="AP60" s="635"/>
      <c r="AQ60" s="635"/>
      <c r="AR60" s="516" t="s">
        <v>269</v>
      </c>
      <c r="AS60" s="629"/>
      <c r="AT60" s="755"/>
      <c r="AU60" s="756"/>
      <c r="AV60" s="42" t="e">
        <f>AU60/AT60</f>
        <v>#DIV/0!</v>
      </c>
      <c r="AW60" s="764"/>
      <c r="AX60" s="767"/>
      <c r="AY60" s="516" t="s">
        <v>269</v>
      </c>
      <c r="AZ60" s="774"/>
      <c r="BA60" s="148">
        <v>20</v>
      </c>
      <c r="BB60" s="74">
        <v>923</v>
      </c>
      <c r="BC60" s="42">
        <f>BB60/BA60</f>
        <v>46.15</v>
      </c>
      <c r="BD60" s="650" t="s">
        <v>928</v>
      </c>
      <c r="BE60" s="82">
        <v>623661206</v>
      </c>
      <c r="BF60" s="516" t="s">
        <v>269</v>
      </c>
      <c r="BG60" s="142" t="s">
        <v>960</v>
      </c>
      <c r="BH60" s="149">
        <v>0.7</v>
      </c>
      <c r="BI60" s="80">
        <f>6/12</f>
        <v>0.5</v>
      </c>
      <c r="BJ60" s="81">
        <f>BI60/BH60</f>
        <v>0.7142857142857143</v>
      </c>
      <c r="BK60" s="650" t="s">
        <v>554</v>
      </c>
      <c r="BL60" s="650" t="s">
        <v>555</v>
      </c>
      <c r="BM60" s="653" t="s">
        <v>269</v>
      </c>
      <c r="BN60" s="142" t="s">
        <v>556</v>
      </c>
      <c r="BO60" s="140">
        <v>80</v>
      </c>
      <c r="BP60" s="41">
        <v>69</v>
      </c>
      <c r="BQ60" s="42">
        <f>BP60/BO60</f>
        <v>0.86250000000000004</v>
      </c>
      <c r="BR60" s="476">
        <v>132200000</v>
      </c>
      <c r="BS60" s="476" t="s">
        <v>630</v>
      </c>
      <c r="BT60" s="516" t="s">
        <v>269</v>
      </c>
      <c r="BU60" s="137" t="s">
        <v>631</v>
      </c>
      <c r="BV60" s="118">
        <v>0.8</v>
      </c>
      <c r="BW60" s="56">
        <v>0.69</v>
      </c>
      <c r="BX60" s="42">
        <f>BW60/BV60</f>
        <v>0.86249999999999993</v>
      </c>
      <c r="BY60" s="470">
        <f>44580000+233685000+
12834828+177000000</f>
        <v>468099828</v>
      </c>
      <c r="BZ60" s="470">
        <f>44580000+233685000+
12834828+
177000000</f>
        <v>468099828</v>
      </c>
      <c r="CA60" s="490">
        <f>BZ60/BY60</f>
        <v>1</v>
      </c>
      <c r="CB60" s="85" t="s">
        <v>1020</v>
      </c>
      <c r="CC60" s="253" t="s">
        <v>1097</v>
      </c>
      <c r="CD60" s="234">
        <v>80</v>
      </c>
      <c r="CE60" s="265">
        <v>115</v>
      </c>
      <c r="CF60" s="42">
        <v>1</v>
      </c>
      <c r="CG60" s="470">
        <f>44580000+233685000+242000000+121000000+
12834828+177000000+(2067255637*0.34)+278428571</f>
        <v>1812395315.5799999</v>
      </c>
      <c r="CH60" s="470">
        <f>44580000+233685000+278428571+278428571+242000000+121000000+
12834828+
177000000+(265643218*0.34)</f>
        <v>1478275664.1199999</v>
      </c>
      <c r="CI60" s="490">
        <f>CH60/CG60</f>
        <v>0.81564747569816154</v>
      </c>
      <c r="CJ60" s="85" t="s">
        <v>1020</v>
      </c>
      <c r="CK60" s="418" t="s">
        <v>1127</v>
      </c>
      <c r="CL60" s="47" t="s">
        <v>171</v>
      </c>
      <c r="CM60" s="41">
        <v>69</v>
      </c>
      <c r="CN60" s="42">
        <v>0.69</v>
      </c>
    </row>
    <row r="61" spans="1:92" ht="48" customHeight="1" x14ac:dyDescent="0.25">
      <c r="A61" s="561"/>
      <c r="B61" s="445"/>
      <c r="C61" s="558"/>
      <c r="D61" s="548"/>
      <c r="E61" s="445"/>
      <c r="F61" s="47" t="s">
        <v>175</v>
      </c>
      <c r="G61" s="47" t="s">
        <v>169</v>
      </c>
      <c r="H61" s="85" t="s">
        <v>1020</v>
      </c>
      <c r="I61" s="32" t="s">
        <v>170</v>
      </c>
      <c r="J61" s="47" t="s">
        <v>171</v>
      </c>
      <c r="K61" s="516"/>
      <c r="L61" s="516"/>
      <c r="M61" s="445"/>
      <c r="N61" s="445"/>
      <c r="O61" s="445"/>
      <c r="P61" s="445"/>
      <c r="Q61" s="109" t="s">
        <v>171</v>
      </c>
      <c r="R61" s="92">
        <v>0</v>
      </c>
      <c r="S61" s="595"/>
      <c r="T61" s="595"/>
      <c r="U61" s="595"/>
      <c r="V61" s="595"/>
      <c r="W61" s="516"/>
      <c r="X61" s="608"/>
      <c r="Y61" s="92" t="s">
        <v>41</v>
      </c>
      <c r="Z61" s="90">
        <v>1</v>
      </c>
      <c r="AA61" s="42" t="e">
        <f>Z61/Y61</f>
        <v>#VALUE!</v>
      </c>
      <c r="AB61" s="476"/>
      <c r="AC61" s="510"/>
      <c r="AD61" s="516"/>
      <c r="AE61" s="589"/>
      <c r="AF61" s="177" t="s">
        <v>693</v>
      </c>
      <c r="AG61" s="85" t="s">
        <v>693</v>
      </c>
      <c r="AH61" s="42" t="e">
        <f>AG61/AF61</f>
        <v>#VALUE!</v>
      </c>
      <c r="AI61" s="628">
        <v>16300000</v>
      </c>
      <c r="AJ61" s="628">
        <v>14433333</v>
      </c>
      <c r="AK61" s="516"/>
      <c r="AL61" s="192" t="s">
        <v>762</v>
      </c>
      <c r="AM61" s="177" t="s">
        <v>693</v>
      </c>
      <c r="AN61" s="85" t="s">
        <v>693</v>
      </c>
      <c r="AO61" s="42" t="e">
        <f>AN61/AM61</f>
        <v>#VALUE!</v>
      </c>
      <c r="AP61" s="754">
        <v>363307447</v>
      </c>
      <c r="AQ61" s="754">
        <v>73250000</v>
      </c>
      <c r="AR61" s="516"/>
      <c r="AS61" s="629" t="s">
        <v>841</v>
      </c>
      <c r="AT61" s="171">
        <v>1</v>
      </c>
      <c r="AU61" s="125">
        <v>1</v>
      </c>
      <c r="AV61" s="42">
        <f>AU61/AT61</f>
        <v>1</v>
      </c>
      <c r="AW61" s="181" t="s">
        <v>856</v>
      </c>
      <c r="AX61" s="181" t="s">
        <v>856</v>
      </c>
      <c r="AY61" s="516"/>
      <c r="AZ61" s="176" t="s">
        <v>899</v>
      </c>
      <c r="BA61" s="148">
        <v>20</v>
      </c>
      <c r="BB61" s="74">
        <f>20+1755</f>
        <v>1775</v>
      </c>
      <c r="BC61" s="42">
        <f>BB61/BA61</f>
        <v>88.75</v>
      </c>
      <c r="BD61" s="650"/>
      <c r="BE61" s="82">
        <v>75485000</v>
      </c>
      <c r="BF61" s="516"/>
      <c r="BG61" s="142" t="s">
        <v>961</v>
      </c>
      <c r="BH61" s="149">
        <v>0.7</v>
      </c>
      <c r="BI61" s="74">
        <v>0</v>
      </c>
      <c r="BJ61" s="81">
        <v>0</v>
      </c>
      <c r="BK61" s="650"/>
      <c r="BL61" s="688"/>
      <c r="BM61" s="653"/>
      <c r="BN61" s="142" t="s">
        <v>557</v>
      </c>
      <c r="BO61" s="140">
        <v>80</v>
      </c>
      <c r="BP61" s="41">
        <v>69</v>
      </c>
      <c r="BQ61" s="42">
        <f>BP61/BO61</f>
        <v>0.86250000000000004</v>
      </c>
      <c r="BR61" s="476"/>
      <c r="BS61" s="510"/>
      <c r="BT61" s="516"/>
      <c r="BU61" s="137" t="s">
        <v>632</v>
      </c>
      <c r="BV61" s="118">
        <v>0.9</v>
      </c>
      <c r="BW61" s="56">
        <v>0.69</v>
      </c>
      <c r="BX61" s="42">
        <f>BW61/BV61</f>
        <v>0.76666666666666661</v>
      </c>
      <c r="BY61" s="471"/>
      <c r="BZ61" s="497"/>
      <c r="CA61" s="491"/>
      <c r="CB61" s="85" t="s">
        <v>1020</v>
      </c>
      <c r="CC61" s="249" t="s">
        <v>1066</v>
      </c>
      <c r="CD61" s="234">
        <v>90</v>
      </c>
      <c r="CE61" s="265">
        <v>20</v>
      </c>
      <c r="CF61" s="42">
        <f>CE61/CD61</f>
        <v>0.22222222222222221</v>
      </c>
      <c r="CG61" s="471"/>
      <c r="CH61" s="497"/>
      <c r="CI61" s="491"/>
      <c r="CJ61" s="85" t="s">
        <v>1020</v>
      </c>
      <c r="CK61" s="419" t="s">
        <v>1128</v>
      </c>
      <c r="CL61" s="47" t="s">
        <v>171</v>
      </c>
      <c r="CM61" s="41">
        <v>69</v>
      </c>
      <c r="CN61" s="40">
        <v>0.69</v>
      </c>
    </row>
    <row r="62" spans="1:92" ht="327.75" customHeight="1" x14ac:dyDescent="0.25">
      <c r="A62" s="561"/>
      <c r="B62" s="445"/>
      <c r="C62" s="558"/>
      <c r="D62" s="548" t="s">
        <v>176</v>
      </c>
      <c r="E62" s="445" t="s">
        <v>177</v>
      </c>
      <c r="F62" s="47" t="s">
        <v>178</v>
      </c>
      <c r="G62" s="47" t="s">
        <v>179</v>
      </c>
      <c r="H62" s="85" t="s">
        <v>1021</v>
      </c>
      <c r="I62" s="279" t="s">
        <v>170</v>
      </c>
      <c r="J62" s="47" t="s">
        <v>180</v>
      </c>
      <c r="K62" s="516" t="s">
        <v>291</v>
      </c>
      <c r="L62" s="516" t="s">
        <v>323</v>
      </c>
      <c r="M62" s="516">
        <v>4301037</v>
      </c>
      <c r="N62" s="516" t="s">
        <v>324</v>
      </c>
      <c r="O62" s="516">
        <v>430103704</v>
      </c>
      <c r="P62" s="516" t="s">
        <v>325</v>
      </c>
      <c r="Q62" s="109" t="s">
        <v>180</v>
      </c>
      <c r="R62" s="92"/>
      <c r="S62" s="596"/>
      <c r="T62" s="596">
        <v>0</v>
      </c>
      <c r="U62" s="596"/>
      <c r="V62" s="596" t="s">
        <v>500</v>
      </c>
      <c r="W62" s="516" t="s">
        <v>270</v>
      </c>
      <c r="X62" s="608" t="s">
        <v>501</v>
      </c>
      <c r="Y62" s="92"/>
      <c r="Z62" s="90">
        <v>5</v>
      </c>
      <c r="AA62" s="40">
        <v>1</v>
      </c>
      <c r="AB62" s="476"/>
      <c r="AC62" s="592"/>
      <c r="AD62" s="516" t="s">
        <v>270</v>
      </c>
      <c r="AE62" s="589" t="s">
        <v>690</v>
      </c>
      <c r="AF62" s="177" t="s">
        <v>693</v>
      </c>
      <c r="AG62" s="85" t="s">
        <v>693</v>
      </c>
      <c r="AH62" s="40">
        <v>1</v>
      </c>
      <c r="AI62" s="628"/>
      <c r="AJ62" s="628"/>
      <c r="AK62" s="516" t="s">
        <v>270</v>
      </c>
      <c r="AL62" s="192" t="s">
        <v>762</v>
      </c>
      <c r="AM62" s="177" t="s">
        <v>693</v>
      </c>
      <c r="AN62" s="85" t="s">
        <v>693</v>
      </c>
      <c r="AO62" s="40">
        <v>1</v>
      </c>
      <c r="AP62" s="543"/>
      <c r="AQ62" s="543"/>
      <c r="AR62" s="516" t="s">
        <v>270</v>
      </c>
      <c r="AS62" s="629"/>
      <c r="AT62" s="171">
        <v>1</v>
      </c>
      <c r="AU62" s="125">
        <v>1</v>
      </c>
      <c r="AV62" s="40">
        <v>1</v>
      </c>
      <c r="AW62" s="181" t="s">
        <v>856</v>
      </c>
      <c r="AX62" s="181" t="s">
        <v>856</v>
      </c>
      <c r="AY62" s="516" t="s">
        <v>270</v>
      </c>
      <c r="AZ62" s="175" t="s">
        <v>900</v>
      </c>
      <c r="BA62" s="148">
        <v>13</v>
      </c>
      <c r="BB62" s="74">
        <v>13</v>
      </c>
      <c r="BC62" s="40">
        <v>1</v>
      </c>
      <c r="BD62" s="650"/>
      <c r="BE62" s="650">
        <v>181115580</v>
      </c>
      <c r="BF62" s="516" t="s">
        <v>270</v>
      </c>
      <c r="BG62" s="142" t="s">
        <v>962</v>
      </c>
      <c r="BH62" s="149">
        <v>0.14000000000000001</v>
      </c>
      <c r="BI62" s="74">
        <v>0</v>
      </c>
      <c r="BJ62" s="77">
        <v>0</v>
      </c>
      <c r="BK62" s="82"/>
      <c r="BL62" s="689"/>
      <c r="BM62" s="653" t="s">
        <v>270</v>
      </c>
      <c r="BN62" s="142" t="s">
        <v>558</v>
      </c>
      <c r="BO62" s="134">
        <v>0.16</v>
      </c>
      <c r="BP62" s="59">
        <v>0.2</v>
      </c>
      <c r="BQ62" s="40">
        <v>1</v>
      </c>
      <c r="BR62" s="476" t="s">
        <v>459</v>
      </c>
      <c r="BS62" s="592" t="s">
        <v>633</v>
      </c>
      <c r="BT62" s="516" t="s">
        <v>270</v>
      </c>
      <c r="BU62" s="142" t="s">
        <v>634</v>
      </c>
      <c r="BV62" s="118">
        <v>0.18</v>
      </c>
      <c r="BW62" s="59" t="s">
        <v>1088</v>
      </c>
      <c r="BX62" s="40">
        <v>1</v>
      </c>
      <c r="BY62" s="470">
        <f>1468000000+5250000+
9500000+260366700+90000000</f>
        <v>1833116700</v>
      </c>
      <c r="BZ62" s="592">
        <f>546239083+5250000+9500000+169238355+90000000</f>
        <v>820227438</v>
      </c>
      <c r="CA62" s="466">
        <f>BZ62/BY62</f>
        <v>0.44744965664215486</v>
      </c>
      <c r="CB62" s="85" t="s">
        <v>1021</v>
      </c>
      <c r="CC62" s="253" t="s">
        <v>1089</v>
      </c>
      <c r="CD62" s="87">
        <v>0.2</v>
      </c>
      <c r="CE62" s="59" t="s">
        <v>1088</v>
      </c>
      <c r="CF62" s="40">
        <v>1</v>
      </c>
      <c r="CG62" s="470">
        <f>1468000000+5250000+278428571+278428571+121000000+
9500000+260366700+90000000+(2067255637*0.34)+37200000</f>
        <v>3251040758.5799999</v>
      </c>
      <c r="CH62" s="472">
        <f>546239083+5250000+9500000+121000000+169238355+90000000+(265643218*0.34)+37200000+278428571</f>
        <v>1347174703.1199999</v>
      </c>
      <c r="CI62" s="466">
        <f>CH62/CG62</f>
        <v>0.41438259411685235</v>
      </c>
      <c r="CJ62" s="85" t="s">
        <v>1021</v>
      </c>
      <c r="CK62" s="418" t="s">
        <v>1129</v>
      </c>
      <c r="CL62" s="57" t="s">
        <v>180</v>
      </c>
      <c r="CM62" s="59" t="s">
        <v>1088</v>
      </c>
      <c r="CN62" s="216">
        <v>1</v>
      </c>
    </row>
    <row r="63" spans="1:92" ht="297.75" customHeight="1" x14ac:dyDescent="0.25">
      <c r="A63" s="561"/>
      <c r="B63" s="445"/>
      <c r="C63" s="558"/>
      <c r="D63" s="548"/>
      <c r="E63" s="445"/>
      <c r="F63" s="47" t="s">
        <v>181</v>
      </c>
      <c r="G63" s="47" t="s">
        <v>179</v>
      </c>
      <c r="H63" s="85" t="s">
        <v>1021</v>
      </c>
      <c r="I63" s="47" t="s">
        <v>182</v>
      </c>
      <c r="J63" s="47" t="s">
        <v>180</v>
      </c>
      <c r="K63" s="516"/>
      <c r="L63" s="516"/>
      <c r="M63" s="516"/>
      <c r="N63" s="516"/>
      <c r="O63" s="516"/>
      <c r="P63" s="516"/>
      <c r="Q63" s="109" t="s">
        <v>180</v>
      </c>
      <c r="R63" s="92"/>
      <c r="S63" s="597"/>
      <c r="T63" s="597"/>
      <c r="U63" s="597"/>
      <c r="V63" s="597"/>
      <c r="W63" s="516"/>
      <c r="X63" s="608"/>
      <c r="Y63" s="92"/>
      <c r="Z63" s="90">
        <v>0</v>
      </c>
      <c r="AA63" s="60">
        <v>0</v>
      </c>
      <c r="AB63" s="476"/>
      <c r="AC63" s="509"/>
      <c r="AD63" s="516"/>
      <c r="AE63" s="589"/>
      <c r="AF63" s="177">
        <v>1</v>
      </c>
      <c r="AG63" s="85">
        <v>1</v>
      </c>
      <c r="AH63" s="60">
        <v>0</v>
      </c>
      <c r="AI63" s="69" t="s">
        <v>722</v>
      </c>
      <c r="AJ63" s="69" t="s">
        <v>722</v>
      </c>
      <c r="AK63" s="516"/>
      <c r="AL63" s="192" t="s">
        <v>763</v>
      </c>
      <c r="AM63" s="147">
        <v>1</v>
      </c>
      <c r="AN63" s="68">
        <v>1</v>
      </c>
      <c r="AO63" s="60">
        <v>0</v>
      </c>
      <c r="AP63" s="69" t="s">
        <v>808</v>
      </c>
      <c r="AQ63" s="69" t="s">
        <v>808</v>
      </c>
      <c r="AR63" s="516"/>
      <c r="AS63" s="163" t="s">
        <v>842</v>
      </c>
      <c r="AT63" s="171">
        <v>1</v>
      </c>
      <c r="AU63" s="125">
        <v>1</v>
      </c>
      <c r="AV63" s="60">
        <v>0</v>
      </c>
      <c r="AW63" s="181" t="s">
        <v>856</v>
      </c>
      <c r="AX63" s="181" t="s">
        <v>856</v>
      </c>
      <c r="AY63" s="516"/>
      <c r="AZ63" s="174" t="s">
        <v>901</v>
      </c>
      <c r="BA63" s="148">
        <v>1</v>
      </c>
      <c r="BB63" s="74">
        <v>1</v>
      </c>
      <c r="BC63" s="60">
        <v>0</v>
      </c>
      <c r="BD63" s="650"/>
      <c r="BE63" s="650"/>
      <c r="BF63" s="516"/>
      <c r="BG63" s="142" t="s">
        <v>963</v>
      </c>
      <c r="BH63" s="149">
        <v>0.14000000000000001</v>
      </c>
      <c r="BI63" s="74">
        <v>0</v>
      </c>
      <c r="BJ63" s="77">
        <v>0</v>
      </c>
      <c r="BK63" s="80"/>
      <c r="BL63" s="689"/>
      <c r="BM63" s="653"/>
      <c r="BN63" s="142" t="s">
        <v>1035</v>
      </c>
      <c r="BO63" s="134">
        <v>0.16</v>
      </c>
      <c r="BP63" s="57">
        <v>0</v>
      </c>
      <c r="BQ63" s="60">
        <v>0</v>
      </c>
      <c r="BR63" s="476"/>
      <c r="BS63" s="509"/>
      <c r="BT63" s="516"/>
      <c r="BU63" s="142" t="s">
        <v>1036</v>
      </c>
      <c r="BV63" s="118">
        <v>0.18</v>
      </c>
      <c r="BW63" s="59">
        <v>0.79</v>
      </c>
      <c r="BX63" s="60">
        <v>1</v>
      </c>
      <c r="BY63" s="471"/>
      <c r="BZ63" s="509"/>
      <c r="CA63" s="473"/>
      <c r="CB63" s="85" t="s">
        <v>1021</v>
      </c>
      <c r="CC63" s="253" t="s">
        <v>1087</v>
      </c>
      <c r="CD63" s="87">
        <v>0.2</v>
      </c>
      <c r="CE63" s="59">
        <v>0.79</v>
      </c>
      <c r="CF63" s="60">
        <v>1</v>
      </c>
      <c r="CG63" s="471"/>
      <c r="CH63" s="472"/>
      <c r="CI63" s="473"/>
      <c r="CJ63" s="85" t="s">
        <v>1021</v>
      </c>
      <c r="CK63" s="418" t="s">
        <v>1130</v>
      </c>
      <c r="CL63" s="47" t="s">
        <v>180</v>
      </c>
      <c r="CM63" s="61">
        <v>0.3</v>
      </c>
      <c r="CN63" s="230">
        <v>1</v>
      </c>
    </row>
    <row r="64" spans="1:92" ht="148.5" customHeight="1" x14ac:dyDescent="0.25">
      <c r="A64" s="561"/>
      <c r="B64" s="445"/>
      <c r="C64" s="558"/>
      <c r="D64" s="111" t="s">
        <v>183</v>
      </c>
      <c r="E64" s="47" t="s">
        <v>184</v>
      </c>
      <c r="F64" s="32" t="s">
        <v>185</v>
      </c>
      <c r="G64" s="47" t="s">
        <v>186</v>
      </c>
      <c r="H64" s="85" t="s">
        <v>1022</v>
      </c>
      <c r="I64" s="32">
        <v>0</v>
      </c>
      <c r="J64" s="47">
        <v>8</v>
      </c>
      <c r="K64" s="57" t="s">
        <v>291</v>
      </c>
      <c r="L64" s="57" t="s">
        <v>323</v>
      </c>
      <c r="M64" s="57">
        <v>4301037</v>
      </c>
      <c r="N64" s="57" t="s">
        <v>324</v>
      </c>
      <c r="O64" s="57">
        <v>430103704</v>
      </c>
      <c r="P64" s="57" t="s">
        <v>325</v>
      </c>
      <c r="Q64" s="109">
        <v>8</v>
      </c>
      <c r="R64" s="92"/>
      <c r="S64" s="597"/>
      <c r="T64" s="597"/>
      <c r="U64" s="597"/>
      <c r="V64" s="597"/>
      <c r="W64" s="57" t="s">
        <v>271</v>
      </c>
      <c r="X64" s="608"/>
      <c r="Y64" s="92"/>
      <c r="Z64" s="90">
        <v>10</v>
      </c>
      <c r="AA64" s="60">
        <v>1</v>
      </c>
      <c r="AB64" s="50"/>
      <c r="AC64" s="65"/>
      <c r="AD64" s="57" t="s">
        <v>271</v>
      </c>
      <c r="AE64" s="589"/>
      <c r="AF64" s="193">
        <v>3</v>
      </c>
      <c r="AG64" s="115">
        <v>0</v>
      </c>
      <c r="AH64" s="60">
        <v>1</v>
      </c>
      <c r="AI64" s="69" t="s">
        <v>723</v>
      </c>
      <c r="AJ64" s="69" t="s">
        <v>724</v>
      </c>
      <c r="AK64" s="57" t="s">
        <v>271</v>
      </c>
      <c r="AL64" s="194" t="s">
        <v>764</v>
      </c>
      <c r="AM64" s="147">
        <v>3</v>
      </c>
      <c r="AN64" s="68">
        <v>3</v>
      </c>
      <c r="AO64" s="60">
        <v>1</v>
      </c>
      <c r="AP64" s="69">
        <v>15000000</v>
      </c>
      <c r="AQ64" s="69">
        <v>10800000</v>
      </c>
      <c r="AR64" s="57" t="s">
        <v>271</v>
      </c>
      <c r="AS64" s="163" t="s">
        <v>843</v>
      </c>
      <c r="AT64" s="171">
        <v>3</v>
      </c>
      <c r="AU64" s="125">
        <v>3</v>
      </c>
      <c r="AV64" s="60">
        <v>1</v>
      </c>
      <c r="AW64" s="181" t="s">
        <v>856</v>
      </c>
      <c r="AX64" s="181" t="s">
        <v>856</v>
      </c>
      <c r="AY64" s="57" t="s">
        <v>271</v>
      </c>
      <c r="AZ64" s="174" t="s">
        <v>902</v>
      </c>
      <c r="BA64" s="148">
        <v>1</v>
      </c>
      <c r="BB64" s="74">
        <v>3</v>
      </c>
      <c r="BC64" s="60">
        <v>1</v>
      </c>
      <c r="BD64" s="73">
        <v>573181075</v>
      </c>
      <c r="BE64" s="73">
        <v>209343900</v>
      </c>
      <c r="BF64" s="57" t="s">
        <v>271</v>
      </c>
      <c r="BG64" s="165" t="s">
        <v>964</v>
      </c>
      <c r="BH64" s="150">
        <v>6</v>
      </c>
      <c r="BI64" s="74">
        <v>3</v>
      </c>
      <c r="BJ64" s="77">
        <v>0.5</v>
      </c>
      <c r="BK64" s="83">
        <v>490000000</v>
      </c>
      <c r="BL64" s="83">
        <v>490000000</v>
      </c>
      <c r="BM64" s="74" t="s">
        <v>271</v>
      </c>
      <c r="BN64" s="142" t="s">
        <v>559</v>
      </c>
      <c r="BO64" s="136">
        <v>6</v>
      </c>
      <c r="BP64" s="57">
        <v>10</v>
      </c>
      <c r="BQ64" s="60">
        <v>1</v>
      </c>
      <c r="BR64" s="50">
        <v>130000000</v>
      </c>
      <c r="BS64" s="43" t="s">
        <v>635</v>
      </c>
      <c r="BT64" s="57" t="s">
        <v>271</v>
      </c>
      <c r="BU64" s="142" t="s">
        <v>636</v>
      </c>
      <c r="BV64" s="234">
        <v>7</v>
      </c>
      <c r="BW64" s="57">
        <v>7</v>
      </c>
      <c r="BX64" s="60">
        <v>1</v>
      </c>
      <c r="BY64" s="50">
        <f>9000000+43275000+
83000</f>
        <v>52358000</v>
      </c>
      <c r="BZ64" s="50">
        <f>9000000+43275000+
83000</f>
        <v>52358000</v>
      </c>
      <c r="CA64" s="60">
        <f>BZ64/BY64</f>
        <v>1</v>
      </c>
      <c r="CB64" s="85" t="s">
        <v>1022</v>
      </c>
      <c r="CC64" s="254" t="s">
        <v>1067</v>
      </c>
      <c r="CD64" s="261">
        <v>8</v>
      </c>
      <c r="CE64" s="57">
        <v>11</v>
      </c>
      <c r="CF64" s="60">
        <v>1</v>
      </c>
      <c r="CG64" s="50">
        <f>9000000+43275000+40000000+
83000+2850000</f>
        <v>95208000</v>
      </c>
      <c r="CH64" s="429">
        <f>9000000+43275000+40000000+2850000
+83000</f>
        <v>95208000</v>
      </c>
      <c r="CI64" s="60">
        <f>CH64/CG64</f>
        <v>1</v>
      </c>
      <c r="CJ64" s="85" t="s">
        <v>1022</v>
      </c>
      <c r="CK64" s="420" t="s">
        <v>1131</v>
      </c>
      <c r="CL64" s="47">
        <v>8</v>
      </c>
      <c r="CM64" s="57">
        <v>11</v>
      </c>
      <c r="CN64" s="60">
        <v>1</v>
      </c>
    </row>
    <row r="65" spans="1:93" ht="147" customHeight="1" x14ac:dyDescent="0.25">
      <c r="A65" s="561"/>
      <c r="B65" s="445"/>
      <c r="C65" s="558"/>
      <c r="D65" s="111" t="s">
        <v>187</v>
      </c>
      <c r="E65" s="47" t="s">
        <v>188</v>
      </c>
      <c r="F65" s="32" t="s">
        <v>448</v>
      </c>
      <c r="G65" s="32" t="s">
        <v>189</v>
      </c>
      <c r="H65" s="68" t="s">
        <v>1023</v>
      </c>
      <c r="I65" s="32" t="s">
        <v>170</v>
      </c>
      <c r="J65" s="47">
        <v>30</v>
      </c>
      <c r="K65" s="57" t="s">
        <v>295</v>
      </c>
      <c r="L65" s="57" t="s">
        <v>351</v>
      </c>
      <c r="M65" s="47">
        <v>3502046</v>
      </c>
      <c r="N65" s="47" t="s">
        <v>352</v>
      </c>
      <c r="O65" s="47">
        <v>350204600</v>
      </c>
      <c r="P65" s="47" t="s">
        <v>353</v>
      </c>
      <c r="Q65" s="109">
        <v>30</v>
      </c>
      <c r="R65" s="92"/>
      <c r="S65" s="597"/>
      <c r="T65" s="597"/>
      <c r="U65" s="597"/>
      <c r="V65" s="597"/>
      <c r="W65" s="57" t="s">
        <v>283</v>
      </c>
      <c r="X65" s="608"/>
      <c r="Y65" s="92">
        <v>1</v>
      </c>
      <c r="Z65" s="90">
        <v>1</v>
      </c>
      <c r="AA65" s="40">
        <f>Z65/Y65</f>
        <v>1</v>
      </c>
      <c r="AB65" s="55"/>
      <c r="AC65" s="55"/>
      <c r="AD65" s="57" t="s">
        <v>283</v>
      </c>
      <c r="AE65" s="589"/>
      <c r="AF65" s="199">
        <v>1</v>
      </c>
      <c r="AG65" s="200">
        <v>1</v>
      </c>
      <c r="AH65" s="40">
        <f>AG65/AF65</f>
        <v>1</v>
      </c>
      <c r="AI65" s="628" t="s">
        <v>725</v>
      </c>
      <c r="AJ65" s="628" t="s">
        <v>726</v>
      </c>
      <c r="AK65" s="57" t="s">
        <v>283</v>
      </c>
      <c r="AL65" s="629" t="s">
        <v>765</v>
      </c>
      <c r="AM65" s="199">
        <v>1</v>
      </c>
      <c r="AN65" s="200">
        <v>1</v>
      </c>
      <c r="AO65" s="40">
        <f>AN65/AM65</f>
        <v>1</v>
      </c>
      <c r="AP65" s="628" t="s">
        <v>809</v>
      </c>
      <c r="AQ65" s="628">
        <v>185210909</v>
      </c>
      <c r="AR65" s="57" t="s">
        <v>283</v>
      </c>
      <c r="AS65" s="629" t="s">
        <v>844</v>
      </c>
      <c r="AT65" s="201">
        <v>1</v>
      </c>
      <c r="AU65" s="202">
        <v>1</v>
      </c>
      <c r="AV65" s="40">
        <f>AU65/AT65</f>
        <v>1</v>
      </c>
      <c r="AW65" s="764" t="s">
        <v>856</v>
      </c>
      <c r="AX65" s="765" t="s">
        <v>856</v>
      </c>
      <c r="AY65" s="57" t="s">
        <v>283</v>
      </c>
      <c r="AZ65" s="773" t="s">
        <v>903</v>
      </c>
      <c r="BA65" s="166">
        <v>3</v>
      </c>
      <c r="BB65" s="129">
        <v>3</v>
      </c>
      <c r="BC65" s="40">
        <f>BB65/BA65</f>
        <v>1</v>
      </c>
      <c r="BD65" s="73">
        <v>119240000</v>
      </c>
      <c r="BE65" s="73">
        <v>95010000</v>
      </c>
      <c r="BF65" s="57" t="s">
        <v>283</v>
      </c>
      <c r="BG65" s="167" t="s">
        <v>965</v>
      </c>
      <c r="BH65" s="150">
        <v>2</v>
      </c>
      <c r="BI65" s="74">
        <v>0</v>
      </c>
      <c r="BJ65" s="84">
        <v>0</v>
      </c>
      <c r="BK65" s="121"/>
      <c r="BL65" s="73"/>
      <c r="BM65" s="74" t="s">
        <v>283</v>
      </c>
      <c r="BN65" s="151" t="s">
        <v>560</v>
      </c>
      <c r="BO65" s="95">
        <v>4</v>
      </c>
      <c r="BP65" s="47">
        <v>1</v>
      </c>
      <c r="BQ65" s="40">
        <f>BP65/BO65</f>
        <v>0.25</v>
      </c>
      <c r="BR65" s="55">
        <v>3000000</v>
      </c>
      <c r="BS65" s="55">
        <v>1000000</v>
      </c>
      <c r="BT65" s="57" t="s">
        <v>283</v>
      </c>
      <c r="BU65" s="141" t="s">
        <v>637</v>
      </c>
      <c r="BV65" s="203">
        <v>4</v>
      </c>
      <c r="BW65" s="47">
        <v>1</v>
      </c>
      <c r="BX65" s="40">
        <f>BW65/BV65</f>
        <v>0.25</v>
      </c>
      <c r="BY65" s="241">
        <v>3000000</v>
      </c>
      <c r="BZ65" s="241">
        <v>3000000</v>
      </c>
      <c r="CA65" s="40">
        <f>BZ65/BY65</f>
        <v>1</v>
      </c>
      <c r="CB65" s="68" t="s">
        <v>1023</v>
      </c>
      <c r="CC65" s="254" t="s">
        <v>1068</v>
      </c>
      <c r="CD65" s="243">
        <v>8</v>
      </c>
      <c r="CE65" s="47">
        <v>2</v>
      </c>
      <c r="CF65" s="40">
        <f>CE65/CD65</f>
        <v>0.25</v>
      </c>
      <c r="CG65" s="241">
        <f>3000000+8000000</f>
        <v>11000000</v>
      </c>
      <c r="CH65" s="426">
        <f>1500000+2000000</f>
        <v>3500000</v>
      </c>
      <c r="CI65" s="40">
        <f>CH65/CG65</f>
        <v>0.31818181818181818</v>
      </c>
      <c r="CJ65" s="68" t="s">
        <v>1023</v>
      </c>
      <c r="CK65" s="420" t="s">
        <v>1132</v>
      </c>
      <c r="CL65" s="47">
        <v>30</v>
      </c>
      <c r="CM65" s="47">
        <v>11</v>
      </c>
      <c r="CN65" s="40">
        <v>0.3</v>
      </c>
    </row>
    <row r="66" spans="1:93" ht="77.25" customHeight="1" x14ac:dyDescent="0.25">
      <c r="A66" s="561"/>
      <c r="B66" s="445" t="s">
        <v>190</v>
      </c>
      <c r="C66" s="558" t="s">
        <v>191</v>
      </c>
      <c r="D66" s="548" t="s">
        <v>192</v>
      </c>
      <c r="E66" s="445" t="s">
        <v>193</v>
      </c>
      <c r="F66" s="445" t="s">
        <v>194</v>
      </c>
      <c r="G66" s="445" t="s">
        <v>195</v>
      </c>
      <c r="H66" s="454" t="s">
        <v>1024</v>
      </c>
      <c r="I66" s="565" t="s">
        <v>170</v>
      </c>
      <c r="J66" s="445" t="s">
        <v>196</v>
      </c>
      <c r="K66" s="516" t="s">
        <v>291</v>
      </c>
      <c r="L66" s="516" t="s">
        <v>354</v>
      </c>
      <c r="M66" s="445">
        <v>3301073</v>
      </c>
      <c r="N66" s="445" t="s">
        <v>355</v>
      </c>
      <c r="O66" s="445">
        <v>330107301</v>
      </c>
      <c r="P66" s="445" t="s">
        <v>356</v>
      </c>
      <c r="Q66" s="593" t="s">
        <v>196</v>
      </c>
      <c r="R66" s="599">
        <v>160</v>
      </c>
      <c r="S66" s="445">
        <v>118</v>
      </c>
      <c r="T66" s="461">
        <f>S66/R66</f>
        <v>0.73750000000000004</v>
      </c>
      <c r="U66" s="476" t="s">
        <v>471</v>
      </c>
      <c r="V66" s="476" t="s">
        <v>472</v>
      </c>
      <c r="W66" s="516" t="s">
        <v>272</v>
      </c>
      <c r="X66" s="587" t="s">
        <v>473</v>
      </c>
      <c r="Y66" s="599">
        <v>160</v>
      </c>
      <c r="Z66" s="445">
        <v>118</v>
      </c>
      <c r="AA66" s="461">
        <f>Z66/Y66</f>
        <v>0.73750000000000004</v>
      </c>
      <c r="AB66" s="476"/>
      <c r="AC66" s="476"/>
      <c r="AD66" s="516" t="s">
        <v>272</v>
      </c>
      <c r="AE66" s="587"/>
      <c r="AF66" s="633">
        <v>1</v>
      </c>
      <c r="AG66" s="454">
        <v>1</v>
      </c>
      <c r="AH66" s="461">
        <f>AF66/AG66</f>
        <v>1</v>
      </c>
      <c r="AI66" s="628"/>
      <c r="AJ66" s="628"/>
      <c r="AK66" s="516" t="s">
        <v>272</v>
      </c>
      <c r="AL66" s="629"/>
      <c r="AM66" s="633">
        <v>1</v>
      </c>
      <c r="AN66" s="454">
        <v>1</v>
      </c>
      <c r="AO66" s="461">
        <f>AM66/AN66</f>
        <v>1</v>
      </c>
      <c r="AP66" s="628"/>
      <c r="AQ66" s="628"/>
      <c r="AR66" s="516" t="s">
        <v>272</v>
      </c>
      <c r="AS66" s="629"/>
      <c r="AT66" s="769">
        <v>1</v>
      </c>
      <c r="AU66" s="771">
        <v>1</v>
      </c>
      <c r="AV66" s="461" t="e">
        <f>#REF!/#REF!</f>
        <v>#REF!</v>
      </c>
      <c r="AW66" s="764"/>
      <c r="AX66" s="765"/>
      <c r="AY66" s="516" t="s">
        <v>272</v>
      </c>
      <c r="AZ66" s="773"/>
      <c r="BA66" s="652">
        <v>21</v>
      </c>
      <c r="BB66" s="653">
        <v>21</v>
      </c>
      <c r="BC66" s="461">
        <f>BB66/BA66</f>
        <v>1</v>
      </c>
      <c r="BD66" s="650">
        <v>1502044165</v>
      </c>
      <c r="BE66" s="650">
        <v>1449671166</v>
      </c>
      <c r="BF66" s="516" t="s">
        <v>272</v>
      </c>
      <c r="BG66" s="786" t="s">
        <v>966</v>
      </c>
      <c r="BH66" s="692">
        <v>140</v>
      </c>
      <c r="BI66" s="653">
        <v>2</v>
      </c>
      <c r="BJ66" s="693">
        <f>(BI66/BH66)*1</f>
        <v>1.4285714285714285E-2</v>
      </c>
      <c r="BK66" s="650">
        <v>14044000</v>
      </c>
      <c r="BL66" s="650">
        <v>14044000</v>
      </c>
      <c r="BM66" s="653" t="s">
        <v>272</v>
      </c>
      <c r="BN66" s="694" t="s">
        <v>561</v>
      </c>
      <c r="BO66" s="599">
        <v>160</v>
      </c>
      <c r="BP66" s="445">
        <v>118</v>
      </c>
      <c r="BQ66" s="461">
        <f>BP66/BO66</f>
        <v>0.73750000000000004</v>
      </c>
      <c r="BR66" s="476" t="s">
        <v>638</v>
      </c>
      <c r="BS66" s="476" t="s">
        <v>472</v>
      </c>
      <c r="BT66" s="516" t="s">
        <v>272</v>
      </c>
      <c r="BU66" s="694" t="s">
        <v>639</v>
      </c>
      <c r="BV66" s="732">
        <v>160</v>
      </c>
      <c r="BW66" s="445">
        <v>118</v>
      </c>
      <c r="BX66" s="461">
        <f>BW66/BV66</f>
        <v>0.73750000000000004</v>
      </c>
      <c r="BY66" s="476">
        <v>40000000</v>
      </c>
      <c r="BZ66" s="476">
        <f>34620000+8655000+8655000</f>
        <v>51930000</v>
      </c>
      <c r="CA66" s="466">
        <v>1</v>
      </c>
      <c r="CB66" s="454" t="s">
        <v>1024</v>
      </c>
      <c r="CC66" s="729" t="s">
        <v>1098</v>
      </c>
      <c r="CD66" s="474">
        <v>200</v>
      </c>
      <c r="CE66" s="445">
        <v>0</v>
      </c>
      <c r="CF66" s="461">
        <f>CE66/CD66</f>
        <v>0</v>
      </c>
      <c r="CG66" s="476">
        <f>40000000+3000000</f>
        <v>43000000</v>
      </c>
      <c r="CH66" s="476">
        <f>34620000+8655000+8655000+3000000</f>
        <v>54930000</v>
      </c>
      <c r="CI66" s="466">
        <v>1</v>
      </c>
      <c r="CJ66" s="454" t="s">
        <v>1024</v>
      </c>
      <c r="CK66" s="457" t="s">
        <v>1133</v>
      </c>
      <c r="CL66" s="445">
        <v>200</v>
      </c>
      <c r="CM66" s="803">
        <v>118</v>
      </c>
      <c r="CN66" s="523">
        <f>CM66/CL66</f>
        <v>0.59</v>
      </c>
    </row>
    <row r="67" spans="1:93" ht="54" customHeight="1" x14ac:dyDescent="0.25">
      <c r="A67" s="561"/>
      <c r="B67" s="445"/>
      <c r="C67" s="558"/>
      <c r="D67" s="548"/>
      <c r="E67" s="445"/>
      <c r="F67" s="445"/>
      <c r="G67" s="445"/>
      <c r="H67" s="477"/>
      <c r="I67" s="565"/>
      <c r="J67" s="445"/>
      <c r="K67" s="516"/>
      <c r="L67" s="516"/>
      <c r="M67" s="445"/>
      <c r="N67" s="445"/>
      <c r="O67" s="445"/>
      <c r="P67" s="445"/>
      <c r="Q67" s="593"/>
      <c r="R67" s="600"/>
      <c r="S67" s="445"/>
      <c r="T67" s="461"/>
      <c r="U67" s="476"/>
      <c r="V67" s="476"/>
      <c r="W67" s="516"/>
      <c r="X67" s="588"/>
      <c r="Y67" s="600"/>
      <c r="Z67" s="445"/>
      <c r="AA67" s="461"/>
      <c r="AB67" s="476"/>
      <c r="AC67" s="476"/>
      <c r="AD67" s="516"/>
      <c r="AE67" s="588"/>
      <c r="AF67" s="634"/>
      <c r="AG67" s="477"/>
      <c r="AH67" s="461"/>
      <c r="AI67" s="628"/>
      <c r="AJ67" s="628"/>
      <c r="AK67" s="516"/>
      <c r="AL67" s="629"/>
      <c r="AM67" s="634"/>
      <c r="AN67" s="477"/>
      <c r="AO67" s="461"/>
      <c r="AP67" s="628"/>
      <c r="AQ67" s="628"/>
      <c r="AR67" s="516"/>
      <c r="AS67" s="629"/>
      <c r="AT67" s="770"/>
      <c r="AU67" s="772"/>
      <c r="AV67" s="461"/>
      <c r="AW67" s="766" t="s">
        <v>856</v>
      </c>
      <c r="AX67" s="766" t="s">
        <v>856</v>
      </c>
      <c r="AY67" s="516"/>
      <c r="AZ67" s="774" t="s">
        <v>904</v>
      </c>
      <c r="BA67" s="652"/>
      <c r="BB67" s="653"/>
      <c r="BC67" s="461"/>
      <c r="BD67" s="650"/>
      <c r="BE67" s="650"/>
      <c r="BF67" s="516"/>
      <c r="BG67" s="786"/>
      <c r="BH67" s="692"/>
      <c r="BI67" s="653"/>
      <c r="BJ67" s="693"/>
      <c r="BK67" s="650"/>
      <c r="BL67" s="650"/>
      <c r="BM67" s="653"/>
      <c r="BN67" s="694"/>
      <c r="BO67" s="600"/>
      <c r="BP67" s="445"/>
      <c r="BQ67" s="461"/>
      <c r="BR67" s="476"/>
      <c r="BS67" s="476"/>
      <c r="BT67" s="516"/>
      <c r="BU67" s="740"/>
      <c r="BV67" s="733"/>
      <c r="BW67" s="445"/>
      <c r="BX67" s="461"/>
      <c r="BY67" s="476"/>
      <c r="BZ67" s="476"/>
      <c r="CA67" s="473"/>
      <c r="CB67" s="477"/>
      <c r="CC67" s="730"/>
      <c r="CD67" s="475"/>
      <c r="CE67" s="445"/>
      <c r="CF67" s="461"/>
      <c r="CG67" s="476"/>
      <c r="CH67" s="476"/>
      <c r="CI67" s="473"/>
      <c r="CJ67" s="477"/>
      <c r="CK67" s="458"/>
      <c r="CL67" s="445"/>
      <c r="CM67" s="804"/>
      <c r="CN67" s="525"/>
    </row>
    <row r="68" spans="1:93" ht="112.5" customHeight="1" x14ac:dyDescent="0.25">
      <c r="A68" s="561"/>
      <c r="B68" s="445"/>
      <c r="C68" s="558"/>
      <c r="D68" s="548" t="s">
        <v>197</v>
      </c>
      <c r="E68" s="445" t="s">
        <v>198</v>
      </c>
      <c r="F68" s="47" t="s">
        <v>199</v>
      </c>
      <c r="G68" s="47" t="s">
        <v>195</v>
      </c>
      <c r="H68" s="85" t="s">
        <v>1024</v>
      </c>
      <c r="I68" s="32" t="s">
        <v>170</v>
      </c>
      <c r="J68" s="47" t="s">
        <v>196</v>
      </c>
      <c r="K68" s="516" t="s">
        <v>291</v>
      </c>
      <c r="L68" s="516" t="s">
        <v>354</v>
      </c>
      <c r="M68" s="445">
        <v>3301052</v>
      </c>
      <c r="N68" s="445" t="s">
        <v>357</v>
      </c>
      <c r="O68" s="445">
        <v>330105203</v>
      </c>
      <c r="P68" s="445" t="s">
        <v>358</v>
      </c>
      <c r="Q68" s="109" t="s">
        <v>196</v>
      </c>
      <c r="R68" s="93">
        <v>160</v>
      </c>
      <c r="S68" s="47">
        <v>92</v>
      </c>
      <c r="T68" s="40">
        <f>S68/R68</f>
        <v>0.57499999999999996</v>
      </c>
      <c r="U68" s="55" t="s">
        <v>474</v>
      </c>
      <c r="V68" s="55" t="s">
        <v>475</v>
      </c>
      <c r="W68" s="516"/>
      <c r="X68" s="587" t="s">
        <v>476</v>
      </c>
      <c r="Y68" s="93">
        <v>160</v>
      </c>
      <c r="Z68" s="47">
        <v>92</v>
      </c>
      <c r="AA68" s="40">
        <f>Z68/Y68</f>
        <v>0.57499999999999996</v>
      </c>
      <c r="AB68" s="55"/>
      <c r="AC68" s="55"/>
      <c r="AD68" s="516"/>
      <c r="AE68" s="588"/>
      <c r="AF68" s="177">
        <v>1</v>
      </c>
      <c r="AG68" s="85">
        <v>1</v>
      </c>
      <c r="AH68" s="40">
        <f>AG68/AF68</f>
        <v>1</v>
      </c>
      <c r="AI68" s="628"/>
      <c r="AJ68" s="628"/>
      <c r="AK68" s="516"/>
      <c r="AL68" s="629"/>
      <c r="AM68" s="177">
        <v>1</v>
      </c>
      <c r="AN68" s="85">
        <v>1</v>
      </c>
      <c r="AO68" s="40">
        <f>AN68/AM68</f>
        <v>1</v>
      </c>
      <c r="AP68" s="628"/>
      <c r="AQ68" s="628"/>
      <c r="AR68" s="516"/>
      <c r="AS68" s="629"/>
      <c r="AT68" s="171">
        <v>1</v>
      </c>
      <c r="AU68" s="125">
        <v>1</v>
      </c>
      <c r="AV68" s="40">
        <f>AU68/AT68</f>
        <v>1</v>
      </c>
      <c r="AW68" s="766"/>
      <c r="AX68" s="766"/>
      <c r="AY68" s="516"/>
      <c r="AZ68" s="774"/>
      <c r="BA68" s="148">
        <v>34</v>
      </c>
      <c r="BB68" s="74">
        <v>55</v>
      </c>
      <c r="BC68" s="40">
        <f>BB68/(2*BA68)</f>
        <v>0.80882352941176472</v>
      </c>
      <c r="BD68" s="650"/>
      <c r="BE68" s="650"/>
      <c r="BF68" s="516"/>
      <c r="BG68" s="786"/>
      <c r="BH68" s="153">
        <v>140</v>
      </c>
      <c r="BI68" s="74">
        <v>54</v>
      </c>
      <c r="BJ68" s="77">
        <f>(BI68/BH68)*1</f>
        <v>0.38571428571428573</v>
      </c>
      <c r="BK68" s="73">
        <v>139800000</v>
      </c>
      <c r="BL68" s="73">
        <v>139700000</v>
      </c>
      <c r="BM68" s="653"/>
      <c r="BN68" s="143" t="s">
        <v>562</v>
      </c>
      <c r="BO68" s="93">
        <v>160</v>
      </c>
      <c r="BP68" s="47">
        <v>92</v>
      </c>
      <c r="BQ68" s="40">
        <f>BP68/BO68</f>
        <v>0.57499999999999996</v>
      </c>
      <c r="BR68" s="55" t="s">
        <v>640</v>
      </c>
      <c r="BS68" s="55" t="s">
        <v>475</v>
      </c>
      <c r="BT68" s="516"/>
      <c r="BU68" s="143" t="s">
        <v>641</v>
      </c>
      <c r="BV68" s="68">
        <v>180</v>
      </c>
      <c r="BW68" s="47">
        <v>92</v>
      </c>
      <c r="BX68" s="40">
        <f>BW68/BV68</f>
        <v>0.51111111111111107</v>
      </c>
      <c r="BY68" s="242">
        <v>918000000</v>
      </c>
      <c r="BZ68" s="55">
        <f>23000000+148497504</f>
        <v>171497504</v>
      </c>
      <c r="CA68" s="216">
        <f>BZ68/BY68</f>
        <v>0.18681645315904138</v>
      </c>
      <c r="CB68" s="85" t="s">
        <v>1024</v>
      </c>
      <c r="CC68" s="250" t="s">
        <v>1099</v>
      </c>
      <c r="CD68" s="368">
        <v>200</v>
      </c>
      <c r="CE68" s="279">
        <v>0</v>
      </c>
      <c r="CF68" s="256">
        <f>CE68/CD68</f>
        <v>0</v>
      </c>
      <c r="CG68" s="421">
        <f>918000000+1516035847</f>
        <v>2434035847</v>
      </c>
      <c r="CH68" s="428">
        <f>23000000+148497504</f>
        <v>171497504</v>
      </c>
      <c r="CI68" s="267">
        <f>CH68/CG68</f>
        <v>7.0458084753096076E-2</v>
      </c>
      <c r="CJ68" s="278" t="s">
        <v>1024</v>
      </c>
      <c r="CK68" s="418" t="s">
        <v>1151</v>
      </c>
      <c r="CL68" s="47">
        <v>200</v>
      </c>
      <c r="CM68" s="215">
        <v>92</v>
      </c>
      <c r="CN68" s="216">
        <f>CM68/CL68</f>
        <v>0.46</v>
      </c>
    </row>
    <row r="69" spans="1:93" ht="65.25" customHeight="1" x14ac:dyDescent="0.25">
      <c r="A69" s="561"/>
      <c r="B69" s="445"/>
      <c r="C69" s="558"/>
      <c r="D69" s="548"/>
      <c r="E69" s="445"/>
      <c r="F69" s="47" t="s">
        <v>200</v>
      </c>
      <c r="G69" s="47" t="s">
        <v>195</v>
      </c>
      <c r="H69" s="85" t="s">
        <v>1024</v>
      </c>
      <c r="I69" s="32" t="s">
        <v>170</v>
      </c>
      <c r="J69" s="47" t="s">
        <v>196</v>
      </c>
      <c r="K69" s="516"/>
      <c r="L69" s="516"/>
      <c r="M69" s="445"/>
      <c r="N69" s="445"/>
      <c r="O69" s="445"/>
      <c r="P69" s="445"/>
      <c r="Q69" s="109" t="s">
        <v>196</v>
      </c>
      <c r="R69" s="94">
        <v>160</v>
      </c>
      <c r="S69" s="53">
        <v>93</v>
      </c>
      <c r="T69" s="40">
        <f>S69/R69</f>
        <v>0.58125000000000004</v>
      </c>
      <c r="U69" s="52"/>
      <c r="V69" s="52"/>
      <c r="W69" s="516"/>
      <c r="X69" s="588"/>
      <c r="Y69" s="94">
        <v>160</v>
      </c>
      <c r="Z69" s="53">
        <v>93</v>
      </c>
      <c r="AA69" s="40">
        <f>Z69/Y69</f>
        <v>0.58125000000000004</v>
      </c>
      <c r="AB69" s="52"/>
      <c r="AC69" s="52"/>
      <c r="AD69" s="516"/>
      <c r="AE69" s="588"/>
      <c r="AF69" s="177">
        <v>3</v>
      </c>
      <c r="AG69" s="85">
        <v>3</v>
      </c>
      <c r="AH69" s="40">
        <f>AG69/AF69</f>
        <v>1</v>
      </c>
      <c r="AI69" s="628"/>
      <c r="AJ69" s="628"/>
      <c r="AK69" s="516"/>
      <c r="AL69" s="192" t="s">
        <v>766</v>
      </c>
      <c r="AM69" s="147">
        <v>3</v>
      </c>
      <c r="AN69" s="68">
        <v>3</v>
      </c>
      <c r="AO69" s="40">
        <f>AN69/AM69</f>
        <v>1</v>
      </c>
      <c r="AP69" s="628"/>
      <c r="AQ69" s="628"/>
      <c r="AR69" s="516"/>
      <c r="AS69" s="629"/>
      <c r="AT69" s="171">
        <v>3</v>
      </c>
      <c r="AU69" s="125">
        <v>3</v>
      </c>
      <c r="AV69" s="40">
        <f>AU69/AT69</f>
        <v>1</v>
      </c>
      <c r="AW69" s="181" t="s">
        <v>856</v>
      </c>
      <c r="AX69" s="181" t="s">
        <v>856</v>
      </c>
      <c r="AY69" s="516"/>
      <c r="AZ69" s="174" t="s">
        <v>905</v>
      </c>
      <c r="BA69" s="148">
        <v>34</v>
      </c>
      <c r="BB69" s="74">
        <v>55</v>
      </c>
      <c r="BC69" s="40">
        <f>BB69/(2*BA69)</f>
        <v>0.80882352941176472</v>
      </c>
      <c r="BD69" s="650"/>
      <c r="BE69" s="650"/>
      <c r="BF69" s="516"/>
      <c r="BG69" s="786"/>
      <c r="BH69" s="149">
        <v>1.4</v>
      </c>
      <c r="BI69" s="79">
        <v>0</v>
      </c>
      <c r="BJ69" s="77">
        <f>(BI69/BH69)*1</f>
        <v>0</v>
      </c>
      <c r="BK69" s="82"/>
      <c r="BL69" s="82"/>
      <c r="BM69" s="653"/>
      <c r="BN69" s="143" t="s">
        <v>563</v>
      </c>
      <c r="BO69" s="94">
        <v>160</v>
      </c>
      <c r="BP69" s="53">
        <v>93</v>
      </c>
      <c r="BQ69" s="40">
        <f>BP69/BO69</f>
        <v>0.58125000000000004</v>
      </c>
      <c r="BR69" s="52"/>
      <c r="BS69" s="52"/>
      <c r="BT69" s="516"/>
      <c r="BU69" s="144" t="s">
        <v>642</v>
      </c>
      <c r="BV69" s="68">
        <v>160</v>
      </c>
      <c r="BW69" s="53">
        <v>93</v>
      </c>
      <c r="BX69" s="40">
        <f>BW69/BV69</f>
        <v>0.58125000000000004</v>
      </c>
      <c r="BY69" s="55">
        <v>918000000</v>
      </c>
      <c r="BZ69" s="55">
        <f>23000000+148497504</f>
        <v>171497504</v>
      </c>
      <c r="CA69" s="216">
        <f>BZ69/BY69</f>
        <v>0.18681645315904138</v>
      </c>
      <c r="CB69" s="85" t="s">
        <v>1024</v>
      </c>
      <c r="CC69" s="76" t="s">
        <v>1069</v>
      </c>
      <c r="CD69" s="368">
        <v>200</v>
      </c>
      <c r="CE69" s="422">
        <v>0</v>
      </c>
      <c r="CF69" s="256">
        <f>CE69/CD69</f>
        <v>0</v>
      </c>
      <c r="CG69" s="272">
        <f>918000000+600000</f>
        <v>918600000</v>
      </c>
      <c r="CH69" s="428">
        <f>23000000+148497504+600000</f>
        <v>172097504</v>
      </c>
      <c r="CI69" s="267">
        <f>CH69/CG69</f>
        <v>0.18734759851948618</v>
      </c>
      <c r="CJ69" s="278" t="s">
        <v>1024</v>
      </c>
      <c r="CK69" s="419" t="s">
        <v>1152</v>
      </c>
      <c r="CL69" s="47">
        <v>200</v>
      </c>
      <c r="CM69" s="53">
        <v>93</v>
      </c>
      <c r="CN69" s="216">
        <f t="shared" ref="CN69" si="10">CM69/CL69</f>
        <v>0.46500000000000002</v>
      </c>
    </row>
    <row r="70" spans="1:93" ht="54" customHeight="1" thickBot="1" x14ac:dyDescent="0.3">
      <c r="A70" s="561"/>
      <c r="B70" s="445"/>
      <c r="C70" s="558"/>
      <c r="D70" s="111" t="s">
        <v>201</v>
      </c>
      <c r="E70" s="47" t="s">
        <v>202</v>
      </c>
      <c r="F70" s="47" t="s">
        <v>449</v>
      </c>
      <c r="G70" s="47" t="s">
        <v>195</v>
      </c>
      <c r="H70" s="225" t="s">
        <v>1024</v>
      </c>
      <c r="I70" s="32">
        <v>6</v>
      </c>
      <c r="J70" s="47">
        <v>60</v>
      </c>
      <c r="K70" s="516"/>
      <c r="L70" s="516"/>
      <c r="M70" s="445"/>
      <c r="N70" s="445"/>
      <c r="O70" s="445"/>
      <c r="P70" s="445"/>
      <c r="Q70" s="109">
        <v>60</v>
      </c>
      <c r="R70" s="95">
        <v>48</v>
      </c>
      <c r="S70" s="47">
        <v>1</v>
      </c>
      <c r="T70" s="40">
        <v>0.5</v>
      </c>
      <c r="U70" s="55" t="s">
        <v>477</v>
      </c>
      <c r="V70" s="55" t="s">
        <v>478</v>
      </c>
      <c r="W70" s="516"/>
      <c r="X70" s="190" t="s">
        <v>488</v>
      </c>
      <c r="Y70" s="95">
        <v>48</v>
      </c>
      <c r="Z70" s="47">
        <v>1</v>
      </c>
      <c r="AA70" s="40">
        <v>0.5</v>
      </c>
      <c r="AB70" s="55"/>
      <c r="AC70" s="55"/>
      <c r="AD70" s="516"/>
      <c r="AE70" s="133"/>
      <c r="AF70" s="626">
        <v>0.8</v>
      </c>
      <c r="AG70" s="627">
        <v>0.8</v>
      </c>
      <c r="AH70" s="40">
        <v>0.5</v>
      </c>
      <c r="AI70" s="628" t="s">
        <v>694</v>
      </c>
      <c r="AJ70" s="628" t="s">
        <v>695</v>
      </c>
      <c r="AK70" s="516"/>
      <c r="AL70" s="629" t="s">
        <v>767</v>
      </c>
      <c r="AM70" s="630">
        <v>0.9</v>
      </c>
      <c r="AN70" s="631">
        <v>1</v>
      </c>
      <c r="AO70" s="40">
        <v>0.5</v>
      </c>
      <c r="AP70" s="632" t="s">
        <v>780</v>
      </c>
      <c r="AQ70" s="632" t="s">
        <v>781</v>
      </c>
      <c r="AR70" s="516"/>
      <c r="AS70" s="757" t="s">
        <v>845</v>
      </c>
      <c r="AT70" s="762">
        <v>1</v>
      </c>
      <c r="AU70" s="763">
        <v>1</v>
      </c>
      <c r="AV70" s="40">
        <v>0.5</v>
      </c>
      <c r="AW70" s="767">
        <v>25000000</v>
      </c>
      <c r="AX70" s="767">
        <v>23933333</v>
      </c>
      <c r="AY70" s="516"/>
      <c r="AZ70" s="775" t="s">
        <v>906</v>
      </c>
      <c r="BA70" s="148">
        <v>30</v>
      </c>
      <c r="BB70" s="74">
        <v>29</v>
      </c>
      <c r="BC70" s="40">
        <v>0.5</v>
      </c>
      <c r="BD70" s="650"/>
      <c r="BE70" s="650"/>
      <c r="BF70" s="516"/>
      <c r="BG70" s="786"/>
      <c r="BH70" s="150">
        <v>42</v>
      </c>
      <c r="BI70" s="74">
        <v>1</v>
      </c>
      <c r="BJ70" s="77">
        <f>(BI70/BH70)*1</f>
        <v>2.3809523809523808E-2</v>
      </c>
      <c r="BK70" s="73">
        <v>12000000</v>
      </c>
      <c r="BL70" s="73">
        <v>12000000</v>
      </c>
      <c r="BM70" s="653"/>
      <c r="BN70" s="143" t="s">
        <v>564</v>
      </c>
      <c r="BO70" s="95">
        <v>48</v>
      </c>
      <c r="BP70" s="47">
        <v>1</v>
      </c>
      <c r="BQ70" s="40">
        <v>0.5</v>
      </c>
      <c r="BR70" s="55" t="s">
        <v>643</v>
      </c>
      <c r="BS70" s="55" t="s">
        <v>478</v>
      </c>
      <c r="BT70" s="516"/>
      <c r="BU70" s="145" t="s">
        <v>644</v>
      </c>
      <c r="BV70" s="68">
        <v>54</v>
      </c>
      <c r="BW70" s="47">
        <v>1</v>
      </c>
      <c r="BX70" s="40">
        <v>1.7999999999999999E-2</v>
      </c>
      <c r="BY70" s="55">
        <f>17100000+11400000+5700000</f>
        <v>34200000</v>
      </c>
      <c r="BZ70" s="55">
        <f>17100000+11400000+5700000</f>
        <v>34200000</v>
      </c>
      <c r="CA70" s="40">
        <f>BZ70/BY70</f>
        <v>1</v>
      </c>
      <c r="CB70" s="225" t="s">
        <v>1024</v>
      </c>
      <c r="CC70" s="251" t="s">
        <v>1070</v>
      </c>
      <c r="CD70" s="289">
        <v>60</v>
      </c>
      <c r="CE70" s="279">
        <v>0</v>
      </c>
      <c r="CF70" s="256">
        <v>1.7999999999999999E-2</v>
      </c>
      <c r="CG70" s="272">
        <f>17100000+11400000+5700000+7000000</f>
        <v>41200000</v>
      </c>
      <c r="CH70" s="428">
        <f>17100000+11400000+5700000+7000000</f>
        <v>41200000</v>
      </c>
      <c r="CI70" s="256">
        <f>CH70/CG70</f>
        <v>1</v>
      </c>
      <c r="CJ70" s="423" t="s">
        <v>1024</v>
      </c>
      <c r="CK70" s="277" t="s">
        <v>1153</v>
      </c>
      <c r="CL70" s="57">
        <v>60</v>
      </c>
      <c r="CM70" s="57">
        <v>34</v>
      </c>
      <c r="CN70" s="216">
        <f>CM70/CL70</f>
        <v>0.56666666666666665</v>
      </c>
    </row>
    <row r="71" spans="1:93" ht="18.75" customHeight="1" x14ac:dyDescent="0.25">
      <c r="A71" s="569" t="s">
        <v>203</v>
      </c>
      <c r="B71" s="551" t="s">
        <v>204</v>
      </c>
      <c r="C71" s="553" t="s">
        <v>205</v>
      </c>
      <c r="D71" s="548" t="s">
        <v>206</v>
      </c>
      <c r="E71" s="445" t="s">
        <v>207</v>
      </c>
      <c r="F71" s="445" t="s">
        <v>208</v>
      </c>
      <c r="G71" s="445" t="s">
        <v>209</v>
      </c>
      <c r="H71" s="483" t="s">
        <v>1025</v>
      </c>
      <c r="I71" s="565">
        <v>0</v>
      </c>
      <c r="J71" s="445">
        <v>100</v>
      </c>
      <c r="K71" s="516" t="s">
        <v>291</v>
      </c>
      <c r="L71" s="516" t="s">
        <v>292</v>
      </c>
      <c r="M71" s="516" t="s">
        <v>293</v>
      </c>
      <c r="N71" s="516" t="s">
        <v>423</v>
      </c>
      <c r="O71" s="516" t="s">
        <v>293</v>
      </c>
      <c r="P71" s="516" t="s">
        <v>400</v>
      </c>
      <c r="Q71" s="606">
        <v>1</v>
      </c>
      <c r="R71" s="598">
        <v>0.5</v>
      </c>
      <c r="S71" s="481">
        <v>0.5</v>
      </c>
      <c r="T71" s="461">
        <v>1</v>
      </c>
      <c r="U71" s="476">
        <v>11540000</v>
      </c>
      <c r="V71" s="476">
        <v>0</v>
      </c>
      <c r="W71" s="445" t="s">
        <v>255</v>
      </c>
      <c r="X71" s="586" t="s">
        <v>479</v>
      </c>
      <c r="Y71" s="598">
        <v>0.5</v>
      </c>
      <c r="Z71" s="481">
        <v>0.5</v>
      </c>
      <c r="AA71" s="461">
        <v>1</v>
      </c>
      <c r="AB71" s="476"/>
      <c r="AC71" s="476"/>
      <c r="AD71" s="445" t="s">
        <v>255</v>
      </c>
      <c r="AE71" s="586"/>
      <c r="AF71" s="626"/>
      <c r="AG71" s="627"/>
      <c r="AH71" s="461">
        <v>1</v>
      </c>
      <c r="AI71" s="628"/>
      <c r="AJ71" s="628"/>
      <c r="AK71" s="445" t="s">
        <v>255</v>
      </c>
      <c r="AL71" s="629"/>
      <c r="AM71" s="630"/>
      <c r="AN71" s="631"/>
      <c r="AO71" s="461">
        <v>1</v>
      </c>
      <c r="AP71" s="632"/>
      <c r="AQ71" s="632"/>
      <c r="AR71" s="445" t="s">
        <v>255</v>
      </c>
      <c r="AS71" s="757"/>
      <c r="AT71" s="755"/>
      <c r="AU71" s="756"/>
      <c r="AV71" s="461">
        <v>1</v>
      </c>
      <c r="AW71" s="756"/>
      <c r="AX71" s="756"/>
      <c r="AY71" s="445" t="s">
        <v>255</v>
      </c>
      <c r="AZ71" s="775"/>
      <c r="BA71" s="654">
        <v>1</v>
      </c>
      <c r="BB71" s="655">
        <v>0.9</v>
      </c>
      <c r="BC71" s="461">
        <v>1</v>
      </c>
      <c r="BD71" s="650">
        <v>32000000</v>
      </c>
      <c r="BE71" s="650">
        <v>31440300</v>
      </c>
      <c r="BF71" s="445" t="s">
        <v>255</v>
      </c>
      <c r="BG71" s="651" t="s">
        <v>967</v>
      </c>
      <c r="BH71" s="626">
        <v>0.5</v>
      </c>
      <c r="BI71" s="627">
        <v>0</v>
      </c>
      <c r="BJ71" s="741">
        <v>0</v>
      </c>
      <c r="BK71" s="628"/>
      <c r="BL71" s="628"/>
      <c r="BM71" s="543" t="s">
        <v>255</v>
      </c>
      <c r="BN71" s="691" t="s">
        <v>565</v>
      </c>
      <c r="BO71" s="598">
        <v>0.5</v>
      </c>
      <c r="BP71" s="481">
        <v>0.5</v>
      </c>
      <c r="BQ71" s="461">
        <v>1</v>
      </c>
      <c r="BR71" s="476">
        <v>11540000</v>
      </c>
      <c r="BS71" s="476">
        <v>0</v>
      </c>
      <c r="BT71" s="445" t="s">
        <v>255</v>
      </c>
      <c r="BU71" s="586" t="s">
        <v>645</v>
      </c>
      <c r="BV71" s="478">
        <v>0.5</v>
      </c>
      <c r="BW71" s="481">
        <v>0.5</v>
      </c>
      <c r="BX71" s="461">
        <v>1</v>
      </c>
      <c r="BY71" s="476">
        <v>271452800</v>
      </c>
      <c r="BZ71" s="476">
        <v>223685832</v>
      </c>
      <c r="CA71" s="466">
        <f>BZ71/BY71</f>
        <v>0.82403214113098111</v>
      </c>
      <c r="CB71" s="483" t="s">
        <v>1025</v>
      </c>
      <c r="CC71" s="730" t="s">
        <v>1071</v>
      </c>
      <c r="CD71" s="478">
        <v>0.5</v>
      </c>
      <c r="CE71" s="481">
        <v>0.5</v>
      </c>
      <c r="CF71" s="461">
        <v>1</v>
      </c>
      <c r="CG71" s="476">
        <v>271452800</v>
      </c>
      <c r="CH71" s="476">
        <v>223685832</v>
      </c>
      <c r="CI71" s="466">
        <f>CH71/CG71</f>
        <v>0.82403214113098111</v>
      </c>
      <c r="CJ71" s="483" t="s">
        <v>1025</v>
      </c>
      <c r="CK71" s="484" t="s">
        <v>1134</v>
      </c>
      <c r="CL71" s="481">
        <v>1</v>
      </c>
      <c r="CM71" s="805">
        <v>0.5</v>
      </c>
      <c r="CN71" s="541">
        <f>CM71/CL71</f>
        <v>0.5</v>
      </c>
    </row>
    <row r="72" spans="1:93" ht="57.75" customHeight="1" x14ac:dyDescent="0.25">
      <c r="A72" s="563"/>
      <c r="B72" s="551"/>
      <c r="C72" s="553"/>
      <c r="D72" s="548"/>
      <c r="E72" s="445"/>
      <c r="F72" s="445"/>
      <c r="G72" s="445"/>
      <c r="H72" s="455"/>
      <c r="I72" s="565"/>
      <c r="J72" s="445"/>
      <c r="K72" s="516"/>
      <c r="L72" s="516"/>
      <c r="M72" s="516"/>
      <c r="N72" s="516"/>
      <c r="O72" s="516"/>
      <c r="P72" s="516"/>
      <c r="Q72" s="593"/>
      <c r="R72" s="598"/>
      <c r="S72" s="481"/>
      <c r="T72" s="461"/>
      <c r="U72" s="476"/>
      <c r="V72" s="476"/>
      <c r="W72" s="445"/>
      <c r="X72" s="586"/>
      <c r="Y72" s="598"/>
      <c r="Z72" s="481"/>
      <c r="AA72" s="461"/>
      <c r="AB72" s="476"/>
      <c r="AC72" s="476"/>
      <c r="AD72" s="445"/>
      <c r="AE72" s="586"/>
      <c r="AF72" s="626"/>
      <c r="AG72" s="627"/>
      <c r="AH72" s="461"/>
      <c r="AI72" s="628"/>
      <c r="AJ72" s="628"/>
      <c r="AK72" s="445"/>
      <c r="AL72" s="629"/>
      <c r="AM72" s="630"/>
      <c r="AN72" s="631"/>
      <c r="AO72" s="461"/>
      <c r="AP72" s="632"/>
      <c r="AQ72" s="632"/>
      <c r="AR72" s="445"/>
      <c r="AS72" s="757"/>
      <c r="AT72" s="755"/>
      <c r="AU72" s="756"/>
      <c r="AV72" s="461"/>
      <c r="AW72" s="756"/>
      <c r="AX72" s="756"/>
      <c r="AY72" s="445"/>
      <c r="AZ72" s="775"/>
      <c r="BA72" s="654"/>
      <c r="BB72" s="653"/>
      <c r="BC72" s="461"/>
      <c r="BD72" s="650"/>
      <c r="BE72" s="650"/>
      <c r="BF72" s="445"/>
      <c r="BG72" s="651"/>
      <c r="BH72" s="626"/>
      <c r="BI72" s="627"/>
      <c r="BJ72" s="741"/>
      <c r="BK72" s="628"/>
      <c r="BL72" s="628"/>
      <c r="BM72" s="543"/>
      <c r="BN72" s="691"/>
      <c r="BO72" s="598"/>
      <c r="BP72" s="481"/>
      <c r="BQ72" s="461"/>
      <c r="BR72" s="476"/>
      <c r="BS72" s="476"/>
      <c r="BT72" s="445"/>
      <c r="BU72" s="586"/>
      <c r="BV72" s="479"/>
      <c r="BW72" s="481"/>
      <c r="BX72" s="461"/>
      <c r="BY72" s="476"/>
      <c r="BZ72" s="476"/>
      <c r="CA72" s="482"/>
      <c r="CB72" s="455"/>
      <c r="CC72" s="730"/>
      <c r="CD72" s="479"/>
      <c r="CE72" s="481"/>
      <c r="CF72" s="461"/>
      <c r="CG72" s="476"/>
      <c r="CH72" s="476"/>
      <c r="CI72" s="482"/>
      <c r="CJ72" s="455"/>
      <c r="CK72" s="484"/>
      <c r="CL72" s="445"/>
      <c r="CM72" s="806"/>
      <c r="CN72" s="541"/>
    </row>
    <row r="73" spans="1:93" ht="82.5" customHeight="1" x14ac:dyDescent="0.25">
      <c r="A73" s="563"/>
      <c r="B73" s="551"/>
      <c r="C73" s="574"/>
      <c r="D73" s="548"/>
      <c r="E73" s="445"/>
      <c r="F73" s="445"/>
      <c r="G73" s="445"/>
      <c r="H73" s="477"/>
      <c r="I73" s="565"/>
      <c r="J73" s="445"/>
      <c r="K73" s="516"/>
      <c r="L73" s="516"/>
      <c r="M73" s="516"/>
      <c r="N73" s="516"/>
      <c r="O73" s="516"/>
      <c r="P73" s="516"/>
      <c r="Q73" s="593"/>
      <c r="R73" s="598"/>
      <c r="S73" s="481"/>
      <c r="T73" s="461"/>
      <c r="U73" s="476"/>
      <c r="V73" s="476"/>
      <c r="W73" s="445"/>
      <c r="X73" s="586"/>
      <c r="Y73" s="598"/>
      <c r="Z73" s="481"/>
      <c r="AA73" s="461"/>
      <c r="AB73" s="476"/>
      <c r="AC73" s="476"/>
      <c r="AD73" s="445"/>
      <c r="AE73" s="586"/>
      <c r="AF73" s="177">
        <v>1</v>
      </c>
      <c r="AG73" s="85">
        <v>1</v>
      </c>
      <c r="AH73" s="461"/>
      <c r="AI73" s="69" t="s">
        <v>37</v>
      </c>
      <c r="AJ73" s="69" t="s">
        <v>37</v>
      </c>
      <c r="AK73" s="445"/>
      <c r="AL73" s="192" t="s">
        <v>768</v>
      </c>
      <c r="AM73" s="147">
        <v>1</v>
      </c>
      <c r="AN73" s="68">
        <v>1</v>
      </c>
      <c r="AO73" s="461"/>
      <c r="AP73" s="120" t="s">
        <v>700</v>
      </c>
      <c r="AQ73" s="120" t="s">
        <v>700</v>
      </c>
      <c r="AR73" s="445"/>
      <c r="AS73" s="163" t="s">
        <v>846</v>
      </c>
      <c r="AT73" s="755">
        <v>1</v>
      </c>
      <c r="AU73" s="756">
        <v>5</v>
      </c>
      <c r="AV73" s="461"/>
      <c r="AW73" s="768">
        <v>25000000</v>
      </c>
      <c r="AX73" s="768">
        <v>23933333</v>
      </c>
      <c r="AY73" s="445"/>
      <c r="AZ73" s="789" t="s">
        <v>907</v>
      </c>
      <c r="BA73" s="654"/>
      <c r="BB73" s="653"/>
      <c r="BC73" s="461"/>
      <c r="BD73" s="650"/>
      <c r="BE73" s="650"/>
      <c r="BF73" s="445"/>
      <c r="BG73" s="651"/>
      <c r="BH73" s="626"/>
      <c r="BI73" s="627"/>
      <c r="BJ73" s="741"/>
      <c r="BK73" s="628"/>
      <c r="BL73" s="628"/>
      <c r="BM73" s="543"/>
      <c r="BN73" s="691"/>
      <c r="BO73" s="598"/>
      <c r="BP73" s="481"/>
      <c r="BQ73" s="461"/>
      <c r="BR73" s="476"/>
      <c r="BS73" s="476"/>
      <c r="BT73" s="445"/>
      <c r="BU73" s="586"/>
      <c r="BV73" s="480"/>
      <c r="BW73" s="481"/>
      <c r="BX73" s="461"/>
      <c r="BY73" s="476"/>
      <c r="BZ73" s="476"/>
      <c r="CA73" s="473"/>
      <c r="CB73" s="477"/>
      <c r="CC73" s="731"/>
      <c r="CD73" s="480"/>
      <c r="CE73" s="481"/>
      <c r="CF73" s="461"/>
      <c r="CG73" s="476"/>
      <c r="CH73" s="476"/>
      <c r="CI73" s="473"/>
      <c r="CJ73" s="477"/>
      <c r="CK73" s="485"/>
      <c r="CL73" s="445"/>
      <c r="CM73" s="807"/>
      <c r="CN73" s="504"/>
    </row>
    <row r="74" spans="1:93" ht="159.75" customHeight="1" x14ac:dyDescent="0.25">
      <c r="A74" s="563"/>
      <c r="B74" s="551"/>
      <c r="C74" s="108" t="s">
        <v>210</v>
      </c>
      <c r="D74" s="111" t="s">
        <v>211</v>
      </c>
      <c r="E74" s="47" t="s">
        <v>212</v>
      </c>
      <c r="F74" s="47" t="s">
        <v>213</v>
      </c>
      <c r="G74" s="47" t="s">
        <v>209</v>
      </c>
      <c r="H74" s="85" t="s">
        <v>1026</v>
      </c>
      <c r="I74" s="32">
        <v>0</v>
      </c>
      <c r="J74" s="47">
        <v>10</v>
      </c>
      <c r="K74" s="57" t="s">
        <v>295</v>
      </c>
      <c r="L74" s="57" t="s">
        <v>359</v>
      </c>
      <c r="M74" s="47">
        <v>3902017</v>
      </c>
      <c r="N74" s="47" t="s">
        <v>360</v>
      </c>
      <c r="O74" s="47">
        <v>390201700</v>
      </c>
      <c r="P74" s="47" t="s">
        <v>360</v>
      </c>
      <c r="Q74" s="109">
        <v>10</v>
      </c>
      <c r="R74" s="95">
        <v>8</v>
      </c>
      <c r="S74" s="47">
        <v>20</v>
      </c>
      <c r="T74" s="54">
        <v>1</v>
      </c>
      <c r="U74" s="55"/>
      <c r="V74" s="55"/>
      <c r="W74" s="47" t="s">
        <v>273</v>
      </c>
      <c r="X74" s="191" t="s">
        <v>480</v>
      </c>
      <c r="Y74" s="95">
        <v>8</v>
      </c>
      <c r="Z74" s="47">
        <v>20</v>
      </c>
      <c r="AA74" s="54">
        <v>1</v>
      </c>
      <c r="AB74" s="55"/>
      <c r="AC74" s="59"/>
      <c r="AD74" s="47" t="s">
        <v>273</v>
      </c>
      <c r="AE74" s="191"/>
      <c r="AF74" s="602">
        <v>1</v>
      </c>
      <c r="AG74" s="543">
        <v>1</v>
      </c>
      <c r="AH74" s="54">
        <v>1</v>
      </c>
      <c r="AI74" s="628" t="s">
        <v>694</v>
      </c>
      <c r="AJ74" s="628" t="s">
        <v>695</v>
      </c>
      <c r="AK74" s="47" t="s">
        <v>273</v>
      </c>
      <c r="AL74" s="629" t="s">
        <v>769</v>
      </c>
      <c r="AM74" s="636">
        <v>1</v>
      </c>
      <c r="AN74" s="635">
        <v>1</v>
      </c>
      <c r="AO74" s="54">
        <v>1</v>
      </c>
      <c r="AP74" s="734">
        <v>205750000</v>
      </c>
      <c r="AQ74" s="734">
        <v>102060000</v>
      </c>
      <c r="AR74" s="47" t="s">
        <v>273</v>
      </c>
      <c r="AS74" s="629" t="s">
        <v>847</v>
      </c>
      <c r="AT74" s="755"/>
      <c r="AU74" s="756"/>
      <c r="AV74" s="54">
        <v>1</v>
      </c>
      <c r="AW74" s="768"/>
      <c r="AX74" s="768"/>
      <c r="AY74" s="47" t="s">
        <v>273</v>
      </c>
      <c r="AZ74" s="789"/>
      <c r="BA74" s="148">
        <v>10</v>
      </c>
      <c r="BB74" s="74">
        <v>20</v>
      </c>
      <c r="BC74" s="54">
        <v>1</v>
      </c>
      <c r="BD74" s="73">
        <v>519754832</v>
      </c>
      <c r="BE74" s="73">
        <v>74220990</v>
      </c>
      <c r="BF74" s="47" t="s">
        <v>273</v>
      </c>
      <c r="BG74" s="142" t="s">
        <v>968</v>
      </c>
      <c r="BH74" s="154">
        <v>7</v>
      </c>
      <c r="BI74" s="85">
        <v>0</v>
      </c>
      <c r="BJ74" s="75">
        <v>0</v>
      </c>
      <c r="BK74" s="69"/>
      <c r="BL74" s="69"/>
      <c r="BM74" s="85" t="s">
        <v>273</v>
      </c>
      <c r="BN74" s="192" t="s">
        <v>566</v>
      </c>
      <c r="BO74" s="95">
        <v>8</v>
      </c>
      <c r="BP74" s="47">
        <v>20</v>
      </c>
      <c r="BQ74" s="54">
        <v>1</v>
      </c>
      <c r="BR74" s="55"/>
      <c r="BS74" s="55"/>
      <c r="BT74" s="47" t="s">
        <v>273</v>
      </c>
      <c r="BU74" s="191" t="s">
        <v>646</v>
      </c>
      <c r="BV74" s="243">
        <v>9</v>
      </c>
      <c r="BW74" s="47">
        <v>9</v>
      </c>
      <c r="BX74" s="54">
        <v>1</v>
      </c>
      <c r="BY74" s="229">
        <v>451220071</v>
      </c>
      <c r="BZ74" s="229">
        <f>BY74/2</f>
        <v>225610035.5</v>
      </c>
      <c r="CA74" s="207">
        <f>BZ74/BY74</f>
        <v>0.5</v>
      </c>
      <c r="CB74" s="85" t="s">
        <v>1026</v>
      </c>
      <c r="CC74" s="253" t="s">
        <v>1072</v>
      </c>
      <c r="CD74" s="368">
        <v>10</v>
      </c>
      <c r="CE74" s="47">
        <v>9</v>
      </c>
      <c r="CF74" s="54">
        <v>1</v>
      </c>
      <c r="CG74" s="229">
        <f>451220071+35948539+25833670+6400000</f>
        <v>519402280</v>
      </c>
      <c r="CH74" s="432">
        <f>(CG74/2)+28564200+1546720</f>
        <v>289812060</v>
      </c>
      <c r="CI74" s="207">
        <f>CH74/CG74</f>
        <v>0.55797225225888492</v>
      </c>
      <c r="CJ74" s="85" t="s">
        <v>1026</v>
      </c>
      <c r="CK74" s="418" t="s">
        <v>1135</v>
      </c>
      <c r="CL74" s="47">
        <v>10</v>
      </c>
      <c r="CM74" s="215">
        <v>43</v>
      </c>
      <c r="CN74" s="207">
        <v>1</v>
      </c>
    </row>
    <row r="75" spans="1:93" ht="27" customHeight="1" x14ac:dyDescent="0.25">
      <c r="A75" s="563"/>
      <c r="B75" s="551"/>
      <c r="C75" s="571" t="s">
        <v>214</v>
      </c>
      <c r="D75" s="548" t="s">
        <v>215</v>
      </c>
      <c r="E75" s="445" t="s">
        <v>216</v>
      </c>
      <c r="F75" s="445" t="s">
        <v>217</v>
      </c>
      <c r="G75" s="445" t="s">
        <v>209</v>
      </c>
      <c r="H75" s="454" t="s">
        <v>1026</v>
      </c>
      <c r="I75" s="565">
        <v>0</v>
      </c>
      <c r="J75" s="445">
        <v>10</v>
      </c>
      <c r="K75" s="516" t="s">
        <v>291</v>
      </c>
      <c r="L75" s="516" t="s">
        <v>312</v>
      </c>
      <c r="M75" s="516" t="s">
        <v>293</v>
      </c>
      <c r="N75" s="516" t="s">
        <v>313</v>
      </c>
      <c r="O75" s="516" t="s">
        <v>293</v>
      </c>
      <c r="P75" s="516" t="s">
        <v>314</v>
      </c>
      <c r="Q75" s="593">
        <v>10</v>
      </c>
      <c r="R75" s="590">
        <v>8</v>
      </c>
      <c r="S75" s="445">
        <v>11</v>
      </c>
      <c r="T75" s="446">
        <f>S75/S75</f>
        <v>1</v>
      </c>
      <c r="U75" s="476">
        <v>60844000</v>
      </c>
      <c r="V75" s="476">
        <v>9900000</v>
      </c>
      <c r="W75" s="445" t="s">
        <v>274</v>
      </c>
      <c r="X75" s="586" t="s">
        <v>481</v>
      </c>
      <c r="Y75" s="590">
        <v>8</v>
      </c>
      <c r="Z75" s="445">
        <v>11</v>
      </c>
      <c r="AA75" s="446">
        <f>Z75/Z75</f>
        <v>1</v>
      </c>
      <c r="AB75" s="476"/>
      <c r="AC75" s="476"/>
      <c r="AD75" s="445" t="s">
        <v>274</v>
      </c>
      <c r="AE75" s="586"/>
      <c r="AF75" s="602"/>
      <c r="AG75" s="543"/>
      <c r="AH75" s="446" t="e">
        <f>AG75/AG75</f>
        <v>#DIV/0!</v>
      </c>
      <c r="AI75" s="628"/>
      <c r="AJ75" s="628"/>
      <c r="AK75" s="445" t="s">
        <v>274</v>
      </c>
      <c r="AL75" s="629"/>
      <c r="AM75" s="636"/>
      <c r="AN75" s="635"/>
      <c r="AO75" s="446" t="e">
        <f>AN75/AN75</f>
        <v>#DIV/0!</v>
      </c>
      <c r="AP75" s="735"/>
      <c r="AQ75" s="735"/>
      <c r="AR75" s="445" t="s">
        <v>274</v>
      </c>
      <c r="AS75" s="629"/>
      <c r="AT75" s="755">
        <v>3</v>
      </c>
      <c r="AU75" s="756">
        <v>1</v>
      </c>
      <c r="AV75" s="446">
        <f>AU75/AU75</f>
        <v>1</v>
      </c>
      <c r="AW75" s="768" t="s">
        <v>856</v>
      </c>
      <c r="AX75" s="764" t="s">
        <v>856</v>
      </c>
      <c r="AY75" s="445" t="s">
        <v>274</v>
      </c>
      <c r="AZ75" s="774" t="s">
        <v>1037</v>
      </c>
      <c r="BA75" s="652">
        <v>6</v>
      </c>
      <c r="BB75" s="653" t="s">
        <v>920</v>
      </c>
      <c r="BC75" s="446" t="e">
        <f>BB75/BB75</f>
        <v>#VALUE!</v>
      </c>
      <c r="BD75" s="650">
        <v>1563620850</v>
      </c>
      <c r="BE75" s="650">
        <v>1172715638</v>
      </c>
      <c r="BF75" s="445" t="s">
        <v>274</v>
      </c>
      <c r="BG75" s="651" t="s">
        <v>969</v>
      </c>
      <c r="BH75" s="787">
        <v>7</v>
      </c>
      <c r="BI75" s="543">
        <v>2</v>
      </c>
      <c r="BJ75" s="788">
        <f>(BI75/BH75)*1</f>
        <v>0.2857142857142857</v>
      </c>
      <c r="BK75" s="628"/>
      <c r="BL75" s="628"/>
      <c r="BM75" s="543" t="s">
        <v>274</v>
      </c>
      <c r="BN75" s="690" t="s">
        <v>567</v>
      </c>
      <c r="BO75" s="590">
        <v>8</v>
      </c>
      <c r="BP75" s="445">
        <v>5</v>
      </c>
      <c r="BQ75" s="446">
        <f>BP75/BP75</f>
        <v>1</v>
      </c>
      <c r="BR75" s="476">
        <v>60844000</v>
      </c>
      <c r="BS75" s="476">
        <v>9900000</v>
      </c>
      <c r="BT75" s="445" t="s">
        <v>274</v>
      </c>
      <c r="BU75" s="695" t="s">
        <v>647</v>
      </c>
      <c r="BV75" s="442">
        <v>9</v>
      </c>
      <c r="BW75" s="445">
        <v>11</v>
      </c>
      <c r="BX75" s="446">
        <f>BW75/BW75</f>
        <v>1</v>
      </c>
      <c r="BY75" s="736">
        <v>2673832466</v>
      </c>
      <c r="BZ75" s="736">
        <f>BY75*6</f>
        <v>16042994796</v>
      </c>
      <c r="CA75" s="440">
        <v>1</v>
      </c>
      <c r="CB75" s="454" t="s">
        <v>1026</v>
      </c>
      <c r="CC75" s="729" t="s">
        <v>1073</v>
      </c>
      <c r="CD75" s="442">
        <v>10</v>
      </c>
      <c r="CE75" s="445">
        <v>11</v>
      </c>
      <c r="CF75" s="446">
        <f>CE75/CE75</f>
        <v>1</v>
      </c>
      <c r="CG75" s="447">
        <f>2759841966*6+23454000+9775000</f>
        <v>16592280796</v>
      </c>
      <c r="CH75" s="450">
        <f>2673832466+44965000+41044500</f>
        <v>2759841966</v>
      </c>
      <c r="CI75" s="440">
        <f>CH75/CG75</f>
        <v>0.16633288695700785</v>
      </c>
      <c r="CJ75" s="454" t="s">
        <v>1026</v>
      </c>
      <c r="CK75" s="457" t="s">
        <v>1136</v>
      </c>
      <c r="CL75" s="445">
        <v>10</v>
      </c>
      <c r="CM75" s="803">
        <v>11</v>
      </c>
      <c r="CN75" s="446">
        <v>1</v>
      </c>
    </row>
    <row r="76" spans="1:93" ht="107.25" customHeight="1" x14ac:dyDescent="0.25">
      <c r="A76" s="563"/>
      <c r="B76" s="551"/>
      <c r="C76" s="572"/>
      <c r="D76" s="548"/>
      <c r="E76" s="445"/>
      <c r="F76" s="445"/>
      <c r="G76" s="445"/>
      <c r="H76" s="455"/>
      <c r="I76" s="565"/>
      <c r="J76" s="445"/>
      <c r="K76" s="516"/>
      <c r="L76" s="516"/>
      <c r="M76" s="516"/>
      <c r="N76" s="516"/>
      <c r="O76" s="516"/>
      <c r="P76" s="516"/>
      <c r="Q76" s="593"/>
      <c r="R76" s="590"/>
      <c r="S76" s="445"/>
      <c r="T76" s="446"/>
      <c r="U76" s="476"/>
      <c r="V76" s="476"/>
      <c r="W76" s="445"/>
      <c r="X76" s="586"/>
      <c r="Y76" s="590"/>
      <c r="Z76" s="445"/>
      <c r="AA76" s="446"/>
      <c r="AB76" s="476"/>
      <c r="AC76" s="476"/>
      <c r="AD76" s="445"/>
      <c r="AE76" s="586"/>
      <c r="AF76" s="602"/>
      <c r="AG76" s="543"/>
      <c r="AH76" s="446"/>
      <c r="AI76" s="628"/>
      <c r="AJ76" s="628"/>
      <c r="AK76" s="445"/>
      <c r="AL76" s="629"/>
      <c r="AM76" s="636"/>
      <c r="AN76" s="635"/>
      <c r="AO76" s="446"/>
      <c r="AP76" s="735"/>
      <c r="AQ76" s="735"/>
      <c r="AR76" s="445"/>
      <c r="AS76" s="629"/>
      <c r="AT76" s="755"/>
      <c r="AU76" s="756"/>
      <c r="AV76" s="446"/>
      <c r="AW76" s="756"/>
      <c r="AX76" s="764"/>
      <c r="AY76" s="445"/>
      <c r="AZ76" s="774"/>
      <c r="BA76" s="652"/>
      <c r="BB76" s="653"/>
      <c r="BC76" s="446"/>
      <c r="BD76" s="650"/>
      <c r="BE76" s="650"/>
      <c r="BF76" s="445"/>
      <c r="BG76" s="651"/>
      <c r="BH76" s="787"/>
      <c r="BI76" s="543"/>
      <c r="BJ76" s="788"/>
      <c r="BK76" s="628"/>
      <c r="BL76" s="628"/>
      <c r="BM76" s="543"/>
      <c r="BN76" s="690"/>
      <c r="BO76" s="590"/>
      <c r="BP76" s="445"/>
      <c r="BQ76" s="446"/>
      <c r="BR76" s="476"/>
      <c r="BS76" s="476"/>
      <c r="BT76" s="445"/>
      <c r="BU76" s="695"/>
      <c r="BV76" s="443"/>
      <c r="BW76" s="445"/>
      <c r="BX76" s="446"/>
      <c r="BY76" s="737"/>
      <c r="BZ76" s="737"/>
      <c r="CA76" s="441"/>
      <c r="CB76" s="455"/>
      <c r="CC76" s="730"/>
      <c r="CD76" s="443"/>
      <c r="CE76" s="445"/>
      <c r="CF76" s="446"/>
      <c r="CG76" s="448"/>
      <c r="CH76" s="451"/>
      <c r="CI76" s="441"/>
      <c r="CJ76" s="455"/>
      <c r="CK76" s="458"/>
      <c r="CL76" s="445"/>
      <c r="CM76" s="551"/>
      <c r="CN76" s="446"/>
      <c r="CO76" s="736"/>
    </row>
    <row r="77" spans="1:93" ht="218.25" customHeight="1" thickBot="1" x14ac:dyDescent="0.3">
      <c r="A77" s="566"/>
      <c r="B77" s="567"/>
      <c r="C77" s="573"/>
      <c r="D77" s="111" t="s">
        <v>218</v>
      </c>
      <c r="E77" s="47" t="s">
        <v>219</v>
      </c>
      <c r="F77" s="445"/>
      <c r="G77" s="445"/>
      <c r="H77" s="456"/>
      <c r="I77" s="565"/>
      <c r="J77" s="445"/>
      <c r="K77" s="516"/>
      <c r="L77" s="516"/>
      <c r="M77" s="516"/>
      <c r="N77" s="516"/>
      <c r="O77" s="516"/>
      <c r="P77" s="516"/>
      <c r="Q77" s="593"/>
      <c r="R77" s="590"/>
      <c r="S77" s="445"/>
      <c r="T77" s="446"/>
      <c r="U77" s="476"/>
      <c r="V77" s="476"/>
      <c r="W77" s="445"/>
      <c r="X77" s="586"/>
      <c r="Y77" s="590"/>
      <c r="Z77" s="445"/>
      <c r="AA77" s="446"/>
      <c r="AB77" s="476"/>
      <c r="AC77" s="476"/>
      <c r="AD77" s="445"/>
      <c r="AE77" s="586"/>
      <c r="AF77" s="195">
        <v>1</v>
      </c>
      <c r="AG77" s="117">
        <v>1</v>
      </c>
      <c r="AH77" s="446"/>
      <c r="AI77" s="628" t="s">
        <v>694</v>
      </c>
      <c r="AJ77" s="628" t="s">
        <v>695</v>
      </c>
      <c r="AK77" s="445"/>
      <c r="AL77" s="192" t="s">
        <v>770</v>
      </c>
      <c r="AM77" s="147" t="s">
        <v>779</v>
      </c>
      <c r="AN77" s="68" t="s">
        <v>779</v>
      </c>
      <c r="AO77" s="446"/>
      <c r="AP77" s="121">
        <v>24350000</v>
      </c>
      <c r="AQ77" s="121">
        <v>12000000</v>
      </c>
      <c r="AR77" s="445"/>
      <c r="AS77" s="163" t="s">
        <v>848</v>
      </c>
      <c r="AT77" s="177">
        <v>12</v>
      </c>
      <c r="AU77" s="85">
        <v>12</v>
      </c>
      <c r="AV77" s="446"/>
      <c r="AW77" s="127">
        <v>25000000</v>
      </c>
      <c r="AX77" s="128">
        <v>23933333</v>
      </c>
      <c r="AY77" s="445"/>
      <c r="AZ77" s="163" t="s">
        <v>908</v>
      </c>
      <c r="BA77" s="652"/>
      <c r="BB77" s="653"/>
      <c r="BC77" s="446"/>
      <c r="BD77" s="650"/>
      <c r="BE77" s="650"/>
      <c r="BF77" s="445"/>
      <c r="BG77" s="651"/>
      <c r="BH77" s="787"/>
      <c r="BI77" s="543"/>
      <c r="BJ77" s="788"/>
      <c r="BK77" s="628"/>
      <c r="BL77" s="628"/>
      <c r="BM77" s="543"/>
      <c r="BN77" s="690"/>
      <c r="BO77" s="590"/>
      <c r="BP77" s="445"/>
      <c r="BQ77" s="446"/>
      <c r="BR77" s="476"/>
      <c r="BS77" s="476"/>
      <c r="BT77" s="445"/>
      <c r="BU77" s="695"/>
      <c r="BV77" s="444"/>
      <c r="BW77" s="445"/>
      <c r="BX77" s="446"/>
      <c r="BY77" s="738"/>
      <c r="BZ77" s="738"/>
      <c r="CA77" s="453"/>
      <c r="CB77" s="456"/>
      <c r="CC77" s="730"/>
      <c r="CD77" s="444"/>
      <c r="CE77" s="445"/>
      <c r="CF77" s="446"/>
      <c r="CG77" s="449"/>
      <c r="CH77" s="452"/>
      <c r="CI77" s="453"/>
      <c r="CJ77" s="456"/>
      <c r="CK77" s="458"/>
      <c r="CL77" s="445"/>
      <c r="CM77" s="804"/>
      <c r="CN77" s="446"/>
      <c r="CO77" s="737"/>
    </row>
    <row r="78" spans="1:93" ht="98.25" customHeight="1" x14ac:dyDescent="0.25">
      <c r="A78" s="562" t="s">
        <v>220</v>
      </c>
      <c r="B78" s="550" t="s">
        <v>221</v>
      </c>
      <c r="C78" s="552" t="s">
        <v>222</v>
      </c>
      <c r="D78" s="111" t="s">
        <v>223</v>
      </c>
      <c r="E78" s="47" t="s">
        <v>224</v>
      </c>
      <c r="F78" s="47" t="s">
        <v>225</v>
      </c>
      <c r="G78" s="47" t="s">
        <v>226</v>
      </c>
      <c r="H78" s="224" t="s">
        <v>227</v>
      </c>
      <c r="I78" s="32">
        <v>0</v>
      </c>
      <c r="J78" s="47">
        <v>1</v>
      </c>
      <c r="K78" s="57" t="s">
        <v>361</v>
      </c>
      <c r="L78" s="57" t="s">
        <v>362</v>
      </c>
      <c r="M78" s="47" t="s">
        <v>37</v>
      </c>
      <c r="N78" s="47" t="s">
        <v>363</v>
      </c>
      <c r="O78" s="47" t="s">
        <v>37</v>
      </c>
      <c r="P78" s="47" t="s">
        <v>364</v>
      </c>
      <c r="Q78" s="109">
        <v>1</v>
      </c>
      <c r="R78" s="96" t="s">
        <v>402</v>
      </c>
      <c r="S78" s="44" t="s">
        <v>422</v>
      </c>
      <c r="T78" s="54">
        <v>1</v>
      </c>
      <c r="U78" s="55"/>
      <c r="V78" s="55">
        <v>8655000</v>
      </c>
      <c r="W78" s="516" t="s">
        <v>255</v>
      </c>
      <c r="X78" s="97" t="s">
        <v>482</v>
      </c>
      <c r="Y78" s="96" t="s">
        <v>402</v>
      </c>
      <c r="Z78" s="44" t="s">
        <v>422</v>
      </c>
      <c r="AA78" s="54">
        <v>1</v>
      </c>
      <c r="AB78" s="55"/>
      <c r="AC78" s="55"/>
      <c r="AD78" s="516" t="s">
        <v>255</v>
      </c>
      <c r="AE78" s="97"/>
      <c r="AF78" s="195">
        <v>1</v>
      </c>
      <c r="AG78" s="117">
        <v>1</v>
      </c>
      <c r="AH78" s="54">
        <v>1</v>
      </c>
      <c r="AI78" s="628"/>
      <c r="AJ78" s="628"/>
      <c r="AK78" s="516" t="s">
        <v>255</v>
      </c>
      <c r="AL78" s="192" t="s">
        <v>771</v>
      </c>
      <c r="AM78" s="164">
        <v>1</v>
      </c>
      <c r="AN78" s="118">
        <v>0</v>
      </c>
      <c r="AO78" s="54">
        <v>1</v>
      </c>
      <c r="AP78" s="121">
        <v>25000000</v>
      </c>
      <c r="AQ78" s="68">
        <v>0</v>
      </c>
      <c r="AR78" s="516" t="s">
        <v>255</v>
      </c>
      <c r="AS78" s="172" t="s">
        <v>849</v>
      </c>
      <c r="AT78" s="178">
        <v>1</v>
      </c>
      <c r="AU78" s="126">
        <v>1</v>
      </c>
      <c r="AV78" s="54">
        <v>1</v>
      </c>
      <c r="AW78" s="181" t="s">
        <v>856</v>
      </c>
      <c r="AX78" s="181" t="s">
        <v>856</v>
      </c>
      <c r="AY78" s="516" t="s">
        <v>255</v>
      </c>
      <c r="AZ78" s="172" t="s">
        <v>909</v>
      </c>
      <c r="BA78" s="198">
        <v>12</v>
      </c>
      <c r="BB78" s="189">
        <v>12</v>
      </c>
      <c r="BC78" s="54">
        <v>1</v>
      </c>
      <c r="BD78" s="82">
        <v>32000000</v>
      </c>
      <c r="BE78" s="82">
        <v>31440300</v>
      </c>
      <c r="BF78" s="516" t="s">
        <v>255</v>
      </c>
      <c r="BG78" s="146" t="s">
        <v>970</v>
      </c>
      <c r="BH78" s="155" t="s">
        <v>402</v>
      </c>
      <c r="BI78" s="86" t="s">
        <v>568</v>
      </c>
      <c r="BJ78" s="75">
        <v>0</v>
      </c>
      <c r="BK78" s="73"/>
      <c r="BL78" s="73"/>
      <c r="BM78" s="653" t="s">
        <v>255</v>
      </c>
      <c r="BN78" s="146" t="s">
        <v>569</v>
      </c>
      <c r="BO78" s="96" t="s">
        <v>402</v>
      </c>
      <c r="BP78" s="44" t="s">
        <v>422</v>
      </c>
      <c r="BQ78" s="54">
        <v>1</v>
      </c>
      <c r="BR78" s="55"/>
      <c r="BS78" s="55">
        <v>8655000</v>
      </c>
      <c r="BT78" s="516" t="s">
        <v>255</v>
      </c>
      <c r="BU78" s="97" t="s">
        <v>648</v>
      </c>
      <c r="BV78" s="68">
        <v>1</v>
      </c>
      <c r="BW78" s="44" t="s">
        <v>422</v>
      </c>
      <c r="BX78" s="54">
        <v>1</v>
      </c>
      <c r="BY78" s="55">
        <v>0</v>
      </c>
      <c r="BZ78" s="55">
        <v>0</v>
      </c>
      <c r="CA78" s="208">
        <v>0</v>
      </c>
      <c r="CB78" s="224" t="s">
        <v>227</v>
      </c>
      <c r="CC78" s="252" t="s">
        <v>1074</v>
      </c>
      <c r="CD78" s="68">
        <v>1</v>
      </c>
      <c r="CE78" s="44" t="s">
        <v>422</v>
      </c>
      <c r="CF78" s="54">
        <v>1</v>
      </c>
      <c r="CG78" s="55">
        <v>0</v>
      </c>
      <c r="CH78" s="429">
        <v>0</v>
      </c>
      <c r="CI78" s="208">
        <v>0</v>
      </c>
      <c r="CJ78" s="224" t="s">
        <v>227</v>
      </c>
      <c r="CK78" s="270" t="s">
        <v>1137</v>
      </c>
      <c r="CL78" s="47">
        <v>1</v>
      </c>
      <c r="CM78" s="218" t="s">
        <v>422</v>
      </c>
      <c r="CN78" s="226">
        <v>1</v>
      </c>
      <c r="CO78" s="738"/>
    </row>
    <row r="79" spans="1:93" ht="65.25" customHeight="1" x14ac:dyDescent="0.25">
      <c r="A79" s="569"/>
      <c r="B79" s="551"/>
      <c r="C79" s="553"/>
      <c r="D79" s="111" t="s">
        <v>228</v>
      </c>
      <c r="E79" s="47" t="s">
        <v>229</v>
      </c>
      <c r="F79" s="47" t="s">
        <v>230</v>
      </c>
      <c r="G79" s="47" t="s">
        <v>226</v>
      </c>
      <c r="H79" s="85" t="s">
        <v>1027</v>
      </c>
      <c r="I79" s="32">
        <v>0</v>
      </c>
      <c r="J79" s="61">
        <v>1</v>
      </c>
      <c r="K79" s="516" t="s">
        <v>291</v>
      </c>
      <c r="L79" s="516" t="s">
        <v>292</v>
      </c>
      <c r="M79" s="516" t="s">
        <v>293</v>
      </c>
      <c r="N79" s="516" t="s">
        <v>423</v>
      </c>
      <c r="O79" s="516" t="s">
        <v>293</v>
      </c>
      <c r="P79" s="516" t="s">
        <v>392</v>
      </c>
      <c r="Q79" s="110">
        <v>1</v>
      </c>
      <c r="R79" s="98">
        <v>0.5</v>
      </c>
      <c r="S79" s="45">
        <v>0.5</v>
      </c>
      <c r="T79" s="34">
        <f>(S79/R79)*1</f>
        <v>1</v>
      </c>
      <c r="U79" s="55">
        <v>0</v>
      </c>
      <c r="V79" s="55">
        <v>8655000</v>
      </c>
      <c r="W79" s="516"/>
      <c r="X79" s="99" t="s">
        <v>483</v>
      </c>
      <c r="Y79" s="98">
        <v>0.5</v>
      </c>
      <c r="Z79" s="45">
        <v>0.5</v>
      </c>
      <c r="AA79" s="34">
        <f>(Z79/Y79)*1</f>
        <v>1</v>
      </c>
      <c r="AB79" s="55"/>
      <c r="AC79" s="55"/>
      <c r="AD79" s="516"/>
      <c r="AE79" s="99"/>
      <c r="AF79" s="602">
        <v>4</v>
      </c>
      <c r="AG79" s="543">
        <v>2</v>
      </c>
      <c r="AH79" s="34">
        <f>(AG79/AF79)*1</f>
        <v>0.5</v>
      </c>
      <c r="AI79" s="628"/>
      <c r="AJ79" s="628"/>
      <c r="AK79" s="516"/>
      <c r="AL79" s="629" t="s">
        <v>772</v>
      </c>
      <c r="AM79" s="636">
        <v>4</v>
      </c>
      <c r="AN79" s="635">
        <v>2</v>
      </c>
      <c r="AO79" s="34">
        <f>(AN79/AM79)*1</f>
        <v>0.5</v>
      </c>
      <c r="AP79" s="749">
        <v>24350000</v>
      </c>
      <c r="AQ79" s="749">
        <v>12000000</v>
      </c>
      <c r="AR79" s="516"/>
      <c r="AS79" s="629" t="s">
        <v>850</v>
      </c>
      <c r="AT79" s="755">
        <v>4</v>
      </c>
      <c r="AU79" s="756">
        <v>11</v>
      </c>
      <c r="AV79" s="34">
        <f>(AU79/AT79)*1</f>
        <v>2.75</v>
      </c>
      <c r="AW79" s="778">
        <v>25000000</v>
      </c>
      <c r="AX79" s="767">
        <v>23933333</v>
      </c>
      <c r="AY79" s="516"/>
      <c r="AZ79" s="629" t="s">
        <v>910</v>
      </c>
      <c r="BA79" s="156">
        <v>1</v>
      </c>
      <c r="BB79" s="130">
        <v>0.9</v>
      </c>
      <c r="BC79" s="34">
        <f>(BB79/BA79)*1</f>
        <v>0.9</v>
      </c>
      <c r="BD79" s="82"/>
      <c r="BE79" s="82"/>
      <c r="BF79" s="516"/>
      <c r="BG79" s="135" t="s">
        <v>971</v>
      </c>
      <c r="BH79" s="156">
        <v>0.9</v>
      </c>
      <c r="BI79" s="87">
        <v>0.9</v>
      </c>
      <c r="BJ79" s="70">
        <f>(BI79/BH79)*1</f>
        <v>1</v>
      </c>
      <c r="BK79" s="73"/>
      <c r="BL79" s="73"/>
      <c r="BM79" s="653"/>
      <c r="BN79" s="135" t="s">
        <v>570</v>
      </c>
      <c r="BO79" s="98">
        <v>0.5</v>
      </c>
      <c r="BP79" s="45">
        <v>0.5</v>
      </c>
      <c r="BQ79" s="34">
        <f>(BP79/BO79)*1</f>
        <v>1</v>
      </c>
      <c r="BR79" s="55">
        <v>0</v>
      </c>
      <c r="BS79" s="55">
        <v>8655000</v>
      </c>
      <c r="BT79" s="516"/>
      <c r="BU79" s="99" t="s">
        <v>649</v>
      </c>
      <c r="BV79" s="118">
        <v>0.5</v>
      </c>
      <c r="BW79" s="45">
        <v>0.5</v>
      </c>
      <c r="BX79" s="34">
        <f>(BW79/BV79)*1</f>
        <v>1</v>
      </c>
      <c r="BY79" s="55">
        <v>0</v>
      </c>
      <c r="BZ79" s="55">
        <v>0</v>
      </c>
      <c r="CA79" s="34">
        <v>0</v>
      </c>
      <c r="CB79" s="85" t="s">
        <v>1027</v>
      </c>
      <c r="CC79" s="248" t="s">
        <v>1085</v>
      </c>
      <c r="CD79" s="118">
        <v>0.5</v>
      </c>
      <c r="CE79" s="45">
        <v>0.5</v>
      </c>
      <c r="CF79" s="34">
        <f>(CE79/CD79)*1</f>
        <v>1</v>
      </c>
      <c r="CG79" s="55">
        <v>0</v>
      </c>
      <c r="CH79" s="429">
        <v>0</v>
      </c>
      <c r="CI79" s="34">
        <v>0</v>
      </c>
      <c r="CJ79" s="85" t="s">
        <v>1027</v>
      </c>
      <c r="CK79" s="271" t="s">
        <v>1138</v>
      </c>
      <c r="CL79" s="61">
        <v>1</v>
      </c>
      <c r="CM79" s="45">
        <v>0.5</v>
      </c>
      <c r="CN79" s="46">
        <f>CM79/CL79</f>
        <v>0.5</v>
      </c>
    </row>
    <row r="80" spans="1:93" ht="33.75" customHeight="1" x14ac:dyDescent="0.25">
      <c r="A80" s="569"/>
      <c r="B80" s="551"/>
      <c r="C80" s="553"/>
      <c r="D80" s="548" t="s">
        <v>231</v>
      </c>
      <c r="E80" s="445" t="s">
        <v>232</v>
      </c>
      <c r="F80" s="445" t="s">
        <v>233</v>
      </c>
      <c r="G80" s="445" t="s">
        <v>21</v>
      </c>
      <c r="H80" s="454" t="s">
        <v>1028</v>
      </c>
      <c r="I80" s="565">
        <v>3</v>
      </c>
      <c r="J80" s="445">
        <v>10</v>
      </c>
      <c r="K80" s="516"/>
      <c r="L80" s="516"/>
      <c r="M80" s="516"/>
      <c r="N80" s="516"/>
      <c r="O80" s="516"/>
      <c r="P80" s="516"/>
      <c r="Q80" s="593">
        <v>10</v>
      </c>
      <c r="R80" s="590">
        <v>8</v>
      </c>
      <c r="S80" s="445">
        <v>7</v>
      </c>
      <c r="T80" s="461">
        <f>(S80/R80)*1</f>
        <v>0.875</v>
      </c>
      <c r="U80" s="591">
        <v>8655000</v>
      </c>
      <c r="V80" s="476">
        <v>8655000</v>
      </c>
      <c r="W80" s="516"/>
      <c r="X80" s="587" t="s">
        <v>484</v>
      </c>
      <c r="Y80" s="590">
        <v>8</v>
      </c>
      <c r="Z80" s="445">
        <v>7</v>
      </c>
      <c r="AA80" s="461">
        <f>(Z80/Y80)*1</f>
        <v>0.875</v>
      </c>
      <c r="AB80" s="591"/>
      <c r="AC80" s="476"/>
      <c r="AD80" s="516"/>
      <c r="AE80" s="587"/>
      <c r="AF80" s="602"/>
      <c r="AG80" s="543"/>
      <c r="AH80" s="461" t="e">
        <f>(AG80/AF80)*1</f>
        <v>#DIV/0!</v>
      </c>
      <c r="AI80" s="628"/>
      <c r="AJ80" s="628"/>
      <c r="AK80" s="516"/>
      <c r="AL80" s="629"/>
      <c r="AM80" s="636"/>
      <c r="AN80" s="635"/>
      <c r="AO80" s="461" t="e">
        <f>(AN80/AM80)*1</f>
        <v>#DIV/0!</v>
      </c>
      <c r="AP80" s="749"/>
      <c r="AQ80" s="749"/>
      <c r="AR80" s="516"/>
      <c r="AS80" s="629"/>
      <c r="AT80" s="755"/>
      <c r="AU80" s="756"/>
      <c r="AV80" s="461" t="e">
        <f>(AU80/AT80)*1</f>
        <v>#DIV/0!</v>
      </c>
      <c r="AW80" s="778"/>
      <c r="AX80" s="767"/>
      <c r="AY80" s="516"/>
      <c r="AZ80" s="629"/>
      <c r="BA80" s="652">
        <v>4</v>
      </c>
      <c r="BB80" s="653">
        <v>3</v>
      </c>
      <c r="BC80" s="461">
        <f>(BB80/BA80)*1</f>
        <v>0.75</v>
      </c>
      <c r="BD80" s="650">
        <v>32000000</v>
      </c>
      <c r="BE80" s="650">
        <v>31440300</v>
      </c>
      <c r="BF80" s="516"/>
      <c r="BG80" s="651" t="s">
        <v>972</v>
      </c>
      <c r="BH80" s="785">
        <v>7</v>
      </c>
      <c r="BI80" s="653">
        <v>0</v>
      </c>
      <c r="BJ80" s="741">
        <f>(BI80/BH80)*1</f>
        <v>0</v>
      </c>
      <c r="BK80" s="689"/>
      <c r="BL80" s="650"/>
      <c r="BM80" s="653"/>
      <c r="BN80" s="786" t="s">
        <v>571</v>
      </c>
      <c r="BO80" s="590">
        <v>8</v>
      </c>
      <c r="BP80" s="445">
        <v>7</v>
      </c>
      <c r="BQ80" s="461">
        <f>(BP80/BO80)*1</f>
        <v>0.875</v>
      </c>
      <c r="BR80" s="591">
        <v>8655000</v>
      </c>
      <c r="BS80" s="476">
        <v>8655000</v>
      </c>
      <c r="BT80" s="516"/>
      <c r="BU80" s="786" t="s">
        <v>650</v>
      </c>
      <c r="BV80" s="742">
        <v>1</v>
      </c>
      <c r="BW80" s="445">
        <v>1</v>
      </c>
      <c r="BX80" s="461">
        <f>(BW80/BV80)*1</f>
        <v>1</v>
      </c>
      <c r="BY80" s="727">
        <v>28313000</v>
      </c>
      <c r="BZ80" s="470">
        <v>35000000</v>
      </c>
      <c r="CA80" s="466">
        <f>BY80/BZ80</f>
        <v>0.80894285714285719</v>
      </c>
      <c r="CB80" s="454" t="s">
        <v>1028</v>
      </c>
      <c r="CC80" s="728" t="s">
        <v>1075</v>
      </c>
      <c r="CD80" s="459">
        <v>1</v>
      </c>
      <c r="CE80" s="445">
        <v>1</v>
      </c>
      <c r="CF80" s="461">
        <f>(CE80/CD80)*1</f>
        <v>1</v>
      </c>
      <c r="CG80" s="462">
        <v>55000000</v>
      </c>
      <c r="CH80" s="464">
        <v>13973333</v>
      </c>
      <c r="CI80" s="466">
        <f>CH80/CG80</f>
        <v>0.25406060000000003</v>
      </c>
      <c r="CJ80" s="454" t="s">
        <v>1028</v>
      </c>
      <c r="CK80" s="468" t="s">
        <v>1139</v>
      </c>
      <c r="CL80" s="445">
        <v>10</v>
      </c>
      <c r="CM80" s="803">
        <v>8</v>
      </c>
      <c r="CN80" s="503">
        <f>CM80/CL80</f>
        <v>0.8</v>
      </c>
    </row>
    <row r="81" spans="1:92" ht="126.75" customHeight="1" thickBot="1" x14ac:dyDescent="0.3">
      <c r="A81" s="570"/>
      <c r="B81" s="567"/>
      <c r="C81" s="568"/>
      <c r="D81" s="548"/>
      <c r="E81" s="445"/>
      <c r="F81" s="445"/>
      <c r="G81" s="445"/>
      <c r="H81" s="456"/>
      <c r="I81" s="565"/>
      <c r="J81" s="445"/>
      <c r="K81" s="516"/>
      <c r="L81" s="516"/>
      <c r="M81" s="57"/>
      <c r="N81" s="516"/>
      <c r="O81" s="516"/>
      <c r="P81" s="516"/>
      <c r="Q81" s="593"/>
      <c r="R81" s="590"/>
      <c r="S81" s="445"/>
      <c r="T81" s="461"/>
      <c r="U81" s="591"/>
      <c r="V81" s="476"/>
      <c r="W81" s="516"/>
      <c r="X81" s="587"/>
      <c r="Y81" s="590"/>
      <c r="Z81" s="445"/>
      <c r="AA81" s="461"/>
      <c r="AB81" s="591"/>
      <c r="AC81" s="476"/>
      <c r="AD81" s="516"/>
      <c r="AE81" s="587"/>
      <c r="AF81" s="196">
        <v>7</v>
      </c>
      <c r="AG81" s="116">
        <v>7</v>
      </c>
      <c r="AH81" s="461"/>
      <c r="AI81" s="628"/>
      <c r="AJ81" s="628"/>
      <c r="AK81" s="516"/>
      <c r="AL81" s="192" t="s">
        <v>773</v>
      </c>
      <c r="AM81" s="147">
        <v>12</v>
      </c>
      <c r="AN81" s="68">
        <v>12</v>
      </c>
      <c r="AO81" s="461"/>
      <c r="AP81" s="749">
        <v>24350000</v>
      </c>
      <c r="AQ81" s="749">
        <v>12000000</v>
      </c>
      <c r="AR81" s="516"/>
      <c r="AS81" s="163" t="s">
        <v>851</v>
      </c>
      <c r="AT81" s="171">
        <v>12</v>
      </c>
      <c r="AU81" s="125">
        <v>12</v>
      </c>
      <c r="AV81" s="461"/>
      <c r="AW81" s="778">
        <v>25000000</v>
      </c>
      <c r="AX81" s="764">
        <v>23933333</v>
      </c>
      <c r="AY81" s="516"/>
      <c r="AZ81" s="174" t="s">
        <v>911</v>
      </c>
      <c r="BA81" s="652"/>
      <c r="BB81" s="653"/>
      <c r="BC81" s="461"/>
      <c r="BD81" s="650"/>
      <c r="BE81" s="650"/>
      <c r="BF81" s="516"/>
      <c r="BG81" s="651"/>
      <c r="BH81" s="785"/>
      <c r="BI81" s="653"/>
      <c r="BJ81" s="741"/>
      <c r="BK81" s="689"/>
      <c r="BL81" s="650"/>
      <c r="BM81" s="653"/>
      <c r="BN81" s="786"/>
      <c r="BO81" s="590"/>
      <c r="BP81" s="445"/>
      <c r="BQ81" s="461"/>
      <c r="BR81" s="591"/>
      <c r="BS81" s="476"/>
      <c r="BT81" s="516"/>
      <c r="BU81" s="587"/>
      <c r="BV81" s="480"/>
      <c r="BW81" s="445"/>
      <c r="BX81" s="461"/>
      <c r="BY81" s="463"/>
      <c r="BZ81" s="471"/>
      <c r="CA81" s="467"/>
      <c r="CB81" s="456"/>
      <c r="CC81" s="728"/>
      <c r="CD81" s="460"/>
      <c r="CE81" s="445"/>
      <c r="CF81" s="461"/>
      <c r="CG81" s="463"/>
      <c r="CH81" s="465"/>
      <c r="CI81" s="467"/>
      <c r="CJ81" s="456"/>
      <c r="CK81" s="469"/>
      <c r="CL81" s="445"/>
      <c r="CM81" s="567"/>
      <c r="CN81" s="542"/>
    </row>
    <row r="82" spans="1:92" ht="121.5" customHeight="1" x14ac:dyDescent="0.25">
      <c r="A82" s="562" t="s">
        <v>234</v>
      </c>
      <c r="B82" s="550" t="s">
        <v>235</v>
      </c>
      <c r="C82" s="552" t="s">
        <v>236</v>
      </c>
      <c r="D82" s="111" t="s">
        <v>237</v>
      </c>
      <c r="E82" s="47" t="s">
        <v>238</v>
      </c>
      <c r="F82" s="47" t="s">
        <v>239</v>
      </c>
      <c r="G82" s="47" t="s">
        <v>209</v>
      </c>
      <c r="H82" s="224" t="s">
        <v>1029</v>
      </c>
      <c r="I82" s="47">
        <v>5</v>
      </c>
      <c r="J82" s="47">
        <v>12</v>
      </c>
      <c r="K82" s="516" t="s">
        <v>291</v>
      </c>
      <c r="L82" s="516" t="s">
        <v>292</v>
      </c>
      <c r="M82" s="516" t="s">
        <v>293</v>
      </c>
      <c r="N82" s="516" t="s">
        <v>423</v>
      </c>
      <c r="O82" s="516" t="s">
        <v>365</v>
      </c>
      <c r="P82" s="516" t="s">
        <v>392</v>
      </c>
      <c r="Q82" s="109">
        <v>12</v>
      </c>
      <c r="R82" s="100">
        <v>5</v>
      </c>
      <c r="S82" s="63">
        <v>7</v>
      </c>
      <c r="T82" s="46">
        <v>1</v>
      </c>
      <c r="U82" s="55">
        <v>8655000</v>
      </c>
      <c r="V82" s="55">
        <v>8655000</v>
      </c>
      <c r="W82" s="516" t="s">
        <v>255</v>
      </c>
      <c r="X82" s="142" t="s">
        <v>485</v>
      </c>
      <c r="Y82" s="100">
        <v>5</v>
      </c>
      <c r="Z82" s="63">
        <v>7</v>
      </c>
      <c r="AA82" s="46">
        <v>1</v>
      </c>
      <c r="AB82" s="55"/>
      <c r="AC82" s="55"/>
      <c r="AD82" s="516" t="s">
        <v>255</v>
      </c>
      <c r="AE82" s="142"/>
      <c r="AF82" s="196">
        <v>0</v>
      </c>
      <c r="AG82" s="116">
        <v>0</v>
      </c>
      <c r="AH82" s="46">
        <v>1</v>
      </c>
      <c r="AI82" s="628"/>
      <c r="AJ82" s="628"/>
      <c r="AK82" s="516" t="s">
        <v>255</v>
      </c>
      <c r="AL82" s="192" t="s">
        <v>774</v>
      </c>
      <c r="AM82" s="147">
        <v>13</v>
      </c>
      <c r="AN82" s="68">
        <v>13</v>
      </c>
      <c r="AO82" s="46">
        <v>1</v>
      </c>
      <c r="AP82" s="749"/>
      <c r="AQ82" s="749"/>
      <c r="AR82" s="516" t="s">
        <v>255</v>
      </c>
      <c r="AS82" s="163" t="s">
        <v>852</v>
      </c>
      <c r="AT82" s="171">
        <v>13</v>
      </c>
      <c r="AU82" s="125">
        <v>0</v>
      </c>
      <c r="AV82" s="46">
        <v>1</v>
      </c>
      <c r="AW82" s="778"/>
      <c r="AX82" s="764"/>
      <c r="AY82" s="516" t="s">
        <v>255</v>
      </c>
      <c r="AZ82" s="174" t="s">
        <v>912</v>
      </c>
      <c r="BA82" s="157">
        <v>12</v>
      </c>
      <c r="BB82" s="131">
        <v>7</v>
      </c>
      <c r="BC82" s="46">
        <v>1</v>
      </c>
      <c r="BD82" s="650">
        <v>32000000</v>
      </c>
      <c r="BE82" s="650">
        <v>32000000</v>
      </c>
      <c r="BF82" s="516" t="s">
        <v>255</v>
      </c>
      <c r="BG82" s="142" t="s">
        <v>973</v>
      </c>
      <c r="BH82" s="157">
        <v>3</v>
      </c>
      <c r="BI82" s="88">
        <v>4</v>
      </c>
      <c r="BJ82" s="89">
        <v>1</v>
      </c>
      <c r="BK82" s="73"/>
      <c r="BL82" s="73"/>
      <c r="BM82" s="653" t="s">
        <v>255</v>
      </c>
      <c r="BN82" s="142" t="s">
        <v>572</v>
      </c>
      <c r="BO82" s="100">
        <v>5</v>
      </c>
      <c r="BP82" s="63">
        <v>6</v>
      </c>
      <c r="BQ82" s="46">
        <v>1</v>
      </c>
      <c r="BR82" s="55">
        <v>8655000</v>
      </c>
      <c r="BS82" s="55">
        <v>8655000</v>
      </c>
      <c r="BT82" s="516" t="s">
        <v>255</v>
      </c>
      <c r="BU82" s="141" t="s">
        <v>651</v>
      </c>
      <c r="BV82" s="68">
        <v>12</v>
      </c>
      <c r="BW82" s="63">
        <v>5</v>
      </c>
      <c r="BX82" s="46">
        <f>BW82/BV82</f>
        <v>0.41666666666666669</v>
      </c>
      <c r="BY82" s="55">
        <f>34620000+
500000000</f>
        <v>534620000</v>
      </c>
      <c r="BZ82" s="240">
        <f>28800000+
50000000</f>
        <v>78800000</v>
      </c>
      <c r="CA82" s="46">
        <f>BZ82/BY82</f>
        <v>0.14739441098350231</v>
      </c>
      <c r="CB82" s="224" t="s">
        <v>1029</v>
      </c>
      <c r="CC82" s="255" t="s">
        <v>1076</v>
      </c>
      <c r="CD82" s="68">
        <v>5</v>
      </c>
      <c r="CE82" s="63">
        <v>5</v>
      </c>
      <c r="CF82" s="46">
        <f>CE82/CD82</f>
        <v>1</v>
      </c>
      <c r="CG82" s="55">
        <f>55000000+34620000+714286+
500000000</f>
        <v>590334286</v>
      </c>
      <c r="CH82" s="425">
        <f>28800000+714286+
50000000</f>
        <v>79514286</v>
      </c>
      <c r="CI82" s="46">
        <f>CH82/CG82</f>
        <v>0.13469366066940588</v>
      </c>
      <c r="CJ82" s="224" t="s">
        <v>1029</v>
      </c>
      <c r="CK82" s="424" t="s">
        <v>1154</v>
      </c>
      <c r="CL82" s="47">
        <v>12</v>
      </c>
      <c r="CM82" s="219">
        <v>5</v>
      </c>
      <c r="CN82" s="46">
        <f>CM82/CL82</f>
        <v>0.41666666666666669</v>
      </c>
    </row>
    <row r="83" spans="1:92" ht="267" customHeight="1" x14ac:dyDescent="0.25">
      <c r="A83" s="563"/>
      <c r="B83" s="551"/>
      <c r="C83" s="553"/>
      <c r="D83" s="111" t="s">
        <v>240</v>
      </c>
      <c r="E83" s="47" t="s">
        <v>241</v>
      </c>
      <c r="F83" s="47" t="s">
        <v>242</v>
      </c>
      <c r="G83" s="47" t="s">
        <v>243</v>
      </c>
      <c r="H83" s="85" t="s">
        <v>1030</v>
      </c>
      <c r="I83" s="47">
        <v>2</v>
      </c>
      <c r="J83" s="47">
        <v>13</v>
      </c>
      <c r="K83" s="516"/>
      <c r="L83" s="516"/>
      <c r="M83" s="516"/>
      <c r="N83" s="516"/>
      <c r="O83" s="516"/>
      <c r="P83" s="516"/>
      <c r="Q83" s="109">
        <v>13</v>
      </c>
      <c r="R83" s="100">
        <v>0</v>
      </c>
      <c r="S83" s="63">
        <v>12</v>
      </c>
      <c r="T83" s="46">
        <v>1</v>
      </c>
      <c r="U83" s="55">
        <v>8655000</v>
      </c>
      <c r="V83" s="55">
        <v>8655000</v>
      </c>
      <c r="W83" s="516"/>
      <c r="X83" s="97" t="s">
        <v>489</v>
      </c>
      <c r="Y83" s="100">
        <v>0</v>
      </c>
      <c r="Z83" s="63">
        <v>12</v>
      </c>
      <c r="AA83" s="46">
        <v>1</v>
      </c>
      <c r="AB83" s="55"/>
      <c r="AC83" s="55"/>
      <c r="AD83" s="516"/>
      <c r="AE83" s="97"/>
      <c r="AF83" s="196">
        <v>12</v>
      </c>
      <c r="AG83" s="116">
        <v>12</v>
      </c>
      <c r="AH83" s="46">
        <v>1</v>
      </c>
      <c r="AI83" s="628"/>
      <c r="AJ83" s="628"/>
      <c r="AK83" s="516"/>
      <c r="AL83" s="192" t="s">
        <v>775</v>
      </c>
      <c r="AM83" s="147">
        <v>12</v>
      </c>
      <c r="AN83" s="68">
        <v>12</v>
      </c>
      <c r="AO83" s="46">
        <v>1</v>
      </c>
      <c r="AP83" s="749"/>
      <c r="AQ83" s="749"/>
      <c r="AR83" s="516"/>
      <c r="AS83" s="163" t="s">
        <v>853</v>
      </c>
      <c r="AT83" s="171">
        <v>12</v>
      </c>
      <c r="AU83" s="125">
        <v>13</v>
      </c>
      <c r="AV83" s="46">
        <v>1</v>
      </c>
      <c r="AW83" s="778"/>
      <c r="AX83" s="764"/>
      <c r="AY83" s="516"/>
      <c r="AZ83" s="174" t="s">
        <v>913</v>
      </c>
      <c r="BA83" s="157">
        <v>13</v>
      </c>
      <c r="BB83" s="131">
        <v>13</v>
      </c>
      <c r="BC83" s="46">
        <v>1</v>
      </c>
      <c r="BD83" s="650"/>
      <c r="BE83" s="650"/>
      <c r="BF83" s="516"/>
      <c r="BG83" s="168" t="s">
        <v>1038</v>
      </c>
      <c r="BH83" s="157">
        <v>0</v>
      </c>
      <c r="BI83" s="88">
        <v>0</v>
      </c>
      <c r="BJ83" s="89">
        <v>1</v>
      </c>
      <c r="BK83" s="73" t="s">
        <v>573</v>
      </c>
      <c r="BL83" s="73" t="s">
        <v>574</v>
      </c>
      <c r="BM83" s="653"/>
      <c r="BN83" s="146" t="s">
        <v>575</v>
      </c>
      <c r="BO83" s="100">
        <v>0</v>
      </c>
      <c r="BP83" s="63">
        <v>12</v>
      </c>
      <c r="BQ83" s="46">
        <v>1</v>
      </c>
      <c r="BR83" s="55">
        <v>8655000</v>
      </c>
      <c r="BS83" s="55">
        <v>8655000</v>
      </c>
      <c r="BT83" s="516"/>
      <c r="BU83" s="97" t="s">
        <v>652</v>
      </c>
      <c r="BV83" s="68">
        <v>12</v>
      </c>
      <c r="BW83" s="63">
        <v>12</v>
      </c>
      <c r="BX83" s="46">
        <v>1</v>
      </c>
      <c r="BY83" s="55">
        <v>34620000</v>
      </c>
      <c r="BZ83" s="240">
        <v>28800000</v>
      </c>
      <c r="CA83" s="46">
        <f>BZ83/BY83</f>
        <v>0.83188908145580587</v>
      </c>
      <c r="CB83" s="85" t="s">
        <v>1030</v>
      </c>
      <c r="CC83" s="252" t="s">
        <v>1077</v>
      </c>
      <c r="CD83" s="68">
        <v>13</v>
      </c>
      <c r="CE83" s="63">
        <v>12</v>
      </c>
      <c r="CF83" s="46">
        <f>CE83/CD83</f>
        <v>0.92307692307692313</v>
      </c>
      <c r="CG83" s="55">
        <f>55000000+34620000+714286</f>
        <v>90334286</v>
      </c>
      <c r="CH83" s="425">
        <f>28800000+714286</f>
        <v>29514286</v>
      </c>
      <c r="CI83" s="46">
        <f>CH83/CG83</f>
        <v>0.32672296762272524</v>
      </c>
      <c r="CJ83" s="85" t="s">
        <v>1030</v>
      </c>
      <c r="CK83" s="419" t="s">
        <v>1140</v>
      </c>
      <c r="CL83" s="47">
        <v>13</v>
      </c>
      <c r="CM83" s="63">
        <v>13</v>
      </c>
      <c r="CN83" s="46">
        <f>CM83/CL83</f>
        <v>1</v>
      </c>
    </row>
    <row r="84" spans="1:92" ht="236.25" customHeight="1" x14ac:dyDescent="0.25">
      <c r="A84" s="563"/>
      <c r="B84" s="551"/>
      <c r="C84" s="553"/>
      <c r="D84" s="111" t="s">
        <v>244</v>
      </c>
      <c r="E84" s="47" t="s">
        <v>245</v>
      </c>
      <c r="F84" s="47" t="s">
        <v>246</v>
      </c>
      <c r="G84" s="47" t="s">
        <v>247</v>
      </c>
      <c r="H84" s="85" t="s">
        <v>1030</v>
      </c>
      <c r="I84" s="47">
        <v>12</v>
      </c>
      <c r="J84" s="47">
        <v>13</v>
      </c>
      <c r="K84" s="516"/>
      <c r="L84" s="516"/>
      <c r="M84" s="516"/>
      <c r="N84" s="516"/>
      <c r="O84" s="516"/>
      <c r="P84" s="516"/>
      <c r="Q84" s="109">
        <v>13</v>
      </c>
      <c r="R84" s="100">
        <v>12</v>
      </c>
      <c r="S84" s="63">
        <v>12</v>
      </c>
      <c r="T84" s="34">
        <f t="shared" ref="T84" si="11">(S84/R84)*1</f>
        <v>1</v>
      </c>
      <c r="U84" s="55">
        <v>8655000</v>
      </c>
      <c r="V84" s="55">
        <v>8655000</v>
      </c>
      <c r="W84" s="516"/>
      <c r="X84" s="97" t="s">
        <v>486</v>
      </c>
      <c r="Y84" s="100">
        <v>12</v>
      </c>
      <c r="Z84" s="63">
        <v>12</v>
      </c>
      <c r="AA84" s="34">
        <f t="shared" ref="AA84" si="12">(Z84/Y84)*1</f>
        <v>1</v>
      </c>
      <c r="AB84" s="55"/>
      <c r="AC84" s="55"/>
      <c r="AD84" s="516"/>
      <c r="AE84" s="97"/>
      <c r="AF84" s="196">
        <v>13</v>
      </c>
      <c r="AG84" s="116">
        <v>5</v>
      </c>
      <c r="AH84" s="34">
        <f t="shared" ref="AH84" si="13">(AG84/AF84)*1</f>
        <v>0.38461538461538464</v>
      </c>
      <c r="AI84" s="628"/>
      <c r="AJ84" s="628"/>
      <c r="AK84" s="516"/>
      <c r="AL84" s="192" t="s">
        <v>776</v>
      </c>
      <c r="AM84" s="147">
        <v>13</v>
      </c>
      <c r="AN84" s="68">
        <v>10</v>
      </c>
      <c r="AO84" s="34">
        <f t="shared" ref="AO84" si="14">(AN84/AM84)*1</f>
        <v>0.76923076923076927</v>
      </c>
      <c r="AP84" s="749"/>
      <c r="AQ84" s="749"/>
      <c r="AR84" s="516"/>
      <c r="AS84" s="163" t="s">
        <v>854</v>
      </c>
      <c r="AT84" s="171">
        <v>13</v>
      </c>
      <c r="AU84" s="125">
        <v>11</v>
      </c>
      <c r="AV84" s="34">
        <f t="shared" ref="AV84" si="15">(AU84/AT84)*1</f>
        <v>0.84615384615384615</v>
      </c>
      <c r="AW84" s="778"/>
      <c r="AX84" s="764"/>
      <c r="AY84" s="516"/>
      <c r="AZ84" s="174" t="s">
        <v>914</v>
      </c>
      <c r="BA84" s="157">
        <v>12</v>
      </c>
      <c r="BB84" s="131">
        <v>12</v>
      </c>
      <c r="BC84" s="34">
        <f t="shared" ref="BC84" si="16">(BB84/BA84)*1</f>
        <v>1</v>
      </c>
      <c r="BD84" s="650"/>
      <c r="BE84" s="650"/>
      <c r="BF84" s="516"/>
      <c r="BG84" s="168" t="s">
        <v>974</v>
      </c>
      <c r="BH84" s="157">
        <v>11</v>
      </c>
      <c r="BI84" s="88">
        <v>11</v>
      </c>
      <c r="BJ84" s="70">
        <f t="shared" ref="BJ84" si="17">(BI84/BH84)*1</f>
        <v>1</v>
      </c>
      <c r="BK84" s="73" t="s">
        <v>576</v>
      </c>
      <c r="BL84" s="73" t="s">
        <v>577</v>
      </c>
      <c r="BM84" s="653"/>
      <c r="BN84" s="146" t="s">
        <v>578</v>
      </c>
      <c r="BO84" s="100">
        <v>12</v>
      </c>
      <c r="BP84" s="63">
        <v>11</v>
      </c>
      <c r="BQ84" s="34">
        <f t="shared" ref="BQ84" si="18">(BP84/BO84)*1</f>
        <v>0.91666666666666663</v>
      </c>
      <c r="BR84" s="55">
        <v>8655000</v>
      </c>
      <c r="BS84" s="55">
        <v>8655000</v>
      </c>
      <c r="BT84" s="516"/>
      <c r="BU84" s="146" t="s">
        <v>653</v>
      </c>
      <c r="BV84" s="68">
        <v>13</v>
      </c>
      <c r="BW84" s="63">
        <v>13</v>
      </c>
      <c r="BX84" s="34">
        <f t="shared" ref="BX84" si="19">(BW84/BV84)*1</f>
        <v>1</v>
      </c>
      <c r="BY84" s="55">
        <v>34620000</v>
      </c>
      <c r="BZ84" s="240">
        <v>28850000</v>
      </c>
      <c r="CA84" s="34">
        <f>BZ84/BY84</f>
        <v>0.83333333333333337</v>
      </c>
      <c r="CB84" s="85" t="s">
        <v>1030</v>
      </c>
      <c r="CC84" s="252" t="s">
        <v>1078</v>
      </c>
      <c r="CD84" s="68">
        <v>13</v>
      </c>
      <c r="CE84" s="63">
        <v>13</v>
      </c>
      <c r="CF84" s="34">
        <f t="shared" ref="CF84" si="20">(CE84/CD84)*1</f>
        <v>1</v>
      </c>
      <c r="CG84" s="55">
        <f>55000000+34620000+714286</f>
        <v>90334286</v>
      </c>
      <c r="CH84" s="425">
        <f>28850000+714286</f>
        <v>29564286</v>
      </c>
      <c r="CI84" s="34">
        <f>CH84/CG84</f>
        <v>0.32727646732050331</v>
      </c>
      <c r="CJ84" s="85" t="s">
        <v>1030</v>
      </c>
      <c r="CK84" s="419" t="s">
        <v>1155</v>
      </c>
      <c r="CL84" s="47">
        <v>13</v>
      </c>
      <c r="CM84" s="63">
        <v>13</v>
      </c>
      <c r="CN84" s="46">
        <f>CM84/CL84</f>
        <v>1</v>
      </c>
    </row>
    <row r="85" spans="1:92" ht="171" customHeight="1" thickBot="1" x14ac:dyDescent="0.3">
      <c r="A85" s="566"/>
      <c r="B85" s="567"/>
      <c r="C85" s="568"/>
      <c r="D85" s="113" t="s">
        <v>248</v>
      </c>
      <c r="E85" s="64" t="s">
        <v>249</v>
      </c>
      <c r="F85" s="64" t="s">
        <v>250</v>
      </c>
      <c r="G85" s="64" t="s">
        <v>247</v>
      </c>
      <c r="H85" s="225" t="s">
        <v>1030</v>
      </c>
      <c r="I85" s="64">
        <v>0</v>
      </c>
      <c r="J85" s="64">
        <v>13</v>
      </c>
      <c r="K85" s="585"/>
      <c r="L85" s="585"/>
      <c r="M85" s="585"/>
      <c r="N85" s="585"/>
      <c r="O85" s="585"/>
      <c r="P85" s="585"/>
      <c r="Q85" s="114">
        <v>13</v>
      </c>
      <c r="R85" s="101">
        <v>13</v>
      </c>
      <c r="S85" s="102">
        <v>4</v>
      </c>
      <c r="T85" s="103">
        <f>S85/R85</f>
        <v>0.30769230769230771</v>
      </c>
      <c r="U85" s="104">
        <v>8655000</v>
      </c>
      <c r="V85" s="105">
        <v>8655000</v>
      </c>
      <c r="W85" s="585"/>
      <c r="X85" s="106" t="s">
        <v>487</v>
      </c>
      <c r="Y85" s="101">
        <v>13</v>
      </c>
      <c r="Z85" s="102">
        <v>10</v>
      </c>
      <c r="AA85" s="103">
        <f>Z85/Y85</f>
        <v>0.76923076923076927</v>
      </c>
      <c r="AB85" s="104"/>
      <c r="AC85" s="104"/>
      <c r="AD85" s="585"/>
      <c r="AE85" s="106"/>
      <c r="AF85" s="101">
        <v>13</v>
      </c>
      <c r="AG85" s="102">
        <v>4</v>
      </c>
      <c r="AH85" s="103">
        <f>AG85/AF85</f>
        <v>0.30769230769230771</v>
      </c>
      <c r="AI85" s="104">
        <v>8655000</v>
      </c>
      <c r="AJ85" s="105">
        <v>8655000</v>
      </c>
      <c r="AK85" s="585"/>
      <c r="AL85" s="106"/>
      <c r="AM85" s="101">
        <v>13</v>
      </c>
      <c r="AN85" s="102">
        <v>10</v>
      </c>
      <c r="AO85" s="103">
        <f>AN85/AM85</f>
        <v>0.76923076923076927</v>
      </c>
      <c r="AP85" s="104" t="s">
        <v>491</v>
      </c>
      <c r="AQ85" s="104" t="s">
        <v>490</v>
      </c>
      <c r="AR85" s="585"/>
      <c r="AS85" s="106" t="s">
        <v>464</v>
      </c>
      <c r="AT85" s="101">
        <v>13</v>
      </c>
      <c r="AU85" s="102">
        <v>4</v>
      </c>
      <c r="AV85" s="103">
        <f>AU85/AT85</f>
        <v>0.30769230769230771</v>
      </c>
      <c r="AW85" s="104">
        <v>8655000</v>
      </c>
      <c r="AX85" s="105">
        <v>8655000</v>
      </c>
      <c r="AY85" s="585"/>
      <c r="AZ85" s="106" t="s">
        <v>487</v>
      </c>
      <c r="BA85" s="158">
        <v>13</v>
      </c>
      <c r="BB85" s="169">
        <v>13</v>
      </c>
      <c r="BC85" s="103">
        <f>BB85/BA85</f>
        <v>1</v>
      </c>
      <c r="BD85" s="777"/>
      <c r="BE85" s="777"/>
      <c r="BF85" s="585"/>
      <c r="BG85" s="170" t="s">
        <v>975</v>
      </c>
      <c r="BH85" s="158">
        <v>13</v>
      </c>
      <c r="BI85" s="132">
        <v>7</v>
      </c>
      <c r="BJ85" s="159">
        <f>(BI85/BH85)*1</f>
        <v>0.53846153846153844</v>
      </c>
      <c r="BK85" s="160" t="s">
        <v>579</v>
      </c>
      <c r="BL85" s="161">
        <v>400</v>
      </c>
      <c r="BM85" s="696"/>
      <c r="BN85" s="162" t="s">
        <v>580</v>
      </c>
      <c r="BO85" s="101">
        <v>13</v>
      </c>
      <c r="BP85" s="102">
        <v>5</v>
      </c>
      <c r="BQ85" s="103">
        <f>BP85/BO85</f>
        <v>0.38461538461538464</v>
      </c>
      <c r="BR85" s="104">
        <v>8655000</v>
      </c>
      <c r="BS85" s="105">
        <v>8655000</v>
      </c>
      <c r="BT85" s="585"/>
      <c r="BU85" s="106" t="s">
        <v>654</v>
      </c>
      <c r="BV85" s="68">
        <v>13</v>
      </c>
      <c r="BW85" s="223">
        <v>13</v>
      </c>
      <c r="BX85" s="103">
        <f>BW85/BV85</f>
        <v>1</v>
      </c>
      <c r="BY85" s="55">
        <f>34620000+
273979122+
950000+1360000</f>
        <v>310909122</v>
      </c>
      <c r="BZ85" s="55">
        <f>28850000+
142116458+
950000+1360000</f>
        <v>173276458</v>
      </c>
      <c r="CA85" s="31">
        <f>BZ85/BY85</f>
        <v>0.55732188520348402</v>
      </c>
      <c r="CB85" s="225" t="s">
        <v>1030</v>
      </c>
      <c r="CC85" s="247" t="s">
        <v>1086</v>
      </c>
      <c r="CD85" s="68">
        <v>13</v>
      </c>
      <c r="CE85" s="223">
        <v>13</v>
      </c>
      <c r="CF85" s="103">
        <f>CE85/CD85</f>
        <v>1</v>
      </c>
      <c r="CG85" s="55">
        <f>34620000+714286+
273979122+
950000+1360000</f>
        <v>311623408</v>
      </c>
      <c r="CH85" s="429">
        <f>28850000+714286+
142116458+
950000+1360000</f>
        <v>173990744</v>
      </c>
      <c r="CI85" s="31">
        <f>CH85/CG85</f>
        <v>0.55833656757903116</v>
      </c>
      <c r="CJ85" s="225" t="s">
        <v>1030</v>
      </c>
      <c r="CK85" s="420" t="s">
        <v>1141</v>
      </c>
      <c r="CL85" s="64">
        <v>13</v>
      </c>
      <c r="CM85" s="63">
        <v>13</v>
      </c>
      <c r="CN85" s="46">
        <f>CM85/CL85</f>
        <v>1</v>
      </c>
    </row>
    <row r="86" spans="1:92" x14ac:dyDescent="0.25">
      <c r="C86" s="48"/>
      <c r="Q86" s="67"/>
      <c r="R86" s="29"/>
      <c r="T86" s="15"/>
      <c r="U86" s="51"/>
      <c r="V86" s="51"/>
      <c r="W86" s="2"/>
      <c r="X86" s="2"/>
      <c r="Y86" s="29"/>
      <c r="AA86" s="15"/>
      <c r="AB86" s="51"/>
      <c r="AC86" s="51"/>
      <c r="AD86" s="2"/>
      <c r="AE86" s="2"/>
      <c r="AI86" s="2"/>
      <c r="AJ86" s="2"/>
      <c r="AK86" s="2"/>
      <c r="AL86" s="2"/>
      <c r="AM86" s="2"/>
      <c r="AN86" s="2"/>
      <c r="AO86" s="2"/>
      <c r="AP86" s="2"/>
      <c r="AQ86" s="2"/>
      <c r="AR86" s="2"/>
      <c r="AS86" s="2"/>
      <c r="AT86" s="2"/>
      <c r="AU86" s="2"/>
      <c r="AV86" s="2"/>
      <c r="AW86" s="2"/>
      <c r="AX86" s="2"/>
      <c r="AY86" s="2"/>
      <c r="AZ86" s="2"/>
      <c r="BA86" s="2"/>
      <c r="BB86" s="2"/>
      <c r="BC86" s="2"/>
      <c r="BD86" s="2"/>
      <c r="BE86" s="2"/>
      <c r="BW86" s="2"/>
      <c r="CE86" s="2"/>
    </row>
    <row r="87" spans="1:92" ht="15.75" thickBot="1" x14ac:dyDescent="0.3">
      <c r="Q87" s="67"/>
      <c r="R87" s="29"/>
      <c r="S87" s="29"/>
      <c r="T87" s="15"/>
      <c r="U87" s="51"/>
      <c r="V87" s="51"/>
      <c r="W87" s="2"/>
      <c r="X87" s="2"/>
      <c r="Y87" s="29"/>
      <c r="Z87" s="29"/>
      <c r="AA87" s="15"/>
      <c r="AB87" s="51"/>
      <c r="AC87" s="51"/>
      <c r="AD87" s="2"/>
      <c r="AE87" s="2"/>
      <c r="AI87" s="2"/>
      <c r="AJ87" s="2"/>
      <c r="AK87" s="2"/>
      <c r="AL87" s="2"/>
      <c r="AM87" s="2"/>
      <c r="AN87" s="2"/>
      <c r="AO87" s="2"/>
      <c r="AP87" s="2"/>
      <c r="AQ87" s="2"/>
      <c r="AR87" s="2"/>
      <c r="AS87" s="2"/>
      <c r="AT87" s="2"/>
      <c r="AU87" s="2"/>
      <c r="AV87" s="2"/>
      <c r="AW87" s="2"/>
      <c r="AX87" s="2"/>
      <c r="AY87" s="2"/>
      <c r="AZ87" s="2"/>
      <c r="BA87" s="2"/>
      <c r="BB87" s="2"/>
      <c r="BC87" s="2"/>
      <c r="BD87" s="2"/>
      <c r="BE87" s="2"/>
      <c r="BX87" s="238">
        <f>AVERAGE(BX4:BX85)</f>
        <v>0.72294908925318746</v>
      </c>
      <c r="BZ87" t="s">
        <v>1032</v>
      </c>
      <c r="CA87" s="233">
        <f>AVERAGE(CA4:CA85)</f>
        <v>0.52647452829838126</v>
      </c>
      <c r="CF87" s="238">
        <f>AVERAGE(CF4:CF85)</f>
        <v>0.69252730839288212</v>
      </c>
      <c r="CH87" s="433" t="s">
        <v>1032</v>
      </c>
      <c r="CI87" s="233" t="e">
        <f>AVERAGE(CI4:CI85)</f>
        <v>#VALUE!</v>
      </c>
      <c r="CL87" t="s">
        <v>986</v>
      </c>
      <c r="CN87" s="236">
        <f>AVERAGE(CN4:CN85)</f>
        <v>0.63623224043715854</v>
      </c>
    </row>
    <row r="88" spans="1:92" x14ac:dyDescent="0.25">
      <c r="Q88" s="67"/>
      <c r="R88" s="29"/>
      <c r="S88" s="29"/>
      <c r="T88" s="15"/>
      <c r="U88" s="3"/>
      <c r="V88" s="3"/>
      <c r="W88" s="2"/>
      <c r="X88" s="2"/>
      <c r="Y88" s="29"/>
      <c r="Z88" s="29"/>
      <c r="AA88" s="15"/>
      <c r="AB88" s="3"/>
      <c r="AC88" s="3"/>
      <c r="AD88" s="2"/>
      <c r="AE88" s="2"/>
      <c r="AI88" s="2"/>
      <c r="AJ88" s="2"/>
      <c r="AK88" s="2"/>
      <c r="AL88" s="2"/>
      <c r="AM88" s="2"/>
      <c r="AN88" s="2"/>
      <c r="AO88" s="2"/>
      <c r="AP88" s="2"/>
      <c r="AQ88" s="2"/>
      <c r="AR88" s="2"/>
      <c r="AS88" s="2"/>
      <c r="AT88" s="2"/>
      <c r="AU88" s="2"/>
      <c r="AV88" s="2"/>
      <c r="AW88" s="2"/>
      <c r="AX88" s="2"/>
      <c r="AY88" s="2"/>
      <c r="AZ88" s="2"/>
      <c r="BA88" s="2"/>
      <c r="BB88" s="2"/>
      <c r="BC88" s="2"/>
      <c r="BD88" s="2"/>
      <c r="BE88" s="2"/>
      <c r="BU88" s="802"/>
      <c r="BV88" s="802"/>
      <c r="BW88" s="802"/>
      <c r="BX88" s="220"/>
    </row>
    <row r="89" spans="1:92" x14ac:dyDescent="0.25">
      <c r="Q89" s="67"/>
      <c r="R89" s="29"/>
      <c r="S89" s="29"/>
      <c r="T89" s="15"/>
      <c r="U89" s="3"/>
      <c r="V89" s="3"/>
      <c r="W89" s="2"/>
      <c r="X89" s="2"/>
      <c r="Y89" s="29"/>
      <c r="Z89" s="29"/>
      <c r="AA89" s="15"/>
      <c r="AB89" s="3"/>
      <c r="AC89" s="3"/>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92" x14ac:dyDescent="0.25">
      <c r="Q90" s="67"/>
      <c r="R90" s="29"/>
      <c r="S90" s="29"/>
      <c r="T90" s="15"/>
      <c r="U90" s="3"/>
      <c r="V90" s="3"/>
      <c r="W90" s="2"/>
      <c r="X90" s="2"/>
      <c r="Y90" s="29"/>
      <c r="Z90" s="29"/>
      <c r="AA90" s="15"/>
      <c r="AB90" s="3"/>
      <c r="AC90" s="3"/>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92" x14ac:dyDescent="0.25">
      <c r="Q91" s="67"/>
      <c r="R91" s="29"/>
      <c r="S91" s="29"/>
      <c r="T91" s="15"/>
      <c r="U91" s="3"/>
      <c r="V91" s="3"/>
      <c r="W91" s="2"/>
      <c r="X91" s="2"/>
      <c r="Y91" s="29"/>
      <c r="Z91" s="29"/>
      <c r="AA91" s="15"/>
      <c r="AB91" s="3"/>
      <c r="AC91" s="3"/>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92" x14ac:dyDescent="0.25">
      <c r="Q92" s="67"/>
      <c r="R92" s="29"/>
      <c r="S92" s="29"/>
      <c r="T92" s="15"/>
      <c r="U92" s="3"/>
      <c r="V92" s="3"/>
      <c r="W92" s="2"/>
      <c r="X92" s="2"/>
      <c r="Y92" s="29"/>
      <c r="Z92" s="29"/>
      <c r="AA92" s="15"/>
      <c r="AB92" s="3"/>
      <c r="AC92" s="3"/>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92" x14ac:dyDescent="0.25">
      <c r="Q93" s="67"/>
      <c r="R93" s="29"/>
      <c r="S93" s="29"/>
      <c r="T93" s="15"/>
      <c r="U93" s="3"/>
      <c r="V93" s="3"/>
      <c r="W93" s="2"/>
      <c r="X93" s="2"/>
      <c r="Y93" s="29"/>
      <c r="Z93" s="29"/>
      <c r="AA93" s="15"/>
      <c r="AB93" s="3"/>
      <c r="AC93" s="3"/>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92" x14ac:dyDescent="0.25">
      <c r="Q94" s="67"/>
      <c r="R94" s="29"/>
      <c r="S94" s="29"/>
      <c r="T94" s="15"/>
      <c r="U94" s="3"/>
      <c r="V94" s="3"/>
      <c r="W94" s="2"/>
      <c r="X94" s="2"/>
      <c r="Y94" s="29"/>
      <c r="Z94" s="29"/>
      <c r="AA94" s="15"/>
      <c r="AB94" s="3"/>
      <c r="AC94" s="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92" x14ac:dyDescent="0.25">
      <c r="Q95" s="67"/>
      <c r="R95" s="29"/>
      <c r="S95" s="29"/>
      <c r="T95" s="15"/>
      <c r="U95" s="3"/>
      <c r="V95" s="3"/>
      <c r="W95" s="2"/>
      <c r="X95" s="2"/>
      <c r="Y95" s="29"/>
      <c r="Z95" s="29"/>
      <c r="AA95" s="15"/>
      <c r="AB95" s="3"/>
      <c r="AC95" s="3"/>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92" x14ac:dyDescent="0.25">
      <c r="Q96" s="67"/>
      <c r="R96" s="29"/>
      <c r="S96" s="29"/>
      <c r="T96" s="15"/>
      <c r="U96" s="3"/>
      <c r="V96" s="3"/>
      <c r="W96" s="2"/>
      <c r="X96" s="2"/>
      <c r="Y96" s="29"/>
      <c r="Z96" s="29"/>
      <c r="AA96" s="15"/>
      <c r="AB96" s="3"/>
      <c r="AC96" s="3"/>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7:57" x14ac:dyDescent="0.25">
      <c r="Q97" s="67"/>
      <c r="R97" s="29"/>
      <c r="S97" s="29"/>
      <c r="T97" s="15"/>
      <c r="U97" s="3"/>
      <c r="V97" s="3"/>
      <c r="W97" s="2"/>
      <c r="X97" s="2"/>
      <c r="Y97" s="29"/>
      <c r="Z97" s="29"/>
      <c r="AA97" s="15"/>
      <c r="AB97" s="3"/>
      <c r="AC97" s="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7:57" x14ac:dyDescent="0.25">
      <c r="Q98" s="67"/>
      <c r="R98" s="29"/>
      <c r="S98" s="29"/>
      <c r="T98" s="15"/>
      <c r="U98" s="3"/>
      <c r="V98" s="3"/>
      <c r="W98" s="2"/>
      <c r="X98" s="2"/>
      <c r="Y98" s="29"/>
      <c r="Z98" s="29"/>
      <c r="AA98" s="15"/>
      <c r="AB98" s="3"/>
      <c r="AC98" s="3"/>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7:57" x14ac:dyDescent="0.25">
      <c r="Q99" s="67"/>
      <c r="R99" s="29"/>
      <c r="S99" s="29"/>
      <c r="T99" s="15"/>
      <c r="U99" s="3"/>
      <c r="V99" s="3"/>
      <c r="W99" s="2"/>
      <c r="X99" s="2"/>
      <c r="Y99" s="29"/>
      <c r="Z99" s="29"/>
      <c r="AA99" s="15"/>
      <c r="AB99" s="3"/>
      <c r="AC99" s="3"/>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7:57" x14ac:dyDescent="0.25">
      <c r="Q100" s="67"/>
      <c r="R100" s="29"/>
      <c r="S100" s="29"/>
      <c r="T100" s="15"/>
      <c r="U100" s="3"/>
      <c r="V100" s="3"/>
      <c r="W100" s="2"/>
      <c r="X100" s="2"/>
      <c r="Y100" s="29"/>
      <c r="Z100" s="29"/>
      <c r="AA100" s="15"/>
      <c r="AB100" s="3"/>
      <c r="AC100" s="3"/>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7:57" x14ac:dyDescent="0.25">
      <c r="Q101" s="67"/>
      <c r="R101" s="29"/>
      <c r="S101" s="29"/>
      <c r="T101" s="15"/>
      <c r="U101" s="3"/>
      <c r="V101" s="3"/>
      <c r="W101" s="2"/>
      <c r="X101" s="2"/>
      <c r="Y101" s="29"/>
      <c r="Z101" s="29"/>
      <c r="AA101" s="15"/>
      <c r="AB101" s="3"/>
      <c r="AC101" s="3"/>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7:57" x14ac:dyDescent="0.25">
      <c r="Q102" s="67"/>
      <c r="R102" s="29"/>
      <c r="S102" s="29"/>
      <c r="T102" s="15"/>
      <c r="U102" s="3"/>
      <c r="V102" s="3"/>
      <c r="W102" s="2"/>
      <c r="X102" s="2"/>
      <c r="Y102" s="29"/>
      <c r="Z102" s="29"/>
      <c r="AA102" s="15"/>
      <c r="AB102" s="3"/>
      <c r="AC102" s="3"/>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7:57" x14ac:dyDescent="0.25">
      <c r="Q103" s="67"/>
      <c r="R103" s="29"/>
      <c r="S103" s="29"/>
      <c r="T103" s="15"/>
      <c r="U103" s="3"/>
      <c r="V103" s="3"/>
      <c r="W103" s="2"/>
      <c r="X103" s="2"/>
      <c r="Y103" s="29"/>
      <c r="Z103" s="29"/>
      <c r="AA103" s="15"/>
      <c r="AB103" s="3"/>
      <c r="AC103" s="3"/>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7:57" x14ac:dyDescent="0.25">
      <c r="Q104" s="67"/>
      <c r="R104" s="29"/>
      <c r="S104" s="29"/>
      <c r="T104" s="15"/>
      <c r="U104" s="3"/>
      <c r="V104" s="3"/>
      <c r="W104" s="2"/>
      <c r="X104" s="2"/>
      <c r="Y104" s="29"/>
      <c r="Z104" s="29"/>
      <c r="AA104" s="15"/>
      <c r="AB104" s="3"/>
      <c r="AC104" s="3"/>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7:57" x14ac:dyDescent="0.25">
      <c r="Q105" s="67"/>
      <c r="R105" s="29"/>
      <c r="S105" s="29"/>
      <c r="T105" s="15"/>
      <c r="U105" s="3"/>
      <c r="V105" s="3"/>
      <c r="W105" s="2"/>
      <c r="X105" s="2"/>
      <c r="Y105" s="29"/>
      <c r="Z105" s="29"/>
      <c r="AA105" s="15"/>
      <c r="AB105" s="3"/>
      <c r="AC105" s="3"/>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7:57" x14ac:dyDescent="0.25">
      <c r="Q106" s="67"/>
      <c r="R106" s="29"/>
      <c r="S106" s="29"/>
      <c r="T106" s="15"/>
      <c r="U106" s="3"/>
      <c r="V106" s="3"/>
      <c r="W106" s="2"/>
      <c r="X106" s="2"/>
      <c r="Y106" s="29"/>
      <c r="Z106" s="29"/>
      <c r="AA106" s="15"/>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7:57" x14ac:dyDescent="0.25">
      <c r="Q107" s="67"/>
      <c r="R107" s="29"/>
      <c r="S107" s="29"/>
      <c r="T107" s="15"/>
      <c r="U107" s="3"/>
      <c r="V107" s="3"/>
      <c r="W107" s="2"/>
      <c r="X107" s="2"/>
      <c r="Y107" s="29"/>
      <c r="Z107" s="29"/>
      <c r="AA107" s="15"/>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7:57" x14ac:dyDescent="0.25">
      <c r="Q108" s="67"/>
      <c r="R108" s="29"/>
      <c r="S108" s="29"/>
      <c r="T108" s="15"/>
      <c r="U108" s="3"/>
      <c r="V108" s="3"/>
      <c r="W108" s="2"/>
      <c r="X108" s="2"/>
      <c r="Y108" s="29"/>
      <c r="Z108" s="29"/>
      <c r="AA108" s="15"/>
      <c r="AB108" s="3"/>
      <c r="AC108" s="3"/>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7:57" x14ac:dyDescent="0.25">
      <c r="Q109" s="67"/>
      <c r="R109" s="29"/>
      <c r="S109" s="29"/>
      <c r="T109" s="15"/>
      <c r="U109" s="3"/>
      <c r="V109" s="3"/>
      <c r="W109" s="2"/>
      <c r="X109" s="2"/>
      <c r="Y109" s="29"/>
      <c r="Z109" s="29"/>
      <c r="AA109" s="15"/>
      <c r="AB109" s="3"/>
      <c r="AC109" s="3"/>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7:57" x14ac:dyDescent="0.25">
      <c r="R110" s="29"/>
      <c r="S110" s="29"/>
      <c r="T110" s="15"/>
      <c r="U110" s="3"/>
      <c r="V110" s="3"/>
      <c r="W110" s="2"/>
      <c r="X110" s="2"/>
      <c r="Y110" s="29"/>
      <c r="Z110" s="29"/>
      <c r="AA110" s="15"/>
      <c r="AB110" s="3"/>
      <c r="AC110" s="3"/>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7:57" x14ac:dyDescent="0.25">
      <c r="R111" s="29"/>
      <c r="S111" s="29"/>
      <c r="T111" s="15"/>
      <c r="U111" s="3"/>
      <c r="V111" s="3"/>
      <c r="W111" s="2"/>
      <c r="X111" s="2"/>
      <c r="Y111" s="29"/>
      <c r="Z111" s="29"/>
      <c r="AA111" s="15"/>
      <c r="AB111" s="3"/>
      <c r="AC111" s="3"/>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7:57" x14ac:dyDescent="0.25">
      <c r="R112" s="29"/>
      <c r="S112" s="29"/>
      <c r="T112" s="15"/>
      <c r="U112" s="3"/>
      <c r="V112" s="3"/>
      <c r="W112" s="2"/>
      <c r="X112" s="2"/>
      <c r="Y112" s="29"/>
      <c r="Z112" s="29"/>
      <c r="AA112" s="15"/>
      <c r="AB112" s="3"/>
      <c r="AC112" s="3"/>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8:57" x14ac:dyDescent="0.25">
      <c r="R113" s="29"/>
      <c r="S113" s="29"/>
      <c r="T113" s="15"/>
      <c r="U113" s="3"/>
      <c r="V113" s="3"/>
      <c r="W113" s="2"/>
      <c r="X113" s="2"/>
      <c r="Y113" s="29"/>
      <c r="Z113" s="29"/>
      <c r="AA113" s="15"/>
      <c r="AB113" s="3"/>
      <c r="AC113" s="3"/>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8:57" x14ac:dyDescent="0.25">
      <c r="R114" s="29"/>
      <c r="S114" s="29"/>
      <c r="T114" s="15"/>
      <c r="U114" s="3"/>
      <c r="V114" s="3"/>
      <c r="W114" s="2"/>
      <c r="X114" s="2"/>
      <c r="Y114" s="29"/>
      <c r="Z114" s="29"/>
      <c r="AA114" s="15"/>
      <c r="AB114" s="3"/>
      <c r="AC114" s="3"/>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8:57" x14ac:dyDescent="0.25">
      <c r="R115" s="29"/>
      <c r="S115" s="29"/>
      <c r="T115" s="15"/>
      <c r="U115" s="3"/>
      <c r="V115" s="3"/>
      <c r="W115" s="2"/>
      <c r="X115" s="2"/>
      <c r="Y115" s="29"/>
      <c r="Z115" s="29"/>
      <c r="AA115" s="15"/>
      <c r="AB115" s="3"/>
      <c r="AC115" s="3"/>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8:57" x14ac:dyDescent="0.25">
      <c r="R116" s="29"/>
      <c r="S116" s="29"/>
      <c r="T116" s="15"/>
      <c r="U116" s="3"/>
      <c r="V116" s="3"/>
      <c r="W116" s="2"/>
      <c r="X116" s="2"/>
      <c r="Y116" s="29"/>
      <c r="Z116" s="29"/>
      <c r="AA116" s="15"/>
      <c r="AB116" s="3"/>
      <c r="AC116" s="3"/>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8:57" x14ac:dyDescent="0.25">
      <c r="R117" s="29"/>
      <c r="S117" s="29"/>
      <c r="T117" s="15"/>
      <c r="U117" s="3"/>
      <c r="V117" s="3"/>
      <c r="W117" s="2"/>
      <c r="X117" s="2"/>
      <c r="Y117" s="29"/>
      <c r="Z117" s="29"/>
      <c r="AA117" s="15"/>
      <c r="AB117" s="3"/>
      <c r="AC117" s="3"/>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8:57" x14ac:dyDescent="0.25">
      <c r="R118" s="29"/>
      <c r="S118" s="29"/>
      <c r="T118" s="15"/>
      <c r="U118" s="3"/>
      <c r="V118" s="3"/>
      <c r="W118" s="2"/>
      <c r="X118" s="2"/>
      <c r="Y118" s="29"/>
      <c r="Z118" s="29"/>
      <c r="AA118" s="15"/>
      <c r="AB118" s="3"/>
      <c r="AC118" s="3"/>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8:57" x14ac:dyDescent="0.25">
      <c r="R119" s="29"/>
      <c r="S119" s="29"/>
      <c r="T119" s="15"/>
      <c r="U119" s="3"/>
      <c r="V119" s="3"/>
      <c r="W119" s="2"/>
      <c r="X119" s="2"/>
      <c r="Y119" s="29"/>
      <c r="Z119" s="29"/>
      <c r="AA119" s="15"/>
      <c r="AB119" s="3"/>
      <c r="AC119" s="3"/>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8:57" x14ac:dyDescent="0.25">
      <c r="R120" s="29"/>
      <c r="S120" s="29"/>
      <c r="T120" s="15"/>
      <c r="U120" s="3"/>
      <c r="V120" s="3"/>
      <c r="W120" s="2"/>
      <c r="X120" s="2"/>
      <c r="Y120" s="29"/>
      <c r="Z120" s="29"/>
      <c r="AA120" s="15"/>
      <c r="AB120" s="3"/>
      <c r="AC120" s="3"/>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8:57" x14ac:dyDescent="0.25">
      <c r="R121" s="29"/>
      <c r="S121" s="29"/>
      <c r="T121" s="15"/>
      <c r="U121" s="3"/>
      <c r="V121" s="3"/>
      <c r="W121" s="2"/>
      <c r="X121" s="2"/>
      <c r="Y121" s="29"/>
      <c r="Z121" s="29"/>
      <c r="AA121" s="15"/>
      <c r="AB121" s="3"/>
      <c r="AC121" s="3"/>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8:57" x14ac:dyDescent="0.25">
      <c r="R122" s="29"/>
      <c r="S122" s="29"/>
      <c r="T122" s="15"/>
      <c r="U122" s="3"/>
      <c r="V122" s="3"/>
      <c r="W122" s="2"/>
      <c r="X122" s="2"/>
      <c r="Y122" s="29"/>
      <c r="Z122" s="29"/>
      <c r="AA122" s="15"/>
      <c r="AB122" s="3"/>
      <c r="AC122" s="3"/>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8:57" x14ac:dyDescent="0.25">
      <c r="R123" s="29"/>
      <c r="S123" s="29"/>
      <c r="T123" s="15"/>
      <c r="U123" s="3"/>
      <c r="V123" s="3"/>
      <c r="W123" s="2"/>
      <c r="X123" s="2"/>
      <c r="Y123" s="29"/>
      <c r="Z123" s="29"/>
      <c r="AA123" s="15"/>
      <c r="AB123" s="3"/>
      <c r="AC123" s="3"/>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8:57" x14ac:dyDescent="0.25">
      <c r="R124" s="29"/>
      <c r="S124" s="29"/>
      <c r="T124" s="15"/>
      <c r="U124" s="3"/>
      <c r="V124" s="3"/>
      <c r="W124" s="2"/>
      <c r="X124" s="2"/>
      <c r="Y124" s="29"/>
      <c r="Z124" s="29"/>
      <c r="AA124" s="15"/>
      <c r="AB124" s="3"/>
      <c r="AC124" s="3"/>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8:57" x14ac:dyDescent="0.25">
      <c r="R125" s="29"/>
      <c r="S125" s="29"/>
      <c r="T125" s="15"/>
      <c r="U125" s="3"/>
      <c r="V125" s="3"/>
      <c r="W125" s="2"/>
      <c r="X125" s="2"/>
      <c r="Y125" s="29"/>
      <c r="Z125" s="29"/>
      <c r="AA125" s="15"/>
      <c r="AB125" s="3"/>
      <c r="AC125" s="3"/>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8:57" x14ac:dyDescent="0.25">
      <c r="R126" s="29"/>
      <c r="S126" s="29"/>
      <c r="T126" s="15"/>
      <c r="U126" s="3"/>
      <c r="V126" s="3"/>
      <c r="W126" s="2"/>
      <c r="X126" s="2"/>
      <c r="Y126" s="29"/>
      <c r="Z126" s="29"/>
      <c r="AA126" s="15"/>
      <c r="AB126" s="3"/>
      <c r="AC126" s="3"/>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8:57" x14ac:dyDescent="0.25">
      <c r="R127" s="29"/>
      <c r="S127" s="29"/>
      <c r="T127" s="15"/>
      <c r="U127" s="3"/>
      <c r="V127" s="3"/>
      <c r="W127" s="2"/>
      <c r="X127" s="2"/>
      <c r="Y127" s="29"/>
      <c r="Z127" s="29"/>
      <c r="AA127" s="15"/>
      <c r="AB127" s="3"/>
      <c r="AC127" s="3"/>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8:57" x14ac:dyDescent="0.25">
      <c r="R128" s="29"/>
      <c r="S128" s="29"/>
      <c r="T128" s="15"/>
      <c r="U128" s="3"/>
      <c r="V128" s="3"/>
      <c r="W128" s="2"/>
      <c r="X128" s="2"/>
      <c r="Y128" s="29"/>
      <c r="Z128" s="29"/>
      <c r="AA128" s="15"/>
      <c r="AB128" s="3"/>
      <c r="AC128" s="3"/>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8:57" x14ac:dyDescent="0.25">
      <c r="R129" s="29"/>
      <c r="S129" s="29"/>
      <c r="T129" s="15"/>
      <c r="U129" s="3"/>
      <c r="V129" s="3"/>
      <c r="W129" s="2"/>
      <c r="X129" s="2"/>
      <c r="Y129" s="29"/>
      <c r="Z129" s="29"/>
      <c r="AA129" s="15"/>
      <c r="AB129" s="3"/>
      <c r="AC129" s="3"/>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8:57" x14ac:dyDescent="0.25">
      <c r="R130" s="29"/>
      <c r="S130" s="29"/>
      <c r="T130" s="15"/>
      <c r="U130" s="3"/>
      <c r="V130" s="3"/>
      <c r="W130" s="2"/>
      <c r="X130" s="2"/>
      <c r="Y130" s="29"/>
      <c r="Z130" s="29"/>
      <c r="AA130" s="15"/>
      <c r="AB130" s="3"/>
      <c r="AC130" s="3"/>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8:57" x14ac:dyDescent="0.25">
      <c r="R131" s="29"/>
      <c r="S131" s="29"/>
      <c r="T131" s="15"/>
      <c r="U131" s="3"/>
      <c r="V131" s="3"/>
      <c r="W131" s="2"/>
      <c r="X131" s="2"/>
      <c r="Y131" s="29"/>
      <c r="Z131" s="29"/>
      <c r="AA131" s="15"/>
      <c r="AB131" s="3"/>
      <c r="AC131" s="3"/>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8:57" x14ac:dyDescent="0.25">
      <c r="R132" s="29"/>
      <c r="S132" s="29"/>
      <c r="T132" s="15"/>
      <c r="U132" s="3"/>
      <c r="V132" s="3"/>
      <c r="W132" s="2"/>
      <c r="X132" s="2"/>
      <c r="Y132" s="29"/>
      <c r="Z132" s="29"/>
      <c r="AA132" s="15"/>
      <c r="AB132" s="3"/>
      <c r="AC132" s="3"/>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8:57" x14ac:dyDescent="0.25">
      <c r="R133" s="29"/>
      <c r="S133" s="29"/>
      <c r="T133" s="15"/>
      <c r="U133" s="3"/>
      <c r="V133" s="3"/>
      <c r="W133" s="2"/>
      <c r="X133" s="2"/>
      <c r="Y133" s="29"/>
      <c r="Z133" s="29"/>
      <c r="AA133" s="15"/>
      <c r="AB133" s="3"/>
      <c r="AC133" s="3"/>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8:57" x14ac:dyDescent="0.25">
      <c r="R134" s="29"/>
      <c r="S134" s="29"/>
      <c r="T134" s="15"/>
      <c r="U134" s="3"/>
      <c r="V134" s="3"/>
      <c r="W134" s="2"/>
      <c r="X134" s="2"/>
      <c r="Y134" s="29"/>
      <c r="Z134" s="29"/>
      <c r="AA134" s="15"/>
      <c r="AB134" s="3"/>
      <c r="AC134" s="3"/>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8:57" x14ac:dyDescent="0.25">
      <c r="R135" s="29"/>
      <c r="S135" s="29"/>
      <c r="T135" s="15"/>
      <c r="U135" s="3"/>
      <c r="V135" s="3"/>
      <c r="W135" s="2"/>
      <c r="X135" s="2"/>
      <c r="Y135" s="29"/>
      <c r="Z135" s="29"/>
      <c r="AA135" s="15"/>
      <c r="AB135" s="3"/>
      <c r="AC135" s="3"/>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8:57" x14ac:dyDescent="0.25">
      <c r="R136" s="29"/>
      <c r="S136" s="29"/>
      <c r="T136" s="15"/>
      <c r="U136" s="3"/>
      <c r="V136" s="3"/>
      <c r="W136" s="2"/>
      <c r="X136" s="2"/>
      <c r="Y136" s="29"/>
      <c r="Z136" s="29"/>
      <c r="AA136" s="15"/>
      <c r="AB136" s="3"/>
      <c r="AC136" s="3"/>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8:57" x14ac:dyDescent="0.25">
      <c r="R137" s="29"/>
      <c r="S137" s="29"/>
      <c r="T137" s="15"/>
      <c r="U137" s="3"/>
      <c r="V137" s="3"/>
      <c r="W137" s="2"/>
      <c r="X137" s="2"/>
      <c r="Y137" s="29"/>
      <c r="Z137" s="29"/>
      <c r="AA137" s="15"/>
      <c r="AB137" s="3"/>
      <c r="AC137" s="3"/>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8:57" x14ac:dyDescent="0.25">
      <c r="R138" s="29"/>
      <c r="S138" s="29"/>
      <c r="T138" s="15"/>
      <c r="U138" s="3"/>
      <c r="V138" s="3"/>
      <c r="W138" s="2"/>
      <c r="X138" s="2"/>
      <c r="Y138" s="29"/>
      <c r="Z138" s="29"/>
      <c r="AA138" s="15"/>
      <c r="AB138" s="3"/>
      <c r="AC138" s="3"/>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8:57" x14ac:dyDescent="0.25">
      <c r="R139" s="29"/>
      <c r="S139" s="29"/>
      <c r="T139" s="15"/>
      <c r="U139" s="3"/>
      <c r="V139" s="3"/>
      <c r="W139" s="2"/>
      <c r="X139" s="2"/>
      <c r="Y139" s="29"/>
      <c r="Z139" s="29"/>
      <c r="AA139" s="15"/>
      <c r="AB139" s="3"/>
      <c r="AC139" s="3"/>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8:57" x14ac:dyDescent="0.25">
      <c r="R140" s="29"/>
      <c r="S140" s="29"/>
      <c r="T140" s="15"/>
      <c r="U140" s="3"/>
      <c r="V140" s="3"/>
      <c r="W140" s="2"/>
      <c r="X140" s="2"/>
      <c r="Y140" s="29"/>
      <c r="Z140" s="29"/>
      <c r="AA140" s="15"/>
      <c r="AB140" s="3"/>
      <c r="AC140" s="3"/>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8:57" x14ac:dyDescent="0.25">
      <c r="R141" s="29"/>
      <c r="S141" s="29"/>
      <c r="T141" s="15"/>
      <c r="U141" s="3"/>
      <c r="V141" s="3"/>
      <c r="W141" s="2"/>
      <c r="X141" s="2"/>
      <c r="Y141" s="29"/>
      <c r="Z141" s="29"/>
      <c r="AA141" s="15"/>
      <c r="AB141" s="3"/>
      <c r="AC141" s="3"/>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8:57" x14ac:dyDescent="0.25">
      <c r="R142" s="29"/>
      <c r="S142" s="29"/>
      <c r="T142" s="15"/>
      <c r="U142" s="3"/>
      <c r="V142" s="3"/>
      <c r="W142" s="2"/>
      <c r="X142" s="2"/>
      <c r="Y142" s="29"/>
      <c r="Z142" s="29"/>
      <c r="AA142" s="15"/>
      <c r="AB142" s="3"/>
      <c r="AC142" s="3"/>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8:57" x14ac:dyDescent="0.25">
      <c r="R143" s="29"/>
      <c r="S143" s="29"/>
      <c r="T143" s="15"/>
      <c r="U143" s="3"/>
      <c r="V143" s="3"/>
      <c r="W143" s="2"/>
      <c r="X143" s="2"/>
      <c r="Y143" s="29"/>
      <c r="Z143" s="29"/>
      <c r="AA143" s="15"/>
      <c r="AB143" s="3"/>
      <c r="AC143" s="3"/>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8:57" x14ac:dyDescent="0.25">
      <c r="R144" s="29"/>
      <c r="S144" s="29"/>
      <c r="T144" s="15"/>
      <c r="U144" s="3"/>
      <c r="V144" s="3"/>
      <c r="W144" s="2"/>
      <c r="X144" s="2"/>
      <c r="Y144" s="29"/>
      <c r="Z144" s="29"/>
      <c r="AA144" s="15"/>
      <c r="AB144" s="3"/>
      <c r="AC144" s="3"/>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8:57" x14ac:dyDescent="0.25">
      <c r="R145" s="29"/>
      <c r="S145" s="29"/>
      <c r="T145" s="15"/>
      <c r="U145" s="3"/>
      <c r="V145" s="3"/>
      <c r="W145" s="2"/>
      <c r="X145" s="2"/>
      <c r="Y145" s="29"/>
      <c r="Z145" s="29"/>
      <c r="AA145" s="15"/>
      <c r="AB145" s="3"/>
      <c r="AC145" s="3"/>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8:57" x14ac:dyDescent="0.25">
      <c r="R146" s="29"/>
      <c r="S146" s="29"/>
      <c r="T146" s="15"/>
      <c r="U146" s="3"/>
      <c r="V146" s="3"/>
      <c r="W146" s="2"/>
      <c r="X146" s="2"/>
      <c r="Y146" s="29"/>
      <c r="Z146" s="29"/>
      <c r="AA146" s="15"/>
      <c r="AB146" s="3"/>
      <c r="AC146" s="3"/>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8:57" x14ac:dyDescent="0.25">
      <c r="R147" s="29"/>
      <c r="S147" s="29"/>
      <c r="T147" s="15"/>
      <c r="U147" s="3"/>
      <c r="V147" s="3"/>
      <c r="W147" s="2"/>
      <c r="X147" s="2"/>
      <c r="Y147" s="29"/>
      <c r="Z147" s="29"/>
      <c r="AA147" s="15"/>
      <c r="AB147" s="3"/>
      <c r="AC147" s="3"/>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8:57" x14ac:dyDescent="0.25">
      <c r="R148" s="29"/>
      <c r="S148" s="29"/>
      <c r="T148" s="15"/>
      <c r="U148" s="3"/>
      <c r="V148" s="3"/>
      <c r="W148" s="2"/>
      <c r="X148" s="2"/>
      <c r="Y148" s="29"/>
      <c r="Z148" s="29"/>
      <c r="AA148" s="15"/>
      <c r="AB148" s="3"/>
      <c r="AC148" s="3"/>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8:57" x14ac:dyDescent="0.25">
      <c r="R149" s="29"/>
      <c r="S149" s="29"/>
      <c r="T149" s="15"/>
      <c r="U149" s="3"/>
      <c r="V149" s="3"/>
      <c r="W149" s="2"/>
      <c r="X149" s="2"/>
      <c r="Y149" s="29"/>
      <c r="Z149" s="29"/>
      <c r="AA149" s="15"/>
      <c r="AB149" s="3"/>
      <c r="AC149" s="3"/>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8:57" x14ac:dyDescent="0.25">
      <c r="R150" s="29"/>
      <c r="S150" s="29"/>
      <c r="T150" s="15"/>
      <c r="U150" s="3"/>
      <c r="V150" s="3"/>
      <c r="W150" s="2"/>
      <c r="X150" s="2"/>
      <c r="Y150" s="29"/>
      <c r="Z150" s="29"/>
      <c r="AA150" s="15"/>
      <c r="AB150" s="3"/>
      <c r="AC150" s="3"/>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8:57" x14ac:dyDescent="0.25">
      <c r="R151" s="29"/>
      <c r="S151" s="29"/>
      <c r="T151" s="15"/>
      <c r="U151" s="3"/>
      <c r="V151" s="3"/>
      <c r="W151" s="2"/>
      <c r="X151" s="2"/>
      <c r="Y151" s="29"/>
      <c r="Z151" s="29"/>
      <c r="AA151" s="15"/>
      <c r="AB151" s="3"/>
      <c r="AC151" s="3"/>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8:57" x14ac:dyDescent="0.25">
      <c r="R152" s="29"/>
      <c r="S152" s="29"/>
      <c r="T152" s="15"/>
      <c r="U152" s="3"/>
      <c r="V152" s="3"/>
      <c r="W152" s="2"/>
      <c r="X152" s="2"/>
      <c r="Y152" s="29"/>
      <c r="Z152" s="29"/>
      <c r="AA152" s="15"/>
      <c r="AB152" s="3"/>
      <c r="AC152" s="3"/>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8:57" x14ac:dyDescent="0.25">
      <c r="R153" s="29"/>
      <c r="S153" s="29"/>
      <c r="T153" s="15"/>
      <c r="U153" s="3"/>
      <c r="V153" s="3"/>
      <c r="W153" s="2"/>
      <c r="X153" s="2"/>
      <c r="Y153" s="29"/>
      <c r="Z153" s="29"/>
      <c r="AA153" s="15"/>
      <c r="AB153" s="3"/>
      <c r="AC153" s="3"/>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8:57" x14ac:dyDescent="0.25">
      <c r="R154" s="29"/>
      <c r="S154" s="29"/>
      <c r="T154" s="15"/>
      <c r="U154" s="3"/>
      <c r="V154" s="3"/>
      <c r="W154" s="2"/>
      <c r="X154" s="2"/>
      <c r="Y154" s="29"/>
      <c r="Z154" s="29"/>
      <c r="AA154" s="15"/>
      <c r="AB154" s="3"/>
      <c r="AC154" s="3"/>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8:57" x14ac:dyDescent="0.25">
      <c r="R155" s="29"/>
      <c r="S155" s="29"/>
      <c r="T155" s="15"/>
      <c r="U155" s="3"/>
      <c r="V155" s="3"/>
      <c r="W155" s="2"/>
      <c r="X155" s="2"/>
      <c r="Y155" s="29"/>
      <c r="Z155" s="29"/>
      <c r="AA155" s="15"/>
      <c r="AB155" s="3"/>
      <c r="AC155" s="3"/>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8:57" x14ac:dyDescent="0.25">
      <c r="R156" s="29"/>
      <c r="S156" s="29"/>
      <c r="T156" s="15"/>
      <c r="U156" s="3"/>
      <c r="V156" s="3"/>
      <c r="W156" s="2"/>
      <c r="X156" s="2"/>
      <c r="Y156" s="29"/>
      <c r="Z156" s="29"/>
      <c r="AA156" s="15"/>
      <c r="AB156" s="3"/>
      <c r="AC156" s="3"/>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8:57" x14ac:dyDescent="0.25">
      <c r="R157" s="29"/>
      <c r="S157" s="29"/>
      <c r="T157" s="15"/>
      <c r="U157" s="3"/>
      <c r="V157" s="3"/>
      <c r="W157" s="2"/>
      <c r="X157" s="2"/>
      <c r="Y157" s="29"/>
      <c r="Z157" s="29"/>
      <c r="AA157" s="15"/>
      <c r="AB157" s="3"/>
      <c r="AC157" s="3"/>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8:57" x14ac:dyDescent="0.25">
      <c r="R158" s="29"/>
      <c r="S158" s="29"/>
      <c r="T158" s="15"/>
      <c r="U158" s="3"/>
      <c r="V158" s="3"/>
      <c r="W158" s="2"/>
      <c r="X158" s="2"/>
      <c r="Y158" s="29"/>
      <c r="Z158" s="29"/>
      <c r="AA158" s="15"/>
      <c r="AB158" s="3"/>
      <c r="AC158" s="3"/>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8:57" x14ac:dyDescent="0.25">
      <c r="R159" s="29"/>
      <c r="S159" s="29"/>
      <c r="T159" s="15"/>
      <c r="U159" s="3"/>
      <c r="V159" s="3"/>
      <c r="W159" s="2"/>
      <c r="X159" s="2"/>
      <c r="Y159" s="29"/>
      <c r="Z159" s="29"/>
      <c r="AA159" s="15"/>
      <c r="AB159" s="3"/>
      <c r="AC159" s="3"/>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8:57" x14ac:dyDescent="0.25">
      <c r="R160" s="29"/>
      <c r="S160" s="29"/>
      <c r="T160" s="15"/>
      <c r="U160" s="3"/>
      <c r="V160" s="3"/>
      <c r="W160" s="2"/>
      <c r="X160" s="2"/>
      <c r="Y160" s="29"/>
      <c r="Z160" s="29"/>
      <c r="AA160" s="15"/>
      <c r="AB160" s="3"/>
      <c r="AC160" s="3"/>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8:57" x14ac:dyDescent="0.25">
      <c r="R161" s="29"/>
      <c r="S161" s="29"/>
      <c r="T161" s="15"/>
      <c r="U161" s="3"/>
      <c r="V161" s="3"/>
      <c r="W161" s="2"/>
      <c r="X161" s="2"/>
      <c r="Y161" s="29"/>
      <c r="Z161" s="29"/>
      <c r="AA161" s="15"/>
      <c r="AB161" s="3"/>
      <c r="AC161" s="3"/>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8:57" x14ac:dyDescent="0.25">
      <c r="R162" s="29"/>
      <c r="S162" s="29"/>
      <c r="T162" s="15"/>
      <c r="U162" s="3"/>
      <c r="V162" s="3"/>
      <c r="W162" s="2"/>
      <c r="X162" s="2"/>
      <c r="Y162" s="29"/>
      <c r="Z162" s="29"/>
      <c r="AA162" s="15"/>
      <c r="AB162" s="3"/>
      <c r="AC162" s="3"/>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8:57" x14ac:dyDescent="0.25">
      <c r="R163" s="29"/>
      <c r="S163" s="29"/>
      <c r="T163" s="15"/>
      <c r="U163" s="3"/>
      <c r="V163" s="3"/>
      <c r="W163" s="2"/>
      <c r="X163" s="2"/>
      <c r="Y163" s="29"/>
      <c r="Z163" s="29"/>
      <c r="AA163" s="15"/>
      <c r="AB163" s="3"/>
      <c r="AC163" s="3"/>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8:57" x14ac:dyDescent="0.25">
      <c r="R164" s="29"/>
      <c r="S164" s="29"/>
      <c r="T164" s="15"/>
      <c r="U164" s="3"/>
      <c r="V164" s="3"/>
      <c r="W164" s="2"/>
      <c r="X164" s="2"/>
      <c r="Y164" s="29"/>
      <c r="Z164" s="29"/>
      <c r="AA164" s="15"/>
      <c r="AB164" s="3"/>
      <c r="AC164" s="3"/>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8:57" x14ac:dyDescent="0.25">
      <c r="R165" s="29"/>
      <c r="S165" s="29"/>
      <c r="T165" s="15"/>
      <c r="U165" s="3"/>
      <c r="V165" s="3"/>
      <c r="W165" s="2"/>
      <c r="X165" s="2"/>
      <c r="Y165" s="29"/>
      <c r="Z165" s="29"/>
      <c r="AA165" s="15"/>
      <c r="AB165" s="3"/>
      <c r="AC165" s="3"/>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8:57" x14ac:dyDescent="0.25">
      <c r="R166" s="29"/>
      <c r="S166" s="29"/>
      <c r="T166" s="15"/>
      <c r="U166" s="3"/>
      <c r="V166" s="3"/>
      <c r="W166" s="2"/>
      <c r="X166" s="2"/>
      <c r="Y166" s="29"/>
      <c r="Z166" s="29"/>
      <c r="AA166" s="15"/>
      <c r="AB166" s="3"/>
      <c r="AC166" s="3"/>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8:57" x14ac:dyDescent="0.25">
      <c r="R167" s="29"/>
      <c r="S167" s="29"/>
      <c r="T167" s="15"/>
      <c r="U167" s="3"/>
      <c r="V167" s="3"/>
      <c r="W167" s="2"/>
      <c r="X167" s="2"/>
      <c r="Y167" s="29"/>
      <c r="Z167" s="29"/>
      <c r="AA167" s="15"/>
      <c r="AB167" s="3"/>
      <c r="AC167" s="3"/>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8:57" x14ac:dyDescent="0.25">
      <c r="R168" s="29"/>
      <c r="S168" s="29"/>
      <c r="T168" s="15"/>
      <c r="U168" s="3"/>
      <c r="V168" s="3"/>
      <c r="W168" s="2"/>
      <c r="X168" s="2"/>
      <c r="Y168" s="29"/>
      <c r="Z168" s="29"/>
      <c r="AA168" s="15"/>
      <c r="AB168" s="3"/>
      <c r="AC168" s="3"/>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8:57" x14ac:dyDescent="0.25">
      <c r="R169" s="29"/>
      <c r="S169" s="29"/>
      <c r="T169" s="15"/>
      <c r="U169" s="3"/>
      <c r="V169" s="3"/>
      <c r="W169" s="2"/>
      <c r="X169" s="2"/>
      <c r="Y169" s="29"/>
      <c r="Z169" s="29"/>
      <c r="AA169" s="15"/>
      <c r="AB169" s="3"/>
      <c r="AC169" s="3"/>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8:57" x14ac:dyDescent="0.25">
      <c r="R170" s="29"/>
      <c r="S170" s="29"/>
      <c r="T170" s="15"/>
      <c r="U170" s="3"/>
      <c r="V170" s="3"/>
      <c r="W170" s="2"/>
      <c r="X170" s="2"/>
      <c r="Y170" s="29"/>
      <c r="Z170" s="29"/>
      <c r="AA170" s="15"/>
      <c r="AB170" s="3"/>
      <c r="AC170" s="3"/>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8:57" x14ac:dyDescent="0.25">
      <c r="R171" s="29"/>
      <c r="S171" s="29"/>
      <c r="T171" s="15"/>
      <c r="U171" s="3"/>
      <c r="V171" s="3"/>
      <c r="W171" s="2"/>
      <c r="X171" s="2"/>
      <c r="Y171" s="29"/>
      <c r="Z171" s="29"/>
      <c r="AA171" s="15"/>
      <c r="AB171" s="3"/>
      <c r="AC171" s="3"/>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8:57" x14ac:dyDescent="0.25">
      <c r="R172" s="29"/>
      <c r="S172" s="29"/>
      <c r="T172" s="15"/>
      <c r="U172" s="3"/>
      <c r="V172" s="3"/>
      <c r="W172" s="2"/>
      <c r="X172" s="2"/>
      <c r="Y172" s="29"/>
      <c r="Z172" s="29"/>
      <c r="AA172" s="15"/>
      <c r="AB172" s="3"/>
      <c r="AC172" s="3"/>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8:57" x14ac:dyDescent="0.25">
      <c r="R173" s="29"/>
      <c r="S173" s="29"/>
      <c r="T173" s="15"/>
      <c r="U173" s="3"/>
      <c r="V173" s="3"/>
      <c r="W173" s="2"/>
      <c r="X173" s="2"/>
      <c r="Y173" s="29"/>
      <c r="Z173" s="29"/>
      <c r="AA173" s="15"/>
      <c r="AB173" s="3"/>
      <c r="AC173" s="3"/>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8:57" x14ac:dyDescent="0.25">
      <c r="R174" s="29"/>
      <c r="S174" s="29"/>
      <c r="T174" s="15"/>
      <c r="U174" s="3"/>
      <c r="V174" s="3"/>
      <c r="W174" s="2"/>
      <c r="X174" s="2"/>
      <c r="Y174" s="29"/>
      <c r="Z174" s="29"/>
      <c r="AA174" s="15"/>
      <c r="AB174" s="3"/>
      <c r="AC174" s="3"/>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8:57" x14ac:dyDescent="0.25">
      <c r="R175" s="29"/>
      <c r="S175" s="29"/>
      <c r="T175" s="15"/>
      <c r="U175" s="3"/>
      <c r="V175" s="3"/>
      <c r="W175" s="2"/>
      <c r="X175" s="2"/>
      <c r="Y175" s="29"/>
      <c r="Z175" s="29"/>
      <c r="AA175" s="15"/>
      <c r="AB175" s="3"/>
      <c r="AC175" s="3"/>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8:57" x14ac:dyDescent="0.25">
      <c r="R176" s="29"/>
      <c r="S176" s="29"/>
      <c r="T176" s="15"/>
      <c r="U176" s="3"/>
      <c r="V176" s="3"/>
      <c r="W176" s="2"/>
      <c r="X176" s="2"/>
      <c r="Y176" s="29"/>
      <c r="Z176" s="29"/>
      <c r="AA176" s="15"/>
      <c r="AB176" s="3"/>
      <c r="AC176" s="3"/>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8:57" x14ac:dyDescent="0.25">
      <c r="R177" s="29"/>
      <c r="S177" s="29"/>
      <c r="T177" s="15"/>
      <c r="U177" s="3"/>
      <c r="V177" s="3"/>
      <c r="W177" s="2"/>
      <c r="X177" s="2"/>
      <c r="Y177" s="29"/>
      <c r="Z177" s="29"/>
      <c r="AA177" s="15"/>
      <c r="AB177" s="3"/>
      <c r="AC177" s="3"/>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8:57" x14ac:dyDescent="0.25">
      <c r="R178" s="29"/>
      <c r="S178" s="29"/>
      <c r="T178" s="15"/>
      <c r="U178" s="3"/>
      <c r="V178" s="3"/>
      <c r="W178" s="2"/>
      <c r="X178" s="2"/>
      <c r="Y178" s="29"/>
      <c r="Z178" s="29"/>
      <c r="AA178" s="15"/>
      <c r="AB178" s="3"/>
      <c r="AC178" s="3"/>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8:57" x14ac:dyDescent="0.25">
      <c r="R179" s="29"/>
      <c r="S179" s="29"/>
      <c r="T179" s="15"/>
      <c r="U179" s="3"/>
      <c r="V179" s="3"/>
      <c r="W179" s="2"/>
      <c r="X179" s="2"/>
      <c r="Y179" s="29"/>
      <c r="Z179" s="29"/>
      <c r="AA179" s="15"/>
      <c r="AB179" s="3"/>
      <c r="AC179" s="3"/>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8:57" x14ac:dyDescent="0.25">
      <c r="R180" s="29"/>
      <c r="S180" s="29"/>
      <c r="T180" s="15"/>
      <c r="U180" s="3"/>
      <c r="V180" s="3"/>
      <c r="W180" s="2"/>
      <c r="X180" s="2"/>
      <c r="Y180" s="29"/>
      <c r="Z180" s="29"/>
      <c r="AA180" s="15"/>
      <c r="AB180" s="3"/>
      <c r="AC180" s="3"/>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8:57" x14ac:dyDescent="0.25">
      <c r="R181" s="29"/>
      <c r="S181" s="29"/>
      <c r="T181" s="15"/>
      <c r="U181" s="3"/>
      <c r="V181" s="3"/>
      <c r="W181" s="2"/>
      <c r="X181" s="2"/>
      <c r="Y181" s="29"/>
      <c r="Z181" s="29"/>
      <c r="AA181" s="15"/>
      <c r="AB181" s="3"/>
      <c r="AC181" s="3"/>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8:57" x14ac:dyDescent="0.25">
      <c r="R182" s="29"/>
      <c r="S182" s="29"/>
      <c r="T182" s="15"/>
      <c r="U182" s="3"/>
      <c r="V182" s="3"/>
      <c r="W182" s="2"/>
      <c r="X182" s="2"/>
      <c r="Y182" s="29"/>
      <c r="Z182" s="29"/>
      <c r="AA182" s="15"/>
      <c r="AB182" s="3"/>
      <c r="AC182" s="3"/>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8:57" x14ac:dyDescent="0.25">
      <c r="R183" s="29"/>
      <c r="S183" s="29"/>
      <c r="T183" s="15"/>
      <c r="U183" s="3"/>
      <c r="V183" s="3"/>
      <c r="W183" s="2"/>
      <c r="X183" s="2"/>
      <c r="Y183" s="29"/>
      <c r="Z183" s="29"/>
      <c r="AA183" s="15"/>
      <c r="AB183" s="3"/>
      <c r="AC183" s="3"/>
      <c r="AD183" s="2"/>
      <c r="AE183" s="2"/>
      <c r="AK183" s="2"/>
      <c r="AL183" s="2"/>
      <c r="AM183" s="2"/>
      <c r="AN183" s="2"/>
      <c r="AO183" s="2"/>
      <c r="AP183" s="2"/>
      <c r="AQ183" s="2"/>
      <c r="AR183" s="2"/>
      <c r="AS183" s="2"/>
      <c r="AT183" s="2"/>
      <c r="AU183" s="2"/>
      <c r="AV183" s="2"/>
      <c r="AW183" s="2"/>
      <c r="AX183" s="2"/>
      <c r="AY183" s="2"/>
      <c r="AZ183" s="2"/>
      <c r="BA183" s="2"/>
      <c r="BB183" s="2"/>
      <c r="BC183" s="2"/>
      <c r="BD183" s="2"/>
      <c r="BE183" s="2"/>
    </row>
    <row r="184" spans="18:57" x14ac:dyDescent="0.25">
      <c r="R184" s="29"/>
      <c r="S184" s="29"/>
      <c r="T184" s="15"/>
      <c r="U184" s="3"/>
      <c r="V184" s="3"/>
      <c r="W184" s="2"/>
      <c r="X184" s="2"/>
      <c r="Y184" s="29"/>
      <c r="Z184" s="29"/>
      <c r="AA184" s="15"/>
      <c r="AB184" s="3"/>
      <c r="AC184" s="3"/>
      <c r="AD184" s="2"/>
      <c r="AE184" s="2"/>
      <c r="AK184" s="2"/>
      <c r="AL184" s="2"/>
      <c r="AM184" s="2"/>
      <c r="AN184" s="2"/>
      <c r="AO184" s="2"/>
      <c r="AP184" s="2"/>
      <c r="AQ184" s="2"/>
      <c r="AS184" s="2"/>
      <c r="AT184" s="2"/>
      <c r="AU184" s="2"/>
      <c r="AV184" s="2"/>
      <c r="AW184" s="2"/>
      <c r="AX184" s="2"/>
      <c r="AY184" s="2"/>
      <c r="AZ184" s="2"/>
      <c r="BA184" s="2"/>
      <c r="BB184" s="2"/>
      <c r="BC184" s="2"/>
      <c r="BD184" s="2"/>
      <c r="BE184" s="2"/>
    </row>
    <row r="185" spans="18:57" x14ac:dyDescent="0.25">
      <c r="R185" s="29"/>
      <c r="S185" s="29"/>
      <c r="T185" s="15"/>
      <c r="U185" s="3"/>
      <c r="V185" s="3"/>
      <c r="W185" s="2"/>
      <c r="X185" s="2"/>
      <c r="Y185" s="29"/>
      <c r="Z185" s="29"/>
      <c r="AA185" s="15"/>
      <c r="AB185" s="3"/>
      <c r="AC185" s="3"/>
      <c r="AD185" s="2"/>
      <c r="AE185" s="2"/>
      <c r="AK185" s="2"/>
      <c r="AL185" s="2"/>
      <c r="AM185" s="2"/>
      <c r="AN185" s="2"/>
      <c r="AO185" s="2"/>
      <c r="AP185" s="2"/>
      <c r="AQ185" s="2"/>
      <c r="AS185" s="2"/>
      <c r="AT185" s="2"/>
      <c r="AU185" s="2"/>
      <c r="AV185" s="2"/>
      <c r="AW185" s="2"/>
      <c r="AX185" s="2"/>
      <c r="AY185" s="2"/>
      <c r="AZ185" s="2"/>
      <c r="BA185" s="2"/>
      <c r="BB185" s="2"/>
      <c r="BC185" s="2"/>
      <c r="BD185" s="2"/>
      <c r="BE185" s="2"/>
    </row>
    <row r="186" spans="18:57" x14ac:dyDescent="0.25">
      <c r="R186" s="29"/>
      <c r="S186" s="29"/>
      <c r="T186" s="15"/>
      <c r="U186" s="3"/>
      <c r="V186" s="3"/>
      <c r="W186" s="2"/>
      <c r="X186" s="2"/>
      <c r="Y186" s="29"/>
      <c r="Z186" s="29"/>
      <c r="AA186" s="15"/>
      <c r="AB186" s="3"/>
      <c r="AC186" s="3"/>
      <c r="AD186" s="2"/>
      <c r="AE186" s="2"/>
      <c r="AK186" s="2"/>
      <c r="AL186" s="2"/>
      <c r="AM186" s="2"/>
      <c r="AN186" s="2"/>
      <c r="AO186" s="2"/>
      <c r="AP186" s="2"/>
      <c r="AQ186" s="2"/>
      <c r="AS186" s="2"/>
      <c r="AT186" s="2"/>
      <c r="AU186" s="2"/>
      <c r="AV186" s="2"/>
      <c r="AW186" s="2"/>
      <c r="AX186" s="2"/>
      <c r="AY186" s="2"/>
      <c r="AZ186" s="2"/>
      <c r="BA186" s="2"/>
      <c r="BB186" s="2"/>
      <c r="BC186" s="2"/>
      <c r="BD186" s="2"/>
      <c r="BE186" s="2"/>
    </row>
    <row r="187" spans="18:57" x14ac:dyDescent="0.25">
      <c r="R187" s="29"/>
      <c r="S187" s="29"/>
      <c r="T187" s="15"/>
      <c r="U187" s="3"/>
      <c r="V187" s="3"/>
      <c r="W187" s="2"/>
      <c r="X187" s="2"/>
      <c r="Y187" s="29"/>
      <c r="Z187" s="29"/>
      <c r="AA187" s="15"/>
      <c r="AB187" s="3"/>
      <c r="AC187" s="3"/>
      <c r="AD187" s="2"/>
      <c r="AE187" s="2"/>
      <c r="AK187" s="2"/>
      <c r="AL187" s="2"/>
      <c r="AM187" s="2"/>
      <c r="AN187" s="2"/>
      <c r="AO187" s="2"/>
      <c r="AP187" s="2"/>
      <c r="AQ187" s="2"/>
      <c r="AS187" s="2"/>
      <c r="AT187" s="2"/>
      <c r="AU187" s="2"/>
      <c r="AV187" s="2"/>
      <c r="AW187" s="2"/>
      <c r="AX187" s="2"/>
      <c r="AY187" s="2"/>
      <c r="AZ187" s="2"/>
      <c r="BA187" s="2"/>
      <c r="BB187" s="2"/>
      <c r="BC187" s="2"/>
      <c r="BD187" s="2"/>
      <c r="BE187" s="2"/>
    </row>
    <row r="188" spans="18:57" x14ac:dyDescent="0.25">
      <c r="R188" s="29"/>
      <c r="S188" s="29"/>
      <c r="T188" s="15"/>
      <c r="U188" s="3"/>
      <c r="V188" s="3"/>
      <c r="W188" s="2"/>
      <c r="X188" s="2"/>
      <c r="Y188" s="29"/>
      <c r="Z188" s="29"/>
      <c r="AA188" s="15"/>
      <c r="AB188" s="3"/>
      <c r="AC188" s="3"/>
      <c r="AD188" s="2"/>
      <c r="AE188" s="2"/>
      <c r="AS188" s="2"/>
      <c r="AT188" s="2"/>
      <c r="AU188" s="2"/>
      <c r="AV188" s="2"/>
      <c r="AW188" s="2"/>
      <c r="AX188" s="2"/>
      <c r="AY188" s="2"/>
      <c r="AZ188" s="2"/>
      <c r="BA188" s="2"/>
      <c r="BB188" s="2"/>
      <c r="BC188" s="2"/>
      <c r="BD188" s="2"/>
      <c r="BE188" s="2"/>
    </row>
    <row r="189" spans="18:57" x14ac:dyDescent="0.25">
      <c r="R189" s="29"/>
      <c r="S189" s="29"/>
      <c r="T189" s="15"/>
      <c r="U189" s="3"/>
      <c r="V189" s="3"/>
      <c r="W189" s="2"/>
      <c r="X189" s="2"/>
      <c r="Y189" s="29"/>
      <c r="Z189" s="29"/>
      <c r="AA189" s="15"/>
      <c r="AB189" s="3"/>
      <c r="AC189" s="3"/>
      <c r="AD189" s="2"/>
      <c r="AE189" s="2"/>
    </row>
    <row r="190" spans="18:57" x14ac:dyDescent="0.25">
      <c r="R190" s="29"/>
      <c r="S190" s="29"/>
      <c r="T190" s="15"/>
      <c r="U190" s="3"/>
      <c r="V190" s="3"/>
      <c r="W190" s="2"/>
      <c r="X190" s="2"/>
      <c r="Y190" s="29"/>
      <c r="Z190" s="29"/>
      <c r="AA190" s="15"/>
      <c r="AB190" s="3"/>
      <c r="AC190" s="3"/>
      <c r="AD190" s="2"/>
      <c r="AE190" s="2"/>
    </row>
    <row r="191" spans="18:57" x14ac:dyDescent="0.25">
      <c r="R191" s="29"/>
      <c r="S191" s="29"/>
      <c r="T191" s="15"/>
      <c r="U191" s="3"/>
      <c r="V191" s="3"/>
      <c r="W191" s="2"/>
      <c r="X191" s="2"/>
      <c r="Y191" s="29"/>
      <c r="Z191" s="29"/>
      <c r="AA191" s="15"/>
      <c r="AB191" s="3"/>
      <c r="AC191" s="3"/>
      <c r="AD191" s="2"/>
      <c r="AE191" s="2"/>
    </row>
    <row r="192" spans="18:57" x14ac:dyDescent="0.25">
      <c r="R192" s="29"/>
      <c r="S192" s="29"/>
      <c r="T192" s="15"/>
      <c r="U192" s="3"/>
      <c r="V192" s="3"/>
      <c r="W192" s="2"/>
      <c r="X192" s="2"/>
      <c r="Y192" s="29"/>
      <c r="Z192" s="29"/>
      <c r="AA192" s="15"/>
      <c r="AB192" s="3"/>
      <c r="AC192" s="3"/>
      <c r="AD192" s="2"/>
      <c r="AE192" s="2"/>
    </row>
  </sheetData>
  <mergeCells count="1689">
    <mergeCell ref="CO76:CO78"/>
    <mergeCell ref="BU88:BW88"/>
    <mergeCell ref="CM66:CM67"/>
    <mergeCell ref="CM71:CM73"/>
    <mergeCell ref="CM75:CM77"/>
    <mergeCell ref="CM80:CM81"/>
    <mergeCell ref="CL1:CN1"/>
    <mergeCell ref="CM2:CM3"/>
    <mergeCell ref="CA2:CA3"/>
    <mergeCell ref="CM9:CM11"/>
    <mergeCell ref="CM14:CM15"/>
    <mergeCell ref="CM19:CM20"/>
    <mergeCell ref="CM21:CM24"/>
    <mergeCell ref="CM37:CM39"/>
    <mergeCell ref="CM44:CM45"/>
    <mergeCell ref="CM51:CM52"/>
    <mergeCell ref="CM56:CM57"/>
    <mergeCell ref="CM46:CM47"/>
    <mergeCell ref="CL2:CL3"/>
    <mergeCell ref="CL9:CL11"/>
    <mergeCell ref="CL14:CL15"/>
    <mergeCell ref="CL21:CL24"/>
    <mergeCell ref="CL37:CL39"/>
    <mergeCell ref="CL44:CL45"/>
    <mergeCell ref="CL46:CL47"/>
    <mergeCell ref="CL51:CL52"/>
    <mergeCell ref="CL53:CL54"/>
    <mergeCell ref="CL56:CL57"/>
    <mergeCell ref="CL66:CL67"/>
    <mergeCell ref="CL71:CL73"/>
    <mergeCell ref="CA9:CA11"/>
    <mergeCell ref="CL75:CL77"/>
    <mergeCell ref="CM53:CM54"/>
    <mergeCell ref="CN2:CN3"/>
    <mergeCell ref="CN9:CN11"/>
    <mergeCell ref="CN14:CN15"/>
    <mergeCell ref="CN21:CN24"/>
    <mergeCell ref="CN37:CN39"/>
    <mergeCell ref="CN44:CN45"/>
    <mergeCell ref="CN46:CN47"/>
    <mergeCell ref="CN51:CN52"/>
    <mergeCell ref="CN53:CN54"/>
    <mergeCell ref="CN66:CN67"/>
    <mergeCell ref="CN71:CN73"/>
    <mergeCell ref="CN75:CN77"/>
    <mergeCell ref="CC46:CC47"/>
    <mergeCell ref="CN19:CN20"/>
    <mergeCell ref="CN56:CN57"/>
    <mergeCell ref="CC75:CC77"/>
    <mergeCell ref="CD14:CD15"/>
    <mergeCell ref="CE14:CE15"/>
    <mergeCell ref="CF14:CF15"/>
    <mergeCell ref="CG14:CG15"/>
    <mergeCell ref="CH14:CH15"/>
    <mergeCell ref="CI14:CI15"/>
    <mergeCell ref="CJ14:CJ15"/>
    <mergeCell ref="CK14:CK15"/>
    <mergeCell ref="CG16:CG17"/>
    <mergeCell ref="CH16:CH17"/>
    <mergeCell ref="CK16:CK17"/>
    <mergeCell ref="CG18:CG20"/>
    <mergeCell ref="CH18:CH20"/>
    <mergeCell ref="CI18:CI20"/>
    <mergeCell ref="CE19:CE20"/>
    <mergeCell ref="CN80:CN81"/>
    <mergeCell ref="CM27:CM28"/>
    <mergeCell ref="CL27:CL28"/>
    <mergeCell ref="CA66:CA67"/>
    <mergeCell ref="CA71:CA73"/>
    <mergeCell ref="CA75:CA77"/>
    <mergeCell ref="CA55:CA57"/>
    <mergeCell ref="CA60:CA61"/>
    <mergeCell ref="CA62:CA63"/>
    <mergeCell ref="BE82:BE85"/>
    <mergeCell ref="BG27:BG29"/>
    <mergeCell ref="BG42:BG45"/>
    <mergeCell ref="BG56:BG57"/>
    <mergeCell ref="BG66:BG70"/>
    <mergeCell ref="BZ75:BZ77"/>
    <mergeCell ref="CB75:CB77"/>
    <mergeCell ref="BZ55:BZ57"/>
    <mergeCell ref="CC55:CC57"/>
    <mergeCell ref="BW56:BW57"/>
    <mergeCell ref="BX56:BX57"/>
    <mergeCell ref="CB56:CB57"/>
    <mergeCell ref="BY60:BY61"/>
    <mergeCell ref="BZ60:BZ61"/>
    <mergeCell ref="BV51:BV52"/>
    <mergeCell ref="CB80:CB81"/>
    <mergeCell ref="BW51:BW52"/>
    <mergeCell ref="BX51:BX52"/>
    <mergeCell ref="BY51:BY52"/>
    <mergeCell ref="BZ51:BZ52"/>
    <mergeCell ref="CB51:CB52"/>
    <mergeCell ref="CC51:CC52"/>
    <mergeCell ref="CL80:CL81"/>
    <mergeCell ref="BV53:BV54"/>
    <mergeCell ref="BX53:BX54"/>
    <mergeCell ref="BY53:BY54"/>
    <mergeCell ref="BZ53:BZ54"/>
    <mergeCell ref="CB53:CB54"/>
    <mergeCell ref="CC53:CC54"/>
    <mergeCell ref="BZ46:BZ47"/>
    <mergeCell ref="CB46:CB47"/>
    <mergeCell ref="CA80:CA81"/>
    <mergeCell ref="AZ73:AZ74"/>
    <mergeCell ref="AZ75:AZ76"/>
    <mergeCell ref="AZ79:AZ80"/>
    <mergeCell ref="BA19:BA20"/>
    <mergeCell ref="BD4:BD8"/>
    <mergeCell ref="BE4:BE8"/>
    <mergeCell ref="BD12:BD15"/>
    <mergeCell ref="BE12:BE15"/>
    <mergeCell ref="BD31:BD34"/>
    <mergeCell ref="BE31:BE34"/>
    <mergeCell ref="BD42:BD45"/>
    <mergeCell ref="BE42:BE45"/>
    <mergeCell ref="BD56:BD57"/>
    <mergeCell ref="BE56:BE57"/>
    <mergeCell ref="BD66:BD70"/>
    <mergeCell ref="BE66:BE70"/>
    <mergeCell ref="BY49:BY50"/>
    <mergeCell ref="BZ49:BZ50"/>
    <mergeCell ref="CA46:CA47"/>
    <mergeCell ref="CA51:CA52"/>
    <mergeCell ref="CA53:CA54"/>
    <mergeCell ref="BV37:BV39"/>
    <mergeCell ref="BW37:BW39"/>
    <mergeCell ref="BY37:BY39"/>
    <mergeCell ref="BZ37:BZ39"/>
    <mergeCell ref="BF82:BF85"/>
    <mergeCell ref="BA66:BA67"/>
    <mergeCell ref="BB66:BB67"/>
    <mergeCell ref="BD60:BD61"/>
    <mergeCell ref="BF60:BF61"/>
    <mergeCell ref="BC56:BC57"/>
    <mergeCell ref="BF56:BF57"/>
    <mergeCell ref="BC51:BC52"/>
    <mergeCell ref="BD51:BD52"/>
    <mergeCell ref="BE51:BE52"/>
    <mergeCell ref="BF51:BF52"/>
    <mergeCell ref="BD16:BD17"/>
    <mergeCell ref="BE16:BE17"/>
    <mergeCell ref="BF16:BF17"/>
    <mergeCell ref="BT78:BT81"/>
    <mergeCell ref="BH80:BH81"/>
    <mergeCell ref="BI80:BI81"/>
    <mergeCell ref="BJ80:BJ81"/>
    <mergeCell ref="BK80:BK81"/>
    <mergeCell ref="BL80:BL81"/>
    <mergeCell ref="BN80:BN81"/>
    <mergeCell ref="BO80:BO81"/>
    <mergeCell ref="BS80:BS81"/>
    <mergeCell ref="BU80:BU81"/>
    <mergeCell ref="BH75:BH77"/>
    <mergeCell ref="BI75:BI77"/>
    <mergeCell ref="BJ75:BJ77"/>
    <mergeCell ref="BK75:BK77"/>
    <mergeCell ref="BL75:BL77"/>
    <mergeCell ref="BW53:BW54"/>
    <mergeCell ref="BM78:BM81"/>
    <mergeCell ref="BF7:BF8"/>
    <mergeCell ref="BD82:BD85"/>
    <mergeCell ref="AY4:AY6"/>
    <mergeCell ref="BD62:BD63"/>
    <mergeCell ref="BE62:BE63"/>
    <mergeCell ref="BF62:BF63"/>
    <mergeCell ref="BA56:BA57"/>
    <mergeCell ref="BB56:BB57"/>
    <mergeCell ref="BC46:BC47"/>
    <mergeCell ref="BD46:BD47"/>
    <mergeCell ref="BE46:BE47"/>
    <mergeCell ref="BF46:BF47"/>
    <mergeCell ref="AW75:AW76"/>
    <mergeCell ref="AX75:AX76"/>
    <mergeCell ref="AW79:AW80"/>
    <mergeCell ref="AX79:AX80"/>
    <mergeCell ref="AW81:AW84"/>
    <mergeCell ref="AX81:AX84"/>
    <mergeCell ref="AZ15:AZ16"/>
    <mergeCell ref="AZ17:AZ19"/>
    <mergeCell ref="AZ20:AZ21"/>
    <mergeCell ref="AZ22:AZ23"/>
    <mergeCell ref="AZ26:AZ27"/>
    <mergeCell ref="AZ29:AZ30"/>
    <mergeCell ref="AZ37:AZ38"/>
    <mergeCell ref="AZ43:AZ44"/>
    <mergeCell ref="AZ45:AZ46"/>
    <mergeCell ref="AZ50:AZ51"/>
    <mergeCell ref="AZ52:AZ53"/>
    <mergeCell ref="AZ55:AZ56"/>
    <mergeCell ref="AZ59:AZ60"/>
    <mergeCell ref="AZ65:AZ66"/>
    <mergeCell ref="AZ67:AZ68"/>
    <mergeCell ref="AZ70:AZ72"/>
    <mergeCell ref="AY82:AY85"/>
    <mergeCell ref="AY66:AY70"/>
    <mergeCell ref="AY60:AY61"/>
    <mergeCell ref="AY62:AY63"/>
    <mergeCell ref="AY56:AY57"/>
    <mergeCell ref="AW4:AW6"/>
    <mergeCell ref="AX4:AX6"/>
    <mergeCell ref="AW17:AW19"/>
    <mergeCell ref="AX17:AX19"/>
    <mergeCell ref="AW20:AW21"/>
    <mergeCell ref="AX20:AX21"/>
    <mergeCell ref="AW22:AW23"/>
    <mergeCell ref="AX22:AX23"/>
    <mergeCell ref="AW26:AW27"/>
    <mergeCell ref="AX26:AX27"/>
    <mergeCell ref="AW7:AW8"/>
    <mergeCell ref="AX7:AX8"/>
    <mergeCell ref="AY7:AY8"/>
    <mergeCell ref="AT59:AT60"/>
    <mergeCell ref="AU59:AU60"/>
    <mergeCell ref="AT70:AT72"/>
    <mergeCell ref="AU70:AU72"/>
    <mergeCell ref="AT73:AT74"/>
    <mergeCell ref="AU73:AU74"/>
    <mergeCell ref="AW65:AW66"/>
    <mergeCell ref="AX65:AX66"/>
    <mergeCell ref="AW67:AW68"/>
    <mergeCell ref="AV66:AV67"/>
    <mergeCell ref="AX67:AX68"/>
    <mergeCell ref="AW70:AW72"/>
    <mergeCell ref="AX70:AX72"/>
    <mergeCell ref="AW59:AW60"/>
    <mergeCell ref="AX59:AX60"/>
    <mergeCell ref="AV56:AV57"/>
    <mergeCell ref="AW73:AW74"/>
    <mergeCell ref="AX73:AX74"/>
    <mergeCell ref="AT66:AT67"/>
    <mergeCell ref="AU66:AU67"/>
    <mergeCell ref="AW55:AW56"/>
    <mergeCell ref="AX55:AX56"/>
    <mergeCell ref="AP20:AP23"/>
    <mergeCell ref="AQ20:AQ23"/>
    <mergeCell ref="AT75:AT76"/>
    <mergeCell ref="AU75:AU76"/>
    <mergeCell ref="AS65:AS69"/>
    <mergeCell ref="AS70:AS72"/>
    <mergeCell ref="AS74:AS76"/>
    <mergeCell ref="AS79:AS80"/>
    <mergeCell ref="AT18:AT19"/>
    <mergeCell ref="AU18:AU19"/>
    <mergeCell ref="AT20:AT21"/>
    <mergeCell ref="AU20:AU21"/>
    <mergeCell ref="AT22:AT23"/>
    <mergeCell ref="AU22:AU23"/>
    <mergeCell ref="AT26:AT27"/>
    <mergeCell ref="AU26:AU27"/>
    <mergeCell ref="AT29:AT30"/>
    <mergeCell ref="AU29:AU30"/>
    <mergeCell ref="AT37:AT38"/>
    <mergeCell ref="AU37:AU38"/>
    <mergeCell ref="AT43:AT44"/>
    <mergeCell ref="AU43:AU44"/>
    <mergeCell ref="AT45:AT46"/>
    <mergeCell ref="AU45:AU46"/>
    <mergeCell ref="AT50:AT51"/>
    <mergeCell ref="AU50:AU51"/>
    <mergeCell ref="AT52:AT53"/>
    <mergeCell ref="AU52:AU53"/>
    <mergeCell ref="AT79:AT80"/>
    <mergeCell ref="AU79:AU80"/>
    <mergeCell ref="AT55:AT56"/>
    <mergeCell ref="AU55:AU56"/>
    <mergeCell ref="AF18:AF19"/>
    <mergeCell ref="AG18:AG19"/>
    <mergeCell ref="AP79:AP80"/>
    <mergeCell ref="AQ79:AQ80"/>
    <mergeCell ref="AP81:AP84"/>
    <mergeCell ref="AQ81:AQ84"/>
    <mergeCell ref="AS12:AS14"/>
    <mergeCell ref="AS15:AS16"/>
    <mergeCell ref="AS17:AS19"/>
    <mergeCell ref="AS20:AS23"/>
    <mergeCell ref="AS26:AS28"/>
    <mergeCell ref="AS30:AS33"/>
    <mergeCell ref="AS36:AS38"/>
    <mergeCell ref="AS41:AS42"/>
    <mergeCell ref="AS43:AS44"/>
    <mergeCell ref="AS45:AS46"/>
    <mergeCell ref="AS48:AS49"/>
    <mergeCell ref="AS50:AS51"/>
    <mergeCell ref="AS52:AS53"/>
    <mergeCell ref="AS54:AS56"/>
    <mergeCell ref="AS59:AS60"/>
    <mergeCell ref="AS61:AS62"/>
    <mergeCell ref="AP52:AP53"/>
    <mergeCell ref="AQ52:AQ53"/>
    <mergeCell ref="AP54:AP56"/>
    <mergeCell ref="AQ54:AQ56"/>
    <mergeCell ref="AP59:AP60"/>
    <mergeCell ref="AQ59:AQ60"/>
    <mergeCell ref="AP61:AP62"/>
    <mergeCell ref="AQ61:AQ62"/>
    <mergeCell ref="AP12:AP14"/>
    <mergeCell ref="AQ12:AQ14"/>
    <mergeCell ref="AP26:AP28"/>
    <mergeCell ref="AQ26:AQ28"/>
    <mergeCell ref="BY62:BY63"/>
    <mergeCell ref="BV56:BV57"/>
    <mergeCell ref="AP30:AP33"/>
    <mergeCell ref="AQ30:AQ33"/>
    <mergeCell ref="AP36:AP38"/>
    <mergeCell ref="AQ36:AQ38"/>
    <mergeCell ref="AP41:AP42"/>
    <mergeCell ref="AQ41:AQ42"/>
    <mergeCell ref="AP43:AP44"/>
    <mergeCell ref="AQ43:AQ44"/>
    <mergeCell ref="AP45:AP46"/>
    <mergeCell ref="R8:R9"/>
    <mergeCell ref="Y8:Y9"/>
    <mergeCell ref="Z57:Z58"/>
    <mergeCell ref="AE20:AE21"/>
    <mergeCell ref="AE27:AE28"/>
    <mergeCell ref="AE29:AE30"/>
    <mergeCell ref="AE32:AE34"/>
    <mergeCell ref="AE37:AE38"/>
    <mergeCell ref="AE41:AE42"/>
    <mergeCell ref="AE44:AE49"/>
    <mergeCell ref="AE52:AE54"/>
    <mergeCell ref="AE56:AE58"/>
    <mergeCell ref="AF55:AF56"/>
    <mergeCell ref="AG55:AG56"/>
    <mergeCell ref="AI54:AI56"/>
    <mergeCell ref="AJ54:AJ56"/>
    <mergeCell ref="AL54:AL56"/>
    <mergeCell ref="AM55:AM56"/>
    <mergeCell ref="AN55:AN56"/>
    <mergeCell ref="BP80:BP81"/>
    <mergeCell ref="BQ80:BQ81"/>
    <mergeCell ref="BR80:BR81"/>
    <mergeCell ref="AP74:AP76"/>
    <mergeCell ref="AQ74:AQ76"/>
    <mergeCell ref="AF20:AF23"/>
    <mergeCell ref="AG20:AG23"/>
    <mergeCell ref="AF27:AF28"/>
    <mergeCell ref="AG27:AG28"/>
    <mergeCell ref="AF36:AF38"/>
    <mergeCell ref="AG36:AG38"/>
    <mergeCell ref="AF43:AF44"/>
    <mergeCell ref="BV75:BV77"/>
    <mergeCell ref="BW75:BW77"/>
    <mergeCell ref="BX75:BX77"/>
    <mergeCell ref="BY75:BY77"/>
    <mergeCell ref="BY55:BY57"/>
    <mergeCell ref="BV46:BV47"/>
    <mergeCell ref="BW46:BW47"/>
    <mergeCell ref="BX46:BX47"/>
    <mergeCell ref="BY46:BY47"/>
    <mergeCell ref="BY27:BY29"/>
    <mergeCell ref="AL36:AL38"/>
    <mergeCell ref="AL41:AL44"/>
    <mergeCell ref="AL45:AL46"/>
    <mergeCell ref="AL48:AL49"/>
    <mergeCell ref="BU66:BU67"/>
    <mergeCell ref="BH71:BH73"/>
    <mergeCell ref="BI71:BI73"/>
    <mergeCell ref="BJ71:BJ73"/>
    <mergeCell ref="BK71:BK73"/>
    <mergeCell ref="BV80:BV81"/>
    <mergeCell ref="BW80:BW81"/>
    <mergeCell ref="BX80:BX81"/>
    <mergeCell ref="BY80:BY81"/>
    <mergeCell ref="BZ80:BZ81"/>
    <mergeCell ref="CC80:CC81"/>
    <mergeCell ref="CC66:CC67"/>
    <mergeCell ref="BV71:BV73"/>
    <mergeCell ref="BW71:BW73"/>
    <mergeCell ref="BX71:BX73"/>
    <mergeCell ref="BY71:BY73"/>
    <mergeCell ref="BZ71:BZ73"/>
    <mergeCell ref="CB71:CB73"/>
    <mergeCell ref="CC71:CC73"/>
    <mergeCell ref="BZ62:BZ63"/>
    <mergeCell ref="BV66:BV67"/>
    <mergeCell ref="BW66:BW67"/>
    <mergeCell ref="BX66:BX67"/>
    <mergeCell ref="BY66:BY67"/>
    <mergeCell ref="BZ66:BZ67"/>
    <mergeCell ref="CB66:CB67"/>
    <mergeCell ref="CB37:CB39"/>
    <mergeCell ref="CC37:CC39"/>
    <mergeCell ref="BV44:BV45"/>
    <mergeCell ref="BW44:BW45"/>
    <mergeCell ref="BX44:BX45"/>
    <mergeCell ref="BY44:BY45"/>
    <mergeCell ref="BZ44:BZ45"/>
    <mergeCell ref="CC44:CC45"/>
    <mergeCell ref="CB44:CB45"/>
    <mergeCell ref="CA49:CA50"/>
    <mergeCell ref="BZ27:BZ29"/>
    <mergeCell ref="BX28:BX29"/>
    <mergeCell ref="CC28:CC29"/>
    <mergeCell ref="CC31:CC32"/>
    <mergeCell ref="CA37:CA39"/>
    <mergeCell ref="CA44:CA45"/>
    <mergeCell ref="BY18:BY20"/>
    <mergeCell ref="BZ18:BZ20"/>
    <mergeCell ref="CC18:CC20"/>
    <mergeCell ref="BW19:BW20"/>
    <mergeCell ref="BX19:BX20"/>
    <mergeCell ref="BV21:BV24"/>
    <mergeCell ref="BW21:BW24"/>
    <mergeCell ref="BX21:BX24"/>
    <mergeCell ref="BY21:BY24"/>
    <mergeCell ref="BZ21:BZ24"/>
    <mergeCell ref="CB21:CB24"/>
    <mergeCell ref="CC21:CC24"/>
    <mergeCell ref="CB19:CB20"/>
    <mergeCell ref="CB28:CB29"/>
    <mergeCell ref="CA27:CA29"/>
    <mergeCell ref="BX37:BX39"/>
    <mergeCell ref="BV14:BV15"/>
    <mergeCell ref="BW14:BW15"/>
    <mergeCell ref="BX14:BX15"/>
    <mergeCell ref="BY14:BY15"/>
    <mergeCell ref="BZ14:BZ15"/>
    <mergeCell ref="CC14:CC15"/>
    <mergeCell ref="BY16:BY17"/>
    <mergeCell ref="BZ16:BZ17"/>
    <mergeCell ref="CC16:CC17"/>
    <mergeCell ref="CA14:CA15"/>
    <mergeCell ref="CA18:CA20"/>
    <mergeCell ref="CA21:CA24"/>
    <mergeCell ref="BY7:BY8"/>
    <mergeCell ref="BZ7:BZ8"/>
    <mergeCell ref="BV9:BV11"/>
    <mergeCell ref="BW9:BW11"/>
    <mergeCell ref="BX9:BX11"/>
    <mergeCell ref="BY9:BY11"/>
    <mergeCell ref="BZ9:BZ11"/>
    <mergeCell ref="CB9:CB11"/>
    <mergeCell ref="CB14:CB15"/>
    <mergeCell ref="CC9:CC11"/>
    <mergeCell ref="BV19:BV20"/>
    <mergeCell ref="BV1:CC1"/>
    <mergeCell ref="BV2:BV3"/>
    <mergeCell ref="BW2:BW3"/>
    <mergeCell ref="BX2:BX3"/>
    <mergeCell ref="BY2:BY3"/>
    <mergeCell ref="BZ2:BZ3"/>
    <mergeCell ref="CB2:CB3"/>
    <mergeCell ref="CC2:CC3"/>
    <mergeCell ref="BM82:BM85"/>
    <mergeCell ref="BT82:BT85"/>
    <mergeCell ref="D1:Q1"/>
    <mergeCell ref="S4:S9"/>
    <mergeCell ref="T4:T9"/>
    <mergeCell ref="S10:S19"/>
    <mergeCell ref="T10:T19"/>
    <mergeCell ref="S20:S26"/>
    <mergeCell ref="T20:T26"/>
    <mergeCell ref="S27:S50"/>
    <mergeCell ref="T27:T50"/>
    <mergeCell ref="BQ75:BQ77"/>
    <mergeCell ref="BR75:BR77"/>
    <mergeCell ref="BS75:BS77"/>
    <mergeCell ref="BT75:BT77"/>
    <mergeCell ref="BQ66:BQ67"/>
    <mergeCell ref="BR66:BR67"/>
    <mergeCell ref="BS66:BS67"/>
    <mergeCell ref="BT66:BT70"/>
    <mergeCell ref="AM74:AM76"/>
    <mergeCell ref="AL17:AL19"/>
    <mergeCell ref="AL20:AL23"/>
    <mergeCell ref="AL27:AL28"/>
    <mergeCell ref="AL31:AL32"/>
    <mergeCell ref="BM75:BM77"/>
    <mergeCell ref="BN75:BN77"/>
    <mergeCell ref="BO75:BO77"/>
    <mergeCell ref="BP75:BP77"/>
    <mergeCell ref="BL71:BL73"/>
    <mergeCell ref="BM71:BM73"/>
    <mergeCell ref="BN71:BN73"/>
    <mergeCell ref="BO71:BO73"/>
    <mergeCell ref="BP71:BP73"/>
    <mergeCell ref="BQ71:BQ73"/>
    <mergeCell ref="BR71:BR73"/>
    <mergeCell ref="BS71:BS73"/>
    <mergeCell ref="BT71:BT73"/>
    <mergeCell ref="BU71:BU73"/>
    <mergeCell ref="BH66:BH67"/>
    <mergeCell ref="BI66:BI67"/>
    <mergeCell ref="BJ66:BJ67"/>
    <mergeCell ref="BK66:BK67"/>
    <mergeCell ref="BL66:BL67"/>
    <mergeCell ref="BM66:BM70"/>
    <mergeCell ref="BN66:BN67"/>
    <mergeCell ref="BO66:BO67"/>
    <mergeCell ref="BP66:BP67"/>
    <mergeCell ref="BU75:BU77"/>
    <mergeCell ref="BK60:BK61"/>
    <mergeCell ref="BL60:BL61"/>
    <mergeCell ref="BM60:BM61"/>
    <mergeCell ref="BR60:BR61"/>
    <mergeCell ref="BS60:BS61"/>
    <mergeCell ref="BT60:BT61"/>
    <mergeCell ref="BL62:BL63"/>
    <mergeCell ref="BM62:BM63"/>
    <mergeCell ref="BR62:BR63"/>
    <mergeCell ref="BS62:BS63"/>
    <mergeCell ref="BT62:BT63"/>
    <mergeCell ref="BK55:BK57"/>
    <mergeCell ref="BL55:BL57"/>
    <mergeCell ref="BN55:BN57"/>
    <mergeCell ref="BR55:BR57"/>
    <mergeCell ref="BS55:BS57"/>
    <mergeCell ref="BU55:BU57"/>
    <mergeCell ref="BH56:BH57"/>
    <mergeCell ref="BI56:BI57"/>
    <mergeCell ref="BJ56:BJ57"/>
    <mergeCell ref="BM56:BM57"/>
    <mergeCell ref="BO56:BO57"/>
    <mergeCell ref="BP56:BP57"/>
    <mergeCell ref="BQ56:BQ57"/>
    <mergeCell ref="BT56:BT57"/>
    <mergeCell ref="BQ51:BQ52"/>
    <mergeCell ref="BR51:BR52"/>
    <mergeCell ref="BS51:BS52"/>
    <mergeCell ref="BT51:BT52"/>
    <mergeCell ref="BU51:BU52"/>
    <mergeCell ref="BH53:BH54"/>
    <mergeCell ref="BI53:BI54"/>
    <mergeCell ref="BJ53:BJ54"/>
    <mergeCell ref="BK53:BK54"/>
    <mergeCell ref="BL53:BL54"/>
    <mergeCell ref="BM53:BM54"/>
    <mergeCell ref="BN53:BN54"/>
    <mergeCell ref="BO53:BO54"/>
    <mergeCell ref="BP53:BP54"/>
    <mergeCell ref="BQ53:BQ54"/>
    <mergeCell ref="BR53:BR54"/>
    <mergeCell ref="BS53:BS54"/>
    <mergeCell ref="BT53:BT54"/>
    <mergeCell ref="BU53:BU54"/>
    <mergeCell ref="BH51:BH52"/>
    <mergeCell ref="BI51:BI52"/>
    <mergeCell ref="BJ51:BJ52"/>
    <mergeCell ref="BK51:BK52"/>
    <mergeCell ref="BL51:BL52"/>
    <mergeCell ref="BM51:BM52"/>
    <mergeCell ref="BN51:BN52"/>
    <mergeCell ref="BO51:BO52"/>
    <mergeCell ref="BP51:BP52"/>
    <mergeCell ref="BQ46:BQ47"/>
    <mergeCell ref="BR46:BR47"/>
    <mergeCell ref="BS46:BS47"/>
    <mergeCell ref="BT46:BT47"/>
    <mergeCell ref="BU46:BU47"/>
    <mergeCell ref="BK49:BK50"/>
    <mergeCell ref="BL49:BL50"/>
    <mergeCell ref="BM49:BM50"/>
    <mergeCell ref="BR49:BR50"/>
    <mergeCell ref="BS49:BS50"/>
    <mergeCell ref="BT49:BT50"/>
    <mergeCell ref="BH46:BH47"/>
    <mergeCell ref="BI46:BI47"/>
    <mergeCell ref="BJ46:BJ47"/>
    <mergeCell ref="BK46:BK47"/>
    <mergeCell ref="BL46:BL47"/>
    <mergeCell ref="BM46:BM47"/>
    <mergeCell ref="BN46:BN47"/>
    <mergeCell ref="BO46:BO47"/>
    <mergeCell ref="BP46:BP47"/>
    <mergeCell ref="BQ37:BQ39"/>
    <mergeCell ref="BR37:BR39"/>
    <mergeCell ref="BS37:BS39"/>
    <mergeCell ref="BT37:BT39"/>
    <mergeCell ref="BU37:BU39"/>
    <mergeCell ref="BM42:BM45"/>
    <mergeCell ref="BT42:BT45"/>
    <mergeCell ref="BH44:BH45"/>
    <mergeCell ref="BI44:BI45"/>
    <mergeCell ref="BJ44:BJ45"/>
    <mergeCell ref="BK44:BK45"/>
    <mergeCell ref="BL44:BL45"/>
    <mergeCell ref="BN44:BN45"/>
    <mergeCell ref="BO44:BO45"/>
    <mergeCell ref="BP44:BP45"/>
    <mergeCell ref="BQ44:BQ45"/>
    <mergeCell ref="BR44:BR45"/>
    <mergeCell ref="BS44:BS45"/>
    <mergeCell ref="BU44:BU45"/>
    <mergeCell ref="BH37:BH39"/>
    <mergeCell ref="BI37:BI39"/>
    <mergeCell ref="BJ37:BJ39"/>
    <mergeCell ref="BK37:BK39"/>
    <mergeCell ref="BL37:BL39"/>
    <mergeCell ref="BM37:BM39"/>
    <mergeCell ref="BN37:BN39"/>
    <mergeCell ref="BO37:BO39"/>
    <mergeCell ref="BP37:BP39"/>
    <mergeCell ref="BH28:BH29"/>
    <mergeCell ref="BI28:BI29"/>
    <mergeCell ref="BJ28:BJ29"/>
    <mergeCell ref="BN28:BN29"/>
    <mergeCell ref="BO28:BO29"/>
    <mergeCell ref="BP28:BP29"/>
    <mergeCell ref="BQ28:BQ29"/>
    <mergeCell ref="BU28:BU29"/>
    <mergeCell ref="BM31:BM34"/>
    <mergeCell ref="BT31:BT34"/>
    <mergeCell ref="BQ21:BQ24"/>
    <mergeCell ref="BR21:BR24"/>
    <mergeCell ref="BS21:BS24"/>
    <mergeCell ref="BT21:BT24"/>
    <mergeCell ref="BU21:BU24"/>
    <mergeCell ref="BK27:BK29"/>
    <mergeCell ref="BM27:BM29"/>
    <mergeCell ref="BR27:BR29"/>
    <mergeCell ref="BS27:BS29"/>
    <mergeCell ref="BT27:BT29"/>
    <mergeCell ref="BH21:BH24"/>
    <mergeCell ref="BI21:BI24"/>
    <mergeCell ref="BJ21:BJ24"/>
    <mergeCell ref="BK21:BK24"/>
    <mergeCell ref="BL21:BL24"/>
    <mergeCell ref="BM21:BM24"/>
    <mergeCell ref="BN21:BN24"/>
    <mergeCell ref="BO21:BO24"/>
    <mergeCell ref="BP21:BP24"/>
    <mergeCell ref="BK16:BK17"/>
    <mergeCell ref="BL16:BL17"/>
    <mergeCell ref="BM16:BM17"/>
    <mergeCell ref="BN16:BN17"/>
    <mergeCell ref="BR16:BR17"/>
    <mergeCell ref="BS16:BS17"/>
    <mergeCell ref="BT16:BT17"/>
    <mergeCell ref="BU16:BU17"/>
    <mergeCell ref="BH18:BH20"/>
    <mergeCell ref="BK18:BK20"/>
    <mergeCell ref="BL18:BL20"/>
    <mergeCell ref="BM18:BM20"/>
    <mergeCell ref="BN18:BN20"/>
    <mergeCell ref="BO18:BO20"/>
    <mergeCell ref="BR18:BR20"/>
    <mergeCell ref="BS18:BS20"/>
    <mergeCell ref="BT18:BT20"/>
    <mergeCell ref="BU18:BU20"/>
    <mergeCell ref="BI19:BI20"/>
    <mergeCell ref="BJ19:BJ20"/>
    <mergeCell ref="BP19:BP20"/>
    <mergeCell ref="BQ19:BQ20"/>
    <mergeCell ref="BU9:BU11"/>
    <mergeCell ref="BM12:BM15"/>
    <mergeCell ref="BT12:BT15"/>
    <mergeCell ref="BH14:BH15"/>
    <mergeCell ref="BI14:BI15"/>
    <mergeCell ref="BJ14:BJ15"/>
    <mergeCell ref="BK14:BK15"/>
    <mergeCell ref="BL14:BL15"/>
    <mergeCell ref="BN14:BN15"/>
    <mergeCell ref="BO14:BO15"/>
    <mergeCell ref="BP14:BP15"/>
    <mergeCell ref="BQ14:BQ15"/>
    <mergeCell ref="BR14:BR15"/>
    <mergeCell ref="BS14:BS15"/>
    <mergeCell ref="BU14:BU15"/>
    <mergeCell ref="BS7:BS8"/>
    <mergeCell ref="BT7:BT8"/>
    <mergeCell ref="BH9:BH11"/>
    <mergeCell ref="BI9:BI11"/>
    <mergeCell ref="BJ9:BJ11"/>
    <mergeCell ref="BK9:BK11"/>
    <mergeCell ref="BL9:BL11"/>
    <mergeCell ref="BM9:BM11"/>
    <mergeCell ref="BN9:BN11"/>
    <mergeCell ref="BO9:BO11"/>
    <mergeCell ref="BP9:BP11"/>
    <mergeCell ref="BQ9:BQ11"/>
    <mergeCell ref="BR9:BR11"/>
    <mergeCell ref="BS9:BS11"/>
    <mergeCell ref="BT9:BT11"/>
    <mergeCell ref="BN7:BN8"/>
    <mergeCell ref="BK7:BK8"/>
    <mergeCell ref="BH1:BN1"/>
    <mergeCell ref="BO1:BU1"/>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M4:BM6"/>
    <mergeCell ref="BT4:BT6"/>
    <mergeCell ref="BL7:BL8"/>
    <mergeCell ref="BM7:BM8"/>
    <mergeCell ref="BR7:BR8"/>
    <mergeCell ref="BC75:BC77"/>
    <mergeCell ref="BD75:BD77"/>
    <mergeCell ref="BE75:BE77"/>
    <mergeCell ref="BF75:BF77"/>
    <mergeCell ref="BG75:BG77"/>
    <mergeCell ref="AY78:AY81"/>
    <mergeCell ref="BF78:BF81"/>
    <mergeCell ref="AV80:AV81"/>
    <mergeCell ref="BA80:BA81"/>
    <mergeCell ref="BB80:BB81"/>
    <mergeCell ref="BC80:BC81"/>
    <mergeCell ref="BD80:BD81"/>
    <mergeCell ref="BE80:BE81"/>
    <mergeCell ref="BG80:BG81"/>
    <mergeCell ref="AV75:AV77"/>
    <mergeCell ref="AY75:AY77"/>
    <mergeCell ref="BA75:BA77"/>
    <mergeCell ref="BB75:BB77"/>
    <mergeCell ref="BC66:BC67"/>
    <mergeCell ref="BF66:BF70"/>
    <mergeCell ref="AV71:AV73"/>
    <mergeCell ref="AY71:AY73"/>
    <mergeCell ref="BA71:BA73"/>
    <mergeCell ref="BB71:BB73"/>
    <mergeCell ref="BC71:BC73"/>
    <mergeCell ref="BD71:BD73"/>
    <mergeCell ref="BE71:BE73"/>
    <mergeCell ref="BF71:BF73"/>
    <mergeCell ref="BG71:BG73"/>
    <mergeCell ref="BG51:BG52"/>
    <mergeCell ref="AV53:AV54"/>
    <mergeCell ref="AY53:AY54"/>
    <mergeCell ref="BA53:BA54"/>
    <mergeCell ref="BB53:BB54"/>
    <mergeCell ref="BC53:BC54"/>
    <mergeCell ref="BD53:BD54"/>
    <mergeCell ref="BE53:BE54"/>
    <mergeCell ref="BF53:BF54"/>
    <mergeCell ref="BG53:BG54"/>
    <mergeCell ref="AW50:AW51"/>
    <mergeCell ref="AX50:AX51"/>
    <mergeCell ref="AW52:AW53"/>
    <mergeCell ref="AX52:AX53"/>
    <mergeCell ref="AV51:AV52"/>
    <mergeCell ref="AY51:AY52"/>
    <mergeCell ref="BA51:BA52"/>
    <mergeCell ref="BB51:BB52"/>
    <mergeCell ref="BG46:BG47"/>
    <mergeCell ref="AY49:AY50"/>
    <mergeCell ref="BD49:BD50"/>
    <mergeCell ref="BE49:BE50"/>
    <mergeCell ref="BF49:BF50"/>
    <mergeCell ref="AW45:AW46"/>
    <mergeCell ref="AX45:AX46"/>
    <mergeCell ref="AV46:AV47"/>
    <mergeCell ref="AY46:AY47"/>
    <mergeCell ref="BA46:BA47"/>
    <mergeCell ref="BB46:BB47"/>
    <mergeCell ref="BC37:BC39"/>
    <mergeCell ref="BD37:BD39"/>
    <mergeCell ref="BE37:BE39"/>
    <mergeCell ref="BF37:BF39"/>
    <mergeCell ref="BG37:BG39"/>
    <mergeCell ref="AY42:AY45"/>
    <mergeCell ref="BF42:BF45"/>
    <mergeCell ref="AV44:AV45"/>
    <mergeCell ref="BA44:BA45"/>
    <mergeCell ref="BB44:BB45"/>
    <mergeCell ref="BC44:BC45"/>
    <mergeCell ref="AW37:AW38"/>
    <mergeCell ref="AX37:AX38"/>
    <mergeCell ref="AW43:AW44"/>
    <mergeCell ref="AX43:AX44"/>
    <mergeCell ref="AV37:AV39"/>
    <mergeCell ref="AY37:AY39"/>
    <mergeCell ref="BA37:BA39"/>
    <mergeCell ref="BB37:BB39"/>
    <mergeCell ref="AV28:AV29"/>
    <mergeCell ref="BA28:BA29"/>
    <mergeCell ref="BB28:BB29"/>
    <mergeCell ref="BC28:BC29"/>
    <mergeCell ref="AY31:AY34"/>
    <mergeCell ref="BF31:BF34"/>
    <mergeCell ref="AW29:AW30"/>
    <mergeCell ref="AX29:AX30"/>
    <mergeCell ref="BC21:BC24"/>
    <mergeCell ref="BD21:BD24"/>
    <mergeCell ref="BE21:BE24"/>
    <mergeCell ref="BF21:BF24"/>
    <mergeCell ref="BG21:BG24"/>
    <mergeCell ref="AY27:AY29"/>
    <mergeCell ref="BD27:BD29"/>
    <mergeCell ref="BE27:BE29"/>
    <mergeCell ref="BF27:BF29"/>
    <mergeCell ref="AV21:AV24"/>
    <mergeCell ref="AY21:AY24"/>
    <mergeCell ref="BA21:BA24"/>
    <mergeCell ref="BB21:BB24"/>
    <mergeCell ref="BG16:BG17"/>
    <mergeCell ref="AY18:AY20"/>
    <mergeCell ref="BD18:BD20"/>
    <mergeCell ref="BE18:BE20"/>
    <mergeCell ref="BF18:BF20"/>
    <mergeCell ref="BG18:BG20"/>
    <mergeCell ref="AV19:AV20"/>
    <mergeCell ref="BB19:BB20"/>
    <mergeCell ref="BC19:BC20"/>
    <mergeCell ref="BG9:BG11"/>
    <mergeCell ref="AY12:AY15"/>
    <mergeCell ref="BF12:BF15"/>
    <mergeCell ref="AV14:AV15"/>
    <mergeCell ref="BA14:BA15"/>
    <mergeCell ref="BB14:BB15"/>
    <mergeCell ref="BC14:BC15"/>
    <mergeCell ref="BG14:BG15"/>
    <mergeCell ref="AY16:AY17"/>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K82:AK85"/>
    <mergeCell ref="AR82:AR85"/>
    <mergeCell ref="AT1:AZ1"/>
    <mergeCell ref="BA1:BG1"/>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F4:BF6"/>
    <mergeCell ref="AR75:AR77"/>
    <mergeCell ref="AK78:AK81"/>
    <mergeCell ref="AR78:AR81"/>
    <mergeCell ref="AH80:AH81"/>
    <mergeCell ref="AO80:AO81"/>
    <mergeCell ref="AG74:AG76"/>
    <mergeCell ref="AG79:AG80"/>
    <mergeCell ref="AI74:AI76"/>
    <mergeCell ref="AJ74:AJ76"/>
    <mergeCell ref="AI77:AI84"/>
    <mergeCell ref="AJ77:AJ84"/>
    <mergeCell ref="AL74:AL76"/>
    <mergeCell ref="AH75:AH77"/>
    <mergeCell ref="AK75:AK77"/>
    <mergeCell ref="AO75:AO77"/>
    <mergeCell ref="AN74:AN76"/>
    <mergeCell ref="AR66:AR70"/>
    <mergeCell ref="AH71:AH73"/>
    <mergeCell ref="AK71:AK73"/>
    <mergeCell ref="AO71:AO73"/>
    <mergeCell ref="AR71:AR73"/>
    <mergeCell ref="AG66:AG67"/>
    <mergeCell ref="AM66:AM67"/>
    <mergeCell ref="AN66:AN67"/>
    <mergeCell ref="AL79:AL80"/>
    <mergeCell ref="AP65:AP69"/>
    <mergeCell ref="AQ65:AQ69"/>
    <mergeCell ref="AM79:AM80"/>
    <mergeCell ref="AN79:AN80"/>
    <mergeCell ref="AH56:AH57"/>
    <mergeCell ref="AK56:AK57"/>
    <mergeCell ref="AO56:AO57"/>
    <mergeCell ref="AR56:AR57"/>
    <mergeCell ref="AR46:AR47"/>
    <mergeCell ref="AI45:AI46"/>
    <mergeCell ref="AJ45:AJ46"/>
    <mergeCell ref="AR51:AR52"/>
    <mergeCell ref="AF70:AF72"/>
    <mergeCell ref="AG70:AG72"/>
    <mergeCell ref="AH66:AH67"/>
    <mergeCell ref="AK66:AK70"/>
    <mergeCell ref="AO66:AO67"/>
    <mergeCell ref="AI65:AI69"/>
    <mergeCell ref="AJ65:AJ69"/>
    <mergeCell ref="AI70:AI72"/>
    <mergeCell ref="AJ70:AJ72"/>
    <mergeCell ref="AL65:AL68"/>
    <mergeCell ref="AL70:AL72"/>
    <mergeCell ref="AK60:AK61"/>
    <mergeCell ref="AR60:AR61"/>
    <mergeCell ref="AK62:AK63"/>
    <mergeCell ref="AR62:AR63"/>
    <mergeCell ref="AI59:AI60"/>
    <mergeCell ref="AJ59:AJ60"/>
    <mergeCell ref="AI61:AI62"/>
    <mergeCell ref="AJ61:AJ62"/>
    <mergeCell ref="AM70:AM72"/>
    <mergeCell ref="AN70:AN72"/>
    <mergeCell ref="AP70:AP72"/>
    <mergeCell ref="AQ70:AQ72"/>
    <mergeCell ref="AF66:AF67"/>
    <mergeCell ref="AH53:AH54"/>
    <mergeCell ref="AK53:AK54"/>
    <mergeCell ref="AO53:AO54"/>
    <mergeCell ref="AR53:AR54"/>
    <mergeCell ref="AF50:AF51"/>
    <mergeCell ref="AG50:AG51"/>
    <mergeCell ref="AF52:AF53"/>
    <mergeCell ref="AG52:AG53"/>
    <mergeCell ref="AI50:AI51"/>
    <mergeCell ref="AJ50:AJ51"/>
    <mergeCell ref="AH51:AH52"/>
    <mergeCell ref="AK51:AK52"/>
    <mergeCell ref="AO51:AO52"/>
    <mergeCell ref="AI52:AI53"/>
    <mergeCell ref="AJ52:AJ53"/>
    <mergeCell ref="AL52:AL53"/>
    <mergeCell ref="AK49:AK50"/>
    <mergeCell ref="AR49:AR50"/>
    <mergeCell ref="AL50:AL51"/>
    <mergeCell ref="AM50:AM51"/>
    <mergeCell ref="AN50:AN51"/>
    <mergeCell ref="AM52:AM53"/>
    <mergeCell ref="AN52:AN53"/>
    <mergeCell ref="AP48:AP49"/>
    <mergeCell ref="AI48:AI49"/>
    <mergeCell ref="AJ48:AJ49"/>
    <mergeCell ref="AP50:AP51"/>
    <mergeCell ref="AQ50:AQ51"/>
    <mergeCell ref="AQ48:AQ49"/>
    <mergeCell ref="AO46:AO47"/>
    <mergeCell ref="AG45:AG46"/>
    <mergeCell ref="AR37:AR39"/>
    <mergeCell ref="AK42:AK45"/>
    <mergeCell ref="AR42:AR45"/>
    <mergeCell ref="AH44:AH45"/>
    <mergeCell ref="AO44:AO45"/>
    <mergeCell ref="AG43:AG44"/>
    <mergeCell ref="AF45:AF46"/>
    <mergeCell ref="AI36:AI38"/>
    <mergeCell ref="AJ36:AJ38"/>
    <mergeCell ref="AI41:AI44"/>
    <mergeCell ref="AJ41:AJ44"/>
    <mergeCell ref="AH37:AH39"/>
    <mergeCell ref="AK37:AK39"/>
    <mergeCell ref="AO37:AO39"/>
    <mergeCell ref="AM36:AM38"/>
    <mergeCell ref="AN36:AN38"/>
    <mergeCell ref="AM43:AM44"/>
    <mergeCell ref="AN43:AN44"/>
    <mergeCell ref="AM45:AM46"/>
    <mergeCell ref="AN45:AN46"/>
    <mergeCell ref="AQ45:AQ46"/>
    <mergeCell ref="AH46:AH47"/>
    <mergeCell ref="AK46:AK47"/>
    <mergeCell ref="AH28:AH29"/>
    <mergeCell ref="AO28:AO29"/>
    <mergeCell ref="AK31:AK34"/>
    <mergeCell ref="AR31:AR34"/>
    <mergeCell ref="AI26:AI28"/>
    <mergeCell ref="AJ26:AJ28"/>
    <mergeCell ref="AI30:AI33"/>
    <mergeCell ref="AJ30:AJ33"/>
    <mergeCell ref="AR21:AR24"/>
    <mergeCell ref="AK27:AK29"/>
    <mergeCell ref="AR27:AR29"/>
    <mergeCell ref="AI20:AI23"/>
    <mergeCell ref="AJ20:AJ23"/>
    <mergeCell ref="AH21:AH24"/>
    <mergeCell ref="AK21:AK24"/>
    <mergeCell ref="AO21:AO24"/>
    <mergeCell ref="AK16:AK17"/>
    <mergeCell ref="AR16:AR17"/>
    <mergeCell ref="AK18:AK20"/>
    <mergeCell ref="AR18:AR20"/>
    <mergeCell ref="AH19:AH20"/>
    <mergeCell ref="AO19:AO20"/>
    <mergeCell ref="AI17:AI19"/>
    <mergeCell ref="AJ17:AJ19"/>
    <mergeCell ref="AM18:AM19"/>
    <mergeCell ref="AN18:AN19"/>
    <mergeCell ref="AM20:AM23"/>
    <mergeCell ref="AN20:AN23"/>
    <mergeCell ref="AM27:AM28"/>
    <mergeCell ref="AN27:AN28"/>
    <mergeCell ref="AP17:AP19"/>
    <mergeCell ref="AQ17:AQ19"/>
    <mergeCell ref="AS9:AS11"/>
    <mergeCell ref="AK12:AK15"/>
    <mergeCell ref="AR12:AR15"/>
    <mergeCell ref="AH14:AH15"/>
    <mergeCell ref="AO14:AO15"/>
    <mergeCell ref="AI12:AI14"/>
    <mergeCell ref="AJ12:AJ14"/>
    <mergeCell ref="AL15:AL16"/>
    <mergeCell ref="AK4:AK6"/>
    <mergeCell ref="AR4:AR6"/>
    <mergeCell ref="AI7:AI8"/>
    <mergeCell ref="AJ7:AJ8"/>
    <mergeCell ref="AK7:AK8"/>
    <mergeCell ref="AP7:AP8"/>
    <mergeCell ref="AQ7:AQ8"/>
    <mergeCell ref="AR7:AR8"/>
    <mergeCell ref="AG9:AG11"/>
    <mergeCell ref="AH9:AH11"/>
    <mergeCell ref="AI9:AI11"/>
    <mergeCell ref="AJ9:AJ11"/>
    <mergeCell ref="AK9:AK11"/>
    <mergeCell ref="AL9:AL11"/>
    <mergeCell ref="AM9:AM11"/>
    <mergeCell ref="AN9:AN11"/>
    <mergeCell ref="AO9:AO11"/>
    <mergeCell ref="AP9:AP11"/>
    <mergeCell ref="AQ9:AQ11"/>
    <mergeCell ref="AR9:AR11"/>
    <mergeCell ref="AI4:AI6"/>
    <mergeCell ref="AJ4:AJ6"/>
    <mergeCell ref="AP4:AP6"/>
    <mergeCell ref="AQ4:AQ6"/>
    <mergeCell ref="Y1:AE1"/>
    <mergeCell ref="AF1:AL1"/>
    <mergeCell ref="AM1:AS1"/>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E2:AE3"/>
    <mergeCell ref="R1:X1"/>
    <mergeCell ref="R75:R77"/>
    <mergeCell ref="S75:S77"/>
    <mergeCell ref="T75:T77"/>
    <mergeCell ref="U75:U77"/>
    <mergeCell ref="V75:V77"/>
    <mergeCell ref="W75:W77"/>
    <mergeCell ref="X75:X77"/>
    <mergeCell ref="W78:W81"/>
    <mergeCell ref="R80:R81"/>
    <mergeCell ref="S80:S81"/>
    <mergeCell ref="T80:T81"/>
    <mergeCell ref="U80:U81"/>
    <mergeCell ref="V80:V81"/>
    <mergeCell ref="X80:X81"/>
    <mergeCell ref="X66:X67"/>
    <mergeCell ref="X68:X69"/>
    <mergeCell ref="R71:R73"/>
    <mergeCell ref="S71:S73"/>
    <mergeCell ref="T71:T73"/>
    <mergeCell ref="U71:U73"/>
    <mergeCell ref="V71:V73"/>
    <mergeCell ref="W56:W57"/>
    <mergeCell ref="W71:W73"/>
    <mergeCell ref="X71:X73"/>
    <mergeCell ref="W60:W61"/>
    <mergeCell ref="W62:W63"/>
    <mergeCell ref="R66:R67"/>
    <mergeCell ref="S66:S67"/>
    <mergeCell ref="T66:T67"/>
    <mergeCell ref="U66:U67"/>
    <mergeCell ref="V55:V58"/>
    <mergeCell ref="O82:O85"/>
    <mergeCell ref="O71:O73"/>
    <mergeCell ref="P71:P73"/>
    <mergeCell ref="Q71:Q73"/>
    <mergeCell ref="P82:P85"/>
    <mergeCell ref="V66:V67"/>
    <mergeCell ref="O79:O81"/>
    <mergeCell ref="W53:W54"/>
    <mergeCell ref="S51:S54"/>
    <mergeCell ref="T51:T54"/>
    <mergeCell ref="U51:U54"/>
    <mergeCell ref="V51:V54"/>
    <mergeCell ref="X52:X54"/>
    <mergeCell ref="W46:W47"/>
    <mergeCell ref="W49:W50"/>
    <mergeCell ref="U27:U50"/>
    <mergeCell ref="V27:V50"/>
    <mergeCell ref="X27:X28"/>
    <mergeCell ref="X29:X30"/>
    <mergeCell ref="X32:X34"/>
    <mergeCell ref="X37:X38"/>
    <mergeCell ref="X41:X42"/>
    <mergeCell ref="X44:X49"/>
    <mergeCell ref="W37:W39"/>
    <mergeCell ref="W42:W45"/>
    <mergeCell ref="W31:W34"/>
    <mergeCell ref="W82:W85"/>
    <mergeCell ref="X56:X58"/>
    <mergeCell ref="V59:V61"/>
    <mergeCell ref="X59:X61"/>
    <mergeCell ref="V62:V65"/>
    <mergeCell ref="X62:X65"/>
    <mergeCell ref="K82:K85"/>
    <mergeCell ref="K79:K81"/>
    <mergeCell ref="L82:L85"/>
    <mergeCell ref="L79:L81"/>
    <mergeCell ref="M82:M85"/>
    <mergeCell ref="M79:M80"/>
    <mergeCell ref="N82:N85"/>
    <mergeCell ref="K68:K70"/>
    <mergeCell ref="L68:L70"/>
    <mergeCell ref="M68:M70"/>
    <mergeCell ref="N68:N70"/>
    <mergeCell ref="K71:K73"/>
    <mergeCell ref="L71:L73"/>
    <mergeCell ref="M71:M73"/>
    <mergeCell ref="N71:N73"/>
    <mergeCell ref="K75:K77"/>
    <mergeCell ref="L75:L77"/>
    <mergeCell ref="M75:M77"/>
    <mergeCell ref="N75:N77"/>
    <mergeCell ref="N79:N81"/>
    <mergeCell ref="P79:P81"/>
    <mergeCell ref="O66:O67"/>
    <mergeCell ref="P66:P67"/>
    <mergeCell ref="Q66:Q67"/>
    <mergeCell ref="O68:O70"/>
    <mergeCell ref="P68:P70"/>
    <mergeCell ref="O75:O77"/>
    <mergeCell ref="P75:P77"/>
    <mergeCell ref="Q75:Q77"/>
    <mergeCell ref="K62:K63"/>
    <mergeCell ref="L62:L63"/>
    <mergeCell ref="M62:M63"/>
    <mergeCell ref="N62:N63"/>
    <mergeCell ref="O62:O63"/>
    <mergeCell ref="P62:P63"/>
    <mergeCell ref="K66:K67"/>
    <mergeCell ref="L66:L67"/>
    <mergeCell ref="M66:M67"/>
    <mergeCell ref="N66:N67"/>
    <mergeCell ref="L21:L24"/>
    <mergeCell ref="M21:M24"/>
    <mergeCell ref="K55:K57"/>
    <mergeCell ref="L55:L57"/>
    <mergeCell ref="M55:M57"/>
    <mergeCell ref="N55:N57"/>
    <mergeCell ref="O55:O57"/>
    <mergeCell ref="P55:P57"/>
    <mergeCell ref="K60:K61"/>
    <mergeCell ref="L60:L61"/>
    <mergeCell ref="M60:M61"/>
    <mergeCell ref="N60:N61"/>
    <mergeCell ref="O60:O61"/>
    <mergeCell ref="P60:P61"/>
    <mergeCell ref="K53:K54"/>
    <mergeCell ref="L53:L54"/>
    <mergeCell ref="M53:M54"/>
    <mergeCell ref="N53:N54"/>
    <mergeCell ref="L46:L47"/>
    <mergeCell ref="M46:M47"/>
    <mergeCell ref="N46:N47"/>
    <mergeCell ref="O46:O47"/>
    <mergeCell ref="P46:P47"/>
    <mergeCell ref="K49:K50"/>
    <mergeCell ref="L51:L52"/>
    <mergeCell ref="M51:M52"/>
    <mergeCell ref="N51:N52"/>
    <mergeCell ref="O51:O52"/>
    <mergeCell ref="P51:P52"/>
    <mergeCell ref="AD27:AD29"/>
    <mergeCell ref="AC27:AC29"/>
    <mergeCell ref="AB62:AB63"/>
    <mergeCell ref="AE68:AE69"/>
    <mergeCell ref="O32:O33"/>
    <mergeCell ref="P32:P33"/>
    <mergeCell ref="W16:W17"/>
    <mergeCell ref="W18:W20"/>
    <mergeCell ref="AD21:AD24"/>
    <mergeCell ref="AB27:AB29"/>
    <mergeCell ref="AD18:AD20"/>
    <mergeCell ref="AD12:AD15"/>
    <mergeCell ref="AB14:AB15"/>
    <mergeCell ref="AC18:AC20"/>
    <mergeCell ref="AD16:AD17"/>
    <mergeCell ref="AC37:AC39"/>
    <mergeCell ref="AD37:AD39"/>
    <mergeCell ref="AD46:AD47"/>
    <mergeCell ref="AA46:AA47"/>
    <mergeCell ref="AC44:AC45"/>
    <mergeCell ref="AC21:AC24"/>
    <mergeCell ref="AB21:AB24"/>
    <mergeCell ref="AB51:AB52"/>
    <mergeCell ref="P53:P54"/>
    <mergeCell ref="Q44:Q45"/>
    <mergeCell ref="AA44:AA45"/>
    <mergeCell ref="P27:P29"/>
    <mergeCell ref="AA19:AA20"/>
    <mergeCell ref="AB18:AB20"/>
    <mergeCell ref="W21:W24"/>
    <mergeCell ref="W27:W29"/>
    <mergeCell ref="W12:W15"/>
    <mergeCell ref="AF74:AF76"/>
    <mergeCell ref="AF79:AF80"/>
    <mergeCell ref="K32:K33"/>
    <mergeCell ref="K37:K39"/>
    <mergeCell ref="L37:L39"/>
    <mergeCell ref="M37:M39"/>
    <mergeCell ref="N37:N39"/>
    <mergeCell ref="Z66:Z67"/>
    <mergeCell ref="AF9:AF11"/>
    <mergeCell ref="AA51:AA52"/>
    <mergeCell ref="AA28:AA29"/>
    <mergeCell ref="AA21:AA24"/>
    <mergeCell ref="AB46:AB47"/>
    <mergeCell ref="AC46:AC47"/>
    <mergeCell ref="AD42:AD45"/>
    <mergeCell ref="AD31:AD34"/>
    <mergeCell ref="AB44:AB45"/>
    <mergeCell ref="AA37:AA39"/>
    <mergeCell ref="AB37:AB39"/>
    <mergeCell ref="L49:L50"/>
    <mergeCell ref="M49:M50"/>
    <mergeCell ref="N49:N50"/>
    <mergeCell ref="O49:O50"/>
    <mergeCell ref="P49:P50"/>
    <mergeCell ref="K46:K47"/>
    <mergeCell ref="AC51:AC52"/>
    <mergeCell ref="Z80:Z81"/>
    <mergeCell ref="Q37:Q39"/>
    <mergeCell ref="Y75:Y77"/>
    <mergeCell ref="AA75:AA77"/>
    <mergeCell ref="Q46:Q47"/>
    <mergeCell ref="O53:O54"/>
    <mergeCell ref="AA53:AA54"/>
    <mergeCell ref="J44:J45"/>
    <mergeCell ref="I19:I20"/>
    <mergeCell ref="Q21:Q24"/>
    <mergeCell ref="Q28:Q29"/>
    <mergeCell ref="N27:N29"/>
    <mergeCell ref="L32:L33"/>
    <mergeCell ref="M32:M33"/>
    <mergeCell ref="N32:N33"/>
    <mergeCell ref="O21:O24"/>
    <mergeCell ref="P21:P24"/>
    <mergeCell ref="O27:O29"/>
    <mergeCell ref="O37:O39"/>
    <mergeCell ref="P37:P39"/>
    <mergeCell ref="K51:K52"/>
    <mergeCell ref="K42:K43"/>
    <mergeCell ref="L42:L43"/>
    <mergeCell ref="M42:M43"/>
    <mergeCell ref="N42:N43"/>
    <mergeCell ref="O42:O43"/>
    <mergeCell ref="P42:P43"/>
    <mergeCell ref="K44:K45"/>
    <mergeCell ref="N44:N45"/>
    <mergeCell ref="O44:O45"/>
    <mergeCell ref="P44:P45"/>
    <mergeCell ref="N21:N24"/>
    <mergeCell ref="L44:L45"/>
    <mergeCell ref="M44:M45"/>
    <mergeCell ref="K27:K29"/>
    <mergeCell ref="L27:L29"/>
    <mergeCell ref="M27:M29"/>
    <mergeCell ref="K21:K24"/>
    <mergeCell ref="AB80:AB81"/>
    <mergeCell ref="Q56:Q57"/>
    <mergeCell ref="Q51:Q52"/>
    <mergeCell ref="AB53:AB54"/>
    <mergeCell ref="AA71:AA73"/>
    <mergeCell ref="AC62:AC63"/>
    <mergeCell ref="AD62:AD63"/>
    <mergeCell ref="AD56:AD57"/>
    <mergeCell ref="AC53:AC54"/>
    <mergeCell ref="AD53:AD54"/>
    <mergeCell ref="AC60:AC61"/>
    <mergeCell ref="Q80:Q81"/>
    <mergeCell ref="Q53:Q54"/>
    <mergeCell ref="AD66:AD70"/>
    <mergeCell ref="AB60:AB61"/>
    <mergeCell ref="AD60:AD61"/>
    <mergeCell ref="W66:W70"/>
    <mergeCell ref="S55:S58"/>
    <mergeCell ref="T55:T58"/>
    <mergeCell ref="W51:W52"/>
    <mergeCell ref="S59:S61"/>
    <mergeCell ref="T59:T61"/>
    <mergeCell ref="U59:U61"/>
    <mergeCell ref="S62:S65"/>
    <mergeCell ref="T62:T65"/>
    <mergeCell ref="U62:U65"/>
    <mergeCell ref="U55:U58"/>
    <mergeCell ref="Y71:Y73"/>
    <mergeCell ref="Y66:Y67"/>
    <mergeCell ref="AA66:AA67"/>
    <mergeCell ref="AA56:AA57"/>
    <mergeCell ref="Z71:Z73"/>
    <mergeCell ref="K16:K17"/>
    <mergeCell ref="L16:L17"/>
    <mergeCell ref="M16:M17"/>
    <mergeCell ref="K18:K20"/>
    <mergeCell ref="L18:L20"/>
    <mergeCell ref="M18:M20"/>
    <mergeCell ref="AD82:AD85"/>
    <mergeCell ref="AC80:AC81"/>
    <mergeCell ref="AD75:AD77"/>
    <mergeCell ref="AE75:AE77"/>
    <mergeCell ref="AC55:AC57"/>
    <mergeCell ref="AB55:AB57"/>
    <mergeCell ref="AD51:AD52"/>
    <mergeCell ref="AC49:AC50"/>
    <mergeCell ref="AE80:AE81"/>
    <mergeCell ref="AB71:AB73"/>
    <mergeCell ref="AC71:AC73"/>
    <mergeCell ref="AB66:AB67"/>
    <mergeCell ref="AC66:AC67"/>
    <mergeCell ref="AB75:AB77"/>
    <mergeCell ref="AC75:AC77"/>
    <mergeCell ref="AE71:AE73"/>
    <mergeCell ref="AD49:AD50"/>
    <mergeCell ref="AE66:AE67"/>
    <mergeCell ref="AB49:AB50"/>
    <mergeCell ref="AD71:AD73"/>
    <mergeCell ref="AE59:AE61"/>
    <mergeCell ref="AE62:AE65"/>
    <mergeCell ref="Y80:Y81"/>
    <mergeCell ref="AA80:AA81"/>
    <mergeCell ref="AD78:AD81"/>
    <mergeCell ref="Z75:Z77"/>
    <mergeCell ref="K9:K11"/>
    <mergeCell ref="L9:L11"/>
    <mergeCell ref="AC14:AC15"/>
    <mergeCell ref="M9:M11"/>
    <mergeCell ref="N9:N11"/>
    <mergeCell ref="O9:O11"/>
    <mergeCell ref="P9:P11"/>
    <mergeCell ref="Q9:Q11"/>
    <mergeCell ref="N14:N15"/>
    <mergeCell ref="O14:O15"/>
    <mergeCell ref="P14:P15"/>
    <mergeCell ref="Q14:Q15"/>
    <mergeCell ref="AA14:AA15"/>
    <mergeCell ref="W9:W11"/>
    <mergeCell ref="P16:P17"/>
    <mergeCell ref="AB16:AB17"/>
    <mergeCell ref="AC16:AC17"/>
    <mergeCell ref="X8:X9"/>
    <mergeCell ref="N16:N17"/>
    <mergeCell ref="O16:O17"/>
    <mergeCell ref="K14:K15"/>
    <mergeCell ref="L14:L15"/>
    <mergeCell ref="U10:U19"/>
    <mergeCell ref="V10:V19"/>
    <mergeCell ref="N18:N20"/>
    <mergeCell ref="O18:O20"/>
    <mergeCell ref="P18:P20"/>
    <mergeCell ref="Q19:Q20"/>
    <mergeCell ref="U20:U26"/>
    <mergeCell ref="V20:V26"/>
    <mergeCell ref="X20:X21"/>
    <mergeCell ref="M14:M15"/>
    <mergeCell ref="AD4:AD6"/>
    <mergeCell ref="AD7:AD8"/>
    <mergeCell ref="AD9:AD11"/>
    <mergeCell ref="AA9:AA11"/>
    <mergeCell ref="AB9:AB11"/>
    <mergeCell ref="AC9:AC11"/>
    <mergeCell ref="AD2:AD3"/>
    <mergeCell ref="K2:Q2"/>
    <mergeCell ref="Y2:Y3"/>
    <mergeCell ref="AA2:AA3"/>
    <mergeCell ref="AB2:AB3"/>
    <mergeCell ref="AC2:AC3"/>
    <mergeCell ref="Z2:Z3"/>
    <mergeCell ref="K4:K8"/>
    <mergeCell ref="L4:L8"/>
    <mergeCell ref="M4:M8"/>
    <mergeCell ref="N4:N8"/>
    <mergeCell ref="O4:O8"/>
    <mergeCell ref="P4:P8"/>
    <mergeCell ref="AB7:AB8"/>
    <mergeCell ref="AC7:AC8"/>
    <mergeCell ref="R2:R3"/>
    <mergeCell ref="S2:S3"/>
    <mergeCell ref="T2:T3"/>
    <mergeCell ref="U2:U3"/>
    <mergeCell ref="V2:V3"/>
    <mergeCell ref="W2:W3"/>
    <mergeCell ref="X2:X3"/>
    <mergeCell ref="W4:W6"/>
    <mergeCell ref="W7:W8"/>
    <mergeCell ref="U4:U9"/>
    <mergeCell ref="V4:V9"/>
    <mergeCell ref="H80:H81"/>
    <mergeCell ref="I80:I81"/>
    <mergeCell ref="J80:J81"/>
    <mergeCell ref="A82:A85"/>
    <mergeCell ref="B82:B85"/>
    <mergeCell ref="C82:C85"/>
    <mergeCell ref="H75:H77"/>
    <mergeCell ref="I75:I77"/>
    <mergeCell ref="J75:J77"/>
    <mergeCell ref="A78:A81"/>
    <mergeCell ref="B78:B81"/>
    <mergeCell ref="C78:C81"/>
    <mergeCell ref="D80:D81"/>
    <mergeCell ref="E80:E81"/>
    <mergeCell ref="F80:F81"/>
    <mergeCell ref="G80:G81"/>
    <mergeCell ref="A71:A77"/>
    <mergeCell ref="B71:B77"/>
    <mergeCell ref="F71:F73"/>
    <mergeCell ref="G71:G73"/>
    <mergeCell ref="H71:H73"/>
    <mergeCell ref="I71:I73"/>
    <mergeCell ref="J71:J73"/>
    <mergeCell ref="C75:C77"/>
    <mergeCell ref="D75:D76"/>
    <mergeCell ref="E75:E76"/>
    <mergeCell ref="F75:F77"/>
    <mergeCell ref="G75:G77"/>
    <mergeCell ref="C71:C73"/>
    <mergeCell ref="D71:D73"/>
    <mergeCell ref="E71:E73"/>
    <mergeCell ref="H44:H45"/>
    <mergeCell ref="B66:B70"/>
    <mergeCell ref="C66:C70"/>
    <mergeCell ref="D66:D67"/>
    <mergeCell ref="E66:E67"/>
    <mergeCell ref="E46:E47"/>
    <mergeCell ref="H53:H54"/>
    <mergeCell ref="F46:F47"/>
    <mergeCell ref="G46:G47"/>
    <mergeCell ref="D46:D47"/>
    <mergeCell ref="I66:I67"/>
    <mergeCell ref="J66:J67"/>
    <mergeCell ref="D68:D69"/>
    <mergeCell ref="E68:E69"/>
    <mergeCell ref="F66:F67"/>
    <mergeCell ref="G66:G67"/>
    <mergeCell ref="I56:I57"/>
    <mergeCell ref="J56:J57"/>
    <mergeCell ref="F56:F57"/>
    <mergeCell ref="G56:G57"/>
    <mergeCell ref="B59:B65"/>
    <mergeCell ref="C59:C65"/>
    <mergeCell ref="D60:D61"/>
    <mergeCell ref="E60:E61"/>
    <mergeCell ref="D62:D63"/>
    <mergeCell ref="E62:E63"/>
    <mergeCell ref="B55:B58"/>
    <mergeCell ref="C55:C58"/>
    <mergeCell ref="D55:D57"/>
    <mergeCell ref="H56:H57"/>
    <mergeCell ref="H66:H67"/>
    <mergeCell ref="A2:A3"/>
    <mergeCell ref="B2:B3"/>
    <mergeCell ref="C2:C3"/>
    <mergeCell ref="D2:D3"/>
    <mergeCell ref="E2:E3"/>
    <mergeCell ref="F2:F3"/>
    <mergeCell ref="E7:E8"/>
    <mergeCell ref="D9:D11"/>
    <mergeCell ref="E9:E11"/>
    <mergeCell ref="F9:F11"/>
    <mergeCell ref="G9:G11"/>
    <mergeCell ref="I14:I15"/>
    <mergeCell ref="J53:J54"/>
    <mergeCell ref="I46:I47"/>
    <mergeCell ref="J46:J47"/>
    <mergeCell ref="D49:D50"/>
    <mergeCell ref="E49:E50"/>
    <mergeCell ref="D51:D52"/>
    <mergeCell ref="E51:E52"/>
    <mergeCell ref="F51:F52"/>
    <mergeCell ref="G51:G52"/>
    <mergeCell ref="H51:H52"/>
    <mergeCell ref="I51:I52"/>
    <mergeCell ref="J51:J52"/>
    <mergeCell ref="D53:D54"/>
    <mergeCell ref="E53:E54"/>
    <mergeCell ref="F53:F54"/>
    <mergeCell ref="H46:H47"/>
    <mergeCell ref="I44:I45"/>
    <mergeCell ref="F44:F45"/>
    <mergeCell ref="G44:G45"/>
    <mergeCell ref="J37:J39"/>
    <mergeCell ref="G2:G3"/>
    <mergeCell ref="H2:H3"/>
    <mergeCell ref="I2:I3"/>
    <mergeCell ref="I9:I11"/>
    <mergeCell ref="J9:J11"/>
    <mergeCell ref="A12:A70"/>
    <mergeCell ref="B12:B26"/>
    <mergeCell ref="C12:C26"/>
    <mergeCell ref="D18:D20"/>
    <mergeCell ref="E18:E20"/>
    <mergeCell ref="F19:F20"/>
    <mergeCell ref="G19:G20"/>
    <mergeCell ref="B35:B53"/>
    <mergeCell ref="J2:J3"/>
    <mergeCell ref="E55:E57"/>
    <mergeCell ref="D27:D29"/>
    <mergeCell ref="E27:E29"/>
    <mergeCell ref="C35:C53"/>
    <mergeCell ref="D37:D39"/>
    <mergeCell ref="E37:E39"/>
    <mergeCell ref="D44:D45"/>
    <mergeCell ref="E44:E45"/>
    <mergeCell ref="F37:F39"/>
    <mergeCell ref="A4:A11"/>
    <mergeCell ref="G37:G39"/>
    <mergeCell ref="F14:F15"/>
    <mergeCell ref="G14:G15"/>
    <mergeCell ref="D32:D33"/>
    <mergeCell ref="G53:G54"/>
    <mergeCell ref="D30:D31"/>
    <mergeCell ref="H37:H39"/>
    <mergeCell ref="I53:I54"/>
    <mergeCell ref="D42:D43"/>
    <mergeCell ref="E42:E43"/>
    <mergeCell ref="CL19:CL20"/>
    <mergeCell ref="J14:J15"/>
    <mergeCell ref="I21:I24"/>
    <mergeCell ref="D21:D24"/>
    <mergeCell ref="I37:I39"/>
    <mergeCell ref="I28:I29"/>
    <mergeCell ref="B4:B11"/>
    <mergeCell ref="C4:C11"/>
    <mergeCell ref="D4:D6"/>
    <mergeCell ref="E4:E6"/>
    <mergeCell ref="D7:D8"/>
    <mergeCell ref="E21:E24"/>
    <mergeCell ref="F21:F24"/>
    <mergeCell ref="G21:G24"/>
    <mergeCell ref="H21:H24"/>
    <mergeCell ref="BV27:BV28"/>
    <mergeCell ref="BW27:BW28"/>
    <mergeCell ref="B27:B34"/>
    <mergeCell ref="C27:C34"/>
    <mergeCell ref="H9:H11"/>
    <mergeCell ref="F28:F29"/>
    <mergeCell ref="G28:G29"/>
    <mergeCell ref="H28:H29"/>
    <mergeCell ref="D14:D15"/>
    <mergeCell ref="E14:E15"/>
    <mergeCell ref="H14:H15"/>
    <mergeCell ref="J28:J29"/>
    <mergeCell ref="J19:J20"/>
    <mergeCell ref="J21:J24"/>
    <mergeCell ref="H19:H20"/>
    <mergeCell ref="CD1:CK1"/>
    <mergeCell ref="CD2:CD3"/>
    <mergeCell ref="CE2:CE3"/>
    <mergeCell ref="CF2:CF3"/>
    <mergeCell ref="CG2:CG3"/>
    <mergeCell ref="CH2:CH3"/>
    <mergeCell ref="CI2:CI3"/>
    <mergeCell ref="CJ2:CJ3"/>
    <mergeCell ref="CK2:CK3"/>
    <mergeCell ref="CG7:CG8"/>
    <mergeCell ref="CH7:CH8"/>
    <mergeCell ref="CD9:CD11"/>
    <mergeCell ref="CE9:CE11"/>
    <mergeCell ref="CF9:CF11"/>
    <mergeCell ref="CG9:CG11"/>
    <mergeCell ref="CH9:CH11"/>
    <mergeCell ref="CI9:CI11"/>
    <mergeCell ref="CJ9:CJ11"/>
    <mergeCell ref="CK9:CK11"/>
    <mergeCell ref="CI7:CI8"/>
    <mergeCell ref="CF19:CF20"/>
    <mergeCell ref="CJ19:CJ20"/>
    <mergeCell ref="CD21:CD24"/>
    <mergeCell ref="CE21:CE24"/>
    <mergeCell ref="CF21:CF24"/>
    <mergeCell ref="CG21:CG24"/>
    <mergeCell ref="CH21:CH24"/>
    <mergeCell ref="CI21:CI24"/>
    <mergeCell ref="CJ21:CJ24"/>
    <mergeCell ref="CK21:CK24"/>
    <mergeCell ref="CD27:CD28"/>
    <mergeCell ref="CE27:CE28"/>
    <mergeCell ref="CG27:CG29"/>
    <mergeCell ref="CH27:CH29"/>
    <mergeCell ref="CI27:CI29"/>
    <mergeCell ref="CJ28:CJ29"/>
    <mergeCell ref="CK28:CK29"/>
    <mergeCell ref="CD19:CD20"/>
    <mergeCell ref="CF27:CF28"/>
    <mergeCell ref="CK18:CK20"/>
    <mergeCell ref="CK31:CK32"/>
    <mergeCell ref="CD37:CD39"/>
    <mergeCell ref="CE37:CE39"/>
    <mergeCell ref="CF37:CF39"/>
    <mergeCell ref="CG37:CG39"/>
    <mergeCell ref="CH37:CH39"/>
    <mergeCell ref="CI37:CI39"/>
    <mergeCell ref="CJ37:CJ39"/>
    <mergeCell ref="CK37:CK39"/>
    <mergeCell ref="CD44:CD45"/>
    <mergeCell ref="CE44:CE45"/>
    <mergeCell ref="CF44:CF45"/>
    <mergeCell ref="CG44:CG45"/>
    <mergeCell ref="CH44:CH45"/>
    <mergeCell ref="CI44:CI45"/>
    <mergeCell ref="CJ44:CJ45"/>
    <mergeCell ref="CK44:CK45"/>
    <mergeCell ref="CD46:CD47"/>
    <mergeCell ref="CE46:CE47"/>
    <mergeCell ref="CF46:CF47"/>
    <mergeCell ref="CG46:CG47"/>
    <mergeCell ref="CH46:CH47"/>
    <mergeCell ref="CI46:CI47"/>
    <mergeCell ref="CJ46:CJ47"/>
    <mergeCell ref="CK46:CK47"/>
    <mergeCell ref="CG49:CG50"/>
    <mergeCell ref="CH49:CH50"/>
    <mergeCell ref="CI49:CI50"/>
    <mergeCell ref="CD51:CD52"/>
    <mergeCell ref="CE51:CE52"/>
    <mergeCell ref="CF51:CF52"/>
    <mergeCell ref="CG51:CG52"/>
    <mergeCell ref="CH51:CH52"/>
    <mergeCell ref="CI51:CI52"/>
    <mergeCell ref="CJ51:CJ52"/>
    <mergeCell ref="CK51:CK52"/>
    <mergeCell ref="CH71:CH73"/>
    <mergeCell ref="CI71:CI73"/>
    <mergeCell ref="CJ71:CJ73"/>
    <mergeCell ref="CK71:CK73"/>
    <mergeCell ref="CD53:CD54"/>
    <mergeCell ref="CE53:CE54"/>
    <mergeCell ref="CF53:CF54"/>
    <mergeCell ref="CG53:CG54"/>
    <mergeCell ref="CH53:CH54"/>
    <mergeCell ref="CI53:CI54"/>
    <mergeCell ref="CJ53:CJ54"/>
    <mergeCell ref="CK53:CK54"/>
    <mergeCell ref="CG55:CG57"/>
    <mergeCell ref="CH55:CH57"/>
    <mergeCell ref="CI55:CI57"/>
    <mergeCell ref="CK55:CK57"/>
    <mergeCell ref="CD56:CD57"/>
    <mergeCell ref="CE56:CE57"/>
    <mergeCell ref="CF56:CF57"/>
    <mergeCell ref="CJ56:CJ57"/>
    <mergeCell ref="CG60:CG61"/>
    <mergeCell ref="CH60:CH61"/>
    <mergeCell ref="CI60:CI61"/>
    <mergeCell ref="CN27:CN28"/>
    <mergeCell ref="CD75:CD77"/>
    <mergeCell ref="CE75:CE77"/>
    <mergeCell ref="CF75:CF77"/>
    <mergeCell ref="CG75:CG77"/>
    <mergeCell ref="CH75:CH77"/>
    <mergeCell ref="CI75:CI77"/>
    <mergeCell ref="CJ75:CJ77"/>
    <mergeCell ref="CK75:CK77"/>
    <mergeCell ref="CD80:CD81"/>
    <mergeCell ref="CE80:CE81"/>
    <mergeCell ref="CF80:CF81"/>
    <mergeCell ref="CG80:CG81"/>
    <mergeCell ref="CH80:CH81"/>
    <mergeCell ref="CI80:CI81"/>
    <mergeCell ref="CJ80:CJ81"/>
    <mergeCell ref="CK80:CK81"/>
    <mergeCell ref="CG62:CG63"/>
    <mergeCell ref="CH62:CH63"/>
    <mergeCell ref="CI62:CI63"/>
    <mergeCell ref="CD66:CD67"/>
    <mergeCell ref="CE66:CE67"/>
    <mergeCell ref="CF66:CF67"/>
    <mergeCell ref="CG66:CG67"/>
    <mergeCell ref="CH66:CH67"/>
    <mergeCell ref="CI66:CI67"/>
    <mergeCell ref="CJ66:CJ67"/>
    <mergeCell ref="CK66:CK67"/>
    <mergeCell ref="CD71:CD73"/>
    <mergeCell ref="CE71:CE73"/>
    <mergeCell ref="CF71:CF73"/>
    <mergeCell ref="CG71:CG73"/>
  </mergeCells>
  <conditionalFormatting sqref="T4:T85">
    <cfRule type="cellIs" dxfId="64" priority="114" stopIfTrue="1" operator="between">
      <formula>0.8</formula>
      <formula>1.01</formula>
    </cfRule>
    <cfRule type="cellIs" dxfId="63" priority="115" stopIfTrue="1" operator="between">
      <formula>0.7</formula>
      <formula>0.79</formula>
    </cfRule>
    <cfRule type="cellIs" dxfId="62" priority="116" stopIfTrue="1" operator="between">
      <formula>0.6</formula>
      <formula>0.69</formula>
    </cfRule>
    <cfRule type="cellIs" dxfId="61" priority="117" stopIfTrue="1" operator="between">
      <formula>0.4</formula>
      <formula>0.59</formula>
    </cfRule>
    <cfRule type="cellIs" dxfId="60" priority="118" stopIfTrue="1" operator="between">
      <formula>0</formula>
      <formula>0.39</formula>
    </cfRule>
  </conditionalFormatting>
  <conditionalFormatting sqref="AA4:AA85">
    <cfRule type="cellIs" dxfId="59" priority="129" stopIfTrue="1" operator="between">
      <formula>0.8</formula>
      <formula>1.01</formula>
    </cfRule>
    <cfRule type="cellIs" dxfId="58" priority="130" stopIfTrue="1" operator="between">
      <formula>0.7</formula>
      <formula>0.79</formula>
    </cfRule>
    <cfRule type="cellIs" dxfId="57" priority="131" stopIfTrue="1" operator="between">
      <formula>0.6</formula>
      <formula>0.69</formula>
    </cfRule>
    <cfRule type="cellIs" dxfId="56" priority="132" stopIfTrue="1" operator="between">
      <formula>0.4</formula>
      <formula>0.59</formula>
    </cfRule>
    <cfRule type="cellIs" dxfId="55" priority="133" stopIfTrue="1" operator="between">
      <formula>0</formula>
      <formula>0.39</formula>
    </cfRule>
  </conditionalFormatting>
  <conditionalFormatting sqref="AH4:AH85">
    <cfRule type="cellIs" dxfId="54" priority="104" stopIfTrue="1" operator="between">
      <formula>0.8</formula>
      <formula>1.01</formula>
    </cfRule>
    <cfRule type="cellIs" dxfId="53" priority="105" stopIfTrue="1" operator="between">
      <formula>0.7</formula>
      <formula>0.79</formula>
    </cfRule>
    <cfRule type="cellIs" dxfId="52" priority="106" stopIfTrue="1" operator="between">
      <formula>0.6</formula>
      <formula>0.69</formula>
    </cfRule>
    <cfRule type="cellIs" dxfId="51" priority="107" stopIfTrue="1" operator="between">
      <formula>0.4</formula>
      <formula>0.59</formula>
    </cfRule>
    <cfRule type="cellIs" dxfId="50" priority="108" stopIfTrue="1" operator="between">
      <formula>0</formula>
      <formula>0.39</formula>
    </cfRule>
  </conditionalFormatting>
  <conditionalFormatting sqref="AO4:AO85">
    <cfRule type="cellIs" dxfId="49" priority="109" stopIfTrue="1" operator="between">
      <formula>0.8</formula>
      <formula>1.01</formula>
    </cfRule>
    <cfRule type="cellIs" dxfId="48" priority="110" stopIfTrue="1" operator="between">
      <formula>0.7</formula>
      <formula>0.79</formula>
    </cfRule>
    <cfRule type="cellIs" dxfId="47" priority="111" stopIfTrue="1" operator="between">
      <formula>0.6</formula>
      <formula>0.69</formula>
    </cfRule>
    <cfRule type="cellIs" dxfId="46" priority="112" stopIfTrue="1" operator="between">
      <formula>0.4</formula>
      <formula>0.59</formula>
    </cfRule>
    <cfRule type="cellIs" dxfId="45" priority="113" stopIfTrue="1" operator="between">
      <formula>0</formula>
      <formula>0.39</formula>
    </cfRule>
  </conditionalFormatting>
  <conditionalFormatting sqref="AV4:AV85">
    <cfRule type="cellIs" dxfId="44" priority="94" stopIfTrue="1" operator="between">
      <formula>0.8</formula>
      <formula>1.01</formula>
    </cfRule>
    <cfRule type="cellIs" dxfId="43" priority="95" stopIfTrue="1" operator="between">
      <formula>0.7</formula>
      <formula>0.79</formula>
    </cfRule>
    <cfRule type="cellIs" dxfId="42" priority="96" stopIfTrue="1" operator="between">
      <formula>0.6</formula>
      <formula>0.69</formula>
    </cfRule>
    <cfRule type="cellIs" dxfId="41" priority="97" stopIfTrue="1" operator="between">
      <formula>0.4</formula>
      <formula>0.59</formula>
    </cfRule>
    <cfRule type="cellIs" dxfId="40" priority="98" stopIfTrue="1" operator="between">
      <formula>0</formula>
      <formula>0.39</formula>
    </cfRule>
  </conditionalFormatting>
  <conditionalFormatting sqref="BC4:BC85">
    <cfRule type="cellIs" dxfId="39" priority="99" stopIfTrue="1" operator="between">
      <formula>0.8</formula>
      <formula>1.01</formula>
    </cfRule>
    <cfRule type="cellIs" dxfId="38" priority="100" stopIfTrue="1" operator="between">
      <formula>0.7</formula>
      <formula>0.79</formula>
    </cfRule>
    <cfRule type="cellIs" dxfId="37" priority="101" stopIfTrue="1" operator="between">
      <formula>0.6</formula>
      <formula>0.69</formula>
    </cfRule>
    <cfRule type="cellIs" dxfId="36" priority="102" stopIfTrue="1" operator="between">
      <formula>0.4</formula>
      <formula>0.59</formula>
    </cfRule>
    <cfRule type="cellIs" dxfId="35" priority="103" stopIfTrue="1" operator="between">
      <formula>0</formula>
      <formula>0.39</formula>
    </cfRule>
  </conditionalFormatting>
  <conditionalFormatting sqref="BJ2:BJ85">
    <cfRule type="cellIs" dxfId="34" priority="79" operator="between">
      <formula>0.8</formula>
      <formula>1.01</formula>
    </cfRule>
    <cfRule type="cellIs" dxfId="33" priority="80" operator="between">
      <formula>0.7</formula>
      <formula>0.79</formula>
    </cfRule>
    <cfRule type="cellIs" dxfId="32" priority="81" operator="between">
      <formula>0.6</formula>
      <formula>0.69</formula>
    </cfRule>
    <cfRule type="cellIs" dxfId="31" priority="82" operator="between">
      <formula>0.4</formula>
      <formula>0.59</formula>
    </cfRule>
    <cfRule type="cellIs" dxfId="30" priority="83" operator="between">
      <formula>0</formula>
      <formula>0.39</formula>
    </cfRule>
  </conditionalFormatting>
  <conditionalFormatting sqref="BQ4:BQ85">
    <cfRule type="cellIs" dxfId="29" priority="74" stopIfTrue="1" operator="between">
      <formula>0.8</formula>
      <formula>1.01</formula>
    </cfRule>
    <cfRule type="cellIs" dxfId="28" priority="75" stopIfTrue="1" operator="between">
      <formula>0.7</formula>
      <formula>0.79</formula>
    </cfRule>
    <cfRule type="cellIs" dxfId="27" priority="76" stopIfTrue="1" operator="between">
      <formula>0.6</formula>
      <formula>0.69</formula>
    </cfRule>
    <cfRule type="cellIs" dxfId="26" priority="77" stopIfTrue="1" operator="between">
      <formula>0.4</formula>
      <formula>0.59</formula>
    </cfRule>
    <cfRule type="cellIs" dxfId="25" priority="78" stopIfTrue="1" operator="between">
      <formula>0</formula>
      <formula>0.39</formula>
    </cfRule>
  </conditionalFormatting>
  <conditionalFormatting sqref="BX4:BX85">
    <cfRule type="cellIs" dxfId="24" priority="69" stopIfTrue="1" operator="between">
      <formula>0.8</formula>
      <formula>1.01</formula>
    </cfRule>
    <cfRule type="cellIs" dxfId="23" priority="70" stopIfTrue="1" operator="between">
      <formula>0.7</formula>
      <formula>0.79</formula>
    </cfRule>
    <cfRule type="cellIs" dxfId="22" priority="71" stopIfTrue="1" operator="between">
      <formula>0.6</formula>
      <formula>0.69</formula>
    </cfRule>
    <cfRule type="cellIs" dxfId="21" priority="72" stopIfTrue="1" operator="between">
      <formula>0.4</formula>
      <formula>0.59</formula>
    </cfRule>
    <cfRule type="cellIs" dxfId="20" priority="73" stopIfTrue="1" operator="between">
      <formula>0</formula>
      <formula>0.39</formula>
    </cfRule>
  </conditionalFormatting>
  <conditionalFormatting sqref="CA1:CA3 CA86:CA1048576">
    <cfRule type="cellIs" priority="38" operator="between">
      <formula>1</formula>
      <formula>100</formula>
    </cfRule>
  </conditionalFormatting>
  <conditionalFormatting sqref="CA4:CA85">
    <cfRule type="cellIs" dxfId="19" priority="33" operator="between">
      <formula>0.8</formula>
      <formula>1</formula>
    </cfRule>
    <cfRule type="cellIs" dxfId="18" priority="34" operator="between">
      <formula>0.7</formula>
      <formula>0.79</formula>
    </cfRule>
    <cfRule type="cellIs" dxfId="17" priority="35" operator="between">
      <formula>0.6</formula>
      <formula>0.69</formula>
    </cfRule>
    <cfRule type="cellIs" dxfId="16" priority="36" operator="between">
      <formula>0.4</formula>
      <formula>0.59</formula>
    </cfRule>
    <cfRule type="cellIs" dxfId="15" priority="37" stopIfTrue="1" operator="between">
      <formula>0</formula>
      <formula>0.39</formula>
    </cfRule>
  </conditionalFormatting>
  <conditionalFormatting sqref="CF4:CF27 CF29:CF85">
    <cfRule type="cellIs" dxfId="14" priority="17" stopIfTrue="1" operator="between">
      <formula>0.8</formula>
      <formula>1.01</formula>
    </cfRule>
    <cfRule type="cellIs" dxfId="13" priority="18" stopIfTrue="1" operator="between">
      <formula>0.7</formula>
      <formula>0.79</formula>
    </cfRule>
    <cfRule type="cellIs" dxfId="12" priority="19" stopIfTrue="1" operator="between">
      <formula>0.6</formula>
      <formula>0.69</formula>
    </cfRule>
    <cfRule type="cellIs" dxfId="11" priority="20" stopIfTrue="1" operator="between">
      <formula>0.4</formula>
      <formula>0.59</formula>
    </cfRule>
    <cfRule type="cellIs" dxfId="10" priority="21" stopIfTrue="1" operator="between">
      <formula>0</formula>
      <formula>0.39</formula>
    </cfRule>
  </conditionalFormatting>
  <conditionalFormatting sqref="CI1:CI3">
    <cfRule type="cellIs" priority="27" operator="between">
      <formula>1</formula>
      <formula>100</formula>
    </cfRule>
  </conditionalFormatting>
  <conditionalFormatting sqref="CI9:CI85 CI4:CI7">
    <cfRule type="cellIs" dxfId="9" priority="1" operator="between">
      <formula>0.8</formula>
      <formula>1</formula>
    </cfRule>
    <cfRule type="cellIs" dxfId="8" priority="2" operator="between">
      <formula>0.7</formula>
      <formula>0.79</formula>
    </cfRule>
    <cfRule type="cellIs" dxfId="7" priority="3" operator="between">
      <formula>0.6</formula>
      <formula>0.69</formula>
    </cfRule>
    <cfRule type="cellIs" dxfId="6" priority="4" operator="between">
      <formula>0.4</formula>
      <formula>0.59</formula>
    </cfRule>
    <cfRule type="cellIs" dxfId="5" priority="5" stopIfTrue="1" operator="between">
      <formula>0</formula>
      <formula>0.39</formula>
    </cfRule>
  </conditionalFormatting>
  <conditionalFormatting sqref="CI86:CI87">
    <cfRule type="cellIs" priority="11" operator="between">
      <formula>1</formula>
      <formula>100</formula>
    </cfRule>
  </conditionalFormatting>
  <conditionalFormatting sqref="CN4:CN7 CN9:CN16 CN18 CN21:CN27 CN30:CN49 CN51:CN55 CN58:CN60 CN62 CN64:CN85">
    <cfRule type="cellIs" dxfId="4" priority="12" stopIfTrue="1" operator="between">
      <formula>0.8</formula>
      <formula>1.01</formula>
    </cfRule>
    <cfRule type="cellIs" dxfId="3" priority="13" stopIfTrue="1" operator="between">
      <formula>0.7</formula>
      <formula>0.79</formula>
    </cfRule>
    <cfRule type="cellIs" dxfId="2" priority="14" stopIfTrue="1" operator="between">
      <formula>0.6</formula>
      <formula>0.69</formula>
    </cfRule>
    <cfRule type="cellIs" dxfId="1" priority="15" stopIfTrue="1" operator="between">
      <formula>0.4</formula>
      <formula>0.59</formula>
    </cfRule>
    <cfRule type="cellIs" dxfId="0" priority="16" stopIfTrue="1" operator="between">
      <formula>0</formula>
      <formula>0.39</formula>
    </cfRule>
  </conditionalFormatting>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topLeftCell="A13" zoomScale="90" zoomScaleNormal="90" workbookViewId="0">
      <selection activeCell="B8" sqref="B8"/>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5" t="s">
        <v>284</v>
      </c>
      <c r="B2" s="6" t="s">
        <v>285</v>
      </c>
    </row>
    <row r="3" spans="1:4" ht="15.75" thickBot="1" x14ac:dyDescent="0.3">
      <c r="A3" s="7" t="s">
        <v>411</v>
      </c>
      <c r="B3" s="8">
        <f>D35</f>
        <v>18</v>
      </c>
      <c r="D3" s="237"/>
    </row>
    <row r="4" spans="1:4" ht="15.75" thickBot="1" x14ac:dyDescent="0.3">
      <c r="A4" s="9" t="s">
        <v>405</v>
      </c>
      <c r="B4" s="8">
        <v>8</v>
      </c>
      <c r="D4" s="237"/>
    </row>
    <row r="5" spans="1:4" ht="15.75" thickBot="1" x14ac:dyDescent="0.3">
      <c r="A5" s="10" t="s">
        <v>406</v>
      </c>
      <c r="B5" s="8">
        <f>F35</f>
        <v>3</v>
      </c>
      <c r="D5" s="237"/>
    </row>
    <row r="6" spans="1:4" ht="15.75" thickBot="1" x14ac:dyDescent="0.3">
      <c r="A6" s="11" t="s">
        <v>407</v>
      </c>
      <c r="B6" s="8">
        <f>G35</f>
        <v>2</v>
      </c>
      <c r="D6" s="237"/>
    </row>
    <row r="7" spans="1:4" ht="15.75" thickBot="1" x14ac:dyDescent="0.3">
      <c r="A7" s="12" t="s">
        <v>408</v>
      </c>
      <c r="B7" s="8">
        <f>H35</f>
        <v>30</v>
      </c>
      <c r="D7" s="237"/>
    </row>
    <row r="9" spans="1:4" x14ac:dyDescent="0.25">
      <c r="B9" s="4">
        <f>SUM(B3:B7)</f>
        <v>61</v>
      </c>
    </row>
    <row r="27" spans="1:9" ht="15.75" thickBot="1" x14ac:dyDescent="0.3"/>
    <row r="28" spans="1:9" ht="15.75" customHeight="1" thickBot="1" x14ac:dyDescent="0.3">
      <c r="A28" s="820" t="s">
        <v>413</v>
      </c>
      <c r="B28" s="822" t="s">
        <v>414</v>
      </c>
      <c r="C28" s="822" t="s">
        <v>4</v>
      </c>
      <c r="D28" s="824" t="s">
        <v>985</v>
      </c>
      <c r="E28" s="825"/>
      <c r="F28" s="825"/>
      <c r="G28" s="825"/>
      <c r="H28" s="825"/>
      <c r="I28" s="826"/>
    </row>
    <row r="29" spans="1:9" ht="31.5" customHeight="1" thickBot="1" x14ac:dyDescent="0.3">
      <c r="A29" s="821"/>
      <c r="B29" s="823"/>
      <c r="C29" s="823"/>
      <c r="D29" s="17" t="s">
        <v>404</v>
      </c>
      <c r="E29" s="17" t="s">
        <v>405</v>
      </c>
      <c r="F29" s="17" t="s">
        <v>406</v>
      </c>
      <c r="G29" s="17" t="s">
        <v>407</v>
      </c>
      <c r="H29" s="17" t="s">
        <v>408</v>
      </c>
      <c r="I29" s="18" t="s">
        <v>409</v>
      </c>
    </row>
    <row r="30" spans="1:9" ht="26.25" thickBot="1" x14ac:dyDescent="0.3">
      <c r="A30" s="19">
        <v>1</v>
      </c>
      <c r="B30" s="20" t="s">
        <v>9</v>
      </c>
      <c r="C30" s="21">
        <v>6</v>
      </c>
      <c r="D30" s="22">
        <v>2</v>
      </c>
      <c r="E30" s="23"/>
      <c r="F30" s="13"/>
      <c r="G30" s="24">
        <v>1</v>
      </c>
      <c r="H30" s="25">
        <v>3</v>
      </c>
      <c r="I30" s="26">
        <f>SUM(D30:H30)</f>
        <v>6</v>
      </c>
    </row>
    <row r="31" spans="1:9" ht="29.25" customHeight="1" thickBot="1" x14ac:dyDescent="0.3">
      <c r="A31" s="19">
        <v>2</v>
      </c>
      <c r="B31" s="20" t="s">
        <v>26</v>
      </c>
      <c r="C31" s="21">
        <v>44</v>
      </c>
      <c r="D31" s="22">
        <v>16</v>
      </c>
      <c r="E31" s="23">
        <v>5</v>
      </c>
      <c r="F31" s="27">
        <v>3</v>
      </c>
      <c r="G31" s="24"/>
      <c r="H31" s="25">
        <v>20</v>
      </c>
      <c r="I31" s="26">
        <f>SUM(D31:H31)</f>
        <v>44</v>
      </c>
    </row>
    <row r="32" spans="1:9" ht="26.25" thickBot="1" x14ac:dyDescent="0.3">
      <c r="A32" s="19">
        <v>3</v>
      </c>
      <c r="B32" s="20" t="s">
        <v>203</v>
      </c>
      <c r="C32" s="21">
        <v>4</v>
      </c>
      <c r="D32" s="22"/>
      <c r="E32" s="23">
        <v>1</v>
      </c>
      <c r="F32" s="27"/>
      <c r="G32" s="24"/>
      <c r="H32" s="25">
        <v>3</v>
      </c>
      <c r="I32" s="26">
        <f t="shared" ref="I32:I34" si="0">SUM(D32:H32)</f>
        <v>4</v>
      </c>
    </row>
    <row r="33" spans="1:9" ht="26.25" thickBot="1" x14ac:dyDescent="0.3">
      <c r="A33" s="19">
        <v>4</v>
      </c>
      <c r="B33" s="20" t="s">
        <v>220</v>
      </c>
      <c r="C33" s="21">
        <v>3</v>
      </c>
      <c r="D33" s="22"/>
      <c r="E33" s="23">
        <v>1</v>
      </c>
      <c r="F33" s="13"/>
      <c r="G33" s="24">
        <v>1</v>
      </c>
      <c r="H33" s="25">
        <v>1</v>
      </c>
      <c r="I33" s="26">
        <f t="shared" si="0"/>
        <v>3</v>
      </c>
    </row>
    <row r="34" spans="1:9" ht="26.25" thickBot="1" x14ac:dyDescent="0.3">
      <c r="A34" s="19">
        <v>5</v>
      </c>
      <c r="B34" s="20" t="s">
        <v>410</v>
      </c>
      <c r="C34" s="21">
        <v>4</v>
      </c>
      <c r="D34" s="49"/>
      <c r="E34" s="23">
        <v>1</v>
      </c>
      <c r="F34" s="27"/>
      <c r="G34" s="24"/>
      <c r="H34" s="25">
        <v>3</v>
      </c>
      <c r="I34" s="26">
        <f t="shared" si="0"/>
        <v>4</v>
      </c>
    </row>
    <row r="35" spans="1:9" ht="15.75" thickBot="1" x14ac:dyDescent="0.3">
      <c r="A35" s="827" t="s">
        <v>415</v>
      </c>
      <c r="B35" s="828"/>
      <c r="C35" s="829"/>
      <c r="D35" s="28">
        <f>SUM(D30:D34)</f>
        <v>18</v>
      </c>
      <c r="E35" s="28">
        <f t="shared" ref="E35:G35" si="1">SUM(E30:E34)</f>
        <v>8</v>
      </c>
      <c r="F35" s="28">
        <f t="shared" si="1"/>
        <v>3</v>
      </c>
      <c r="G35" s="28">
        <f t="shared" si="1"/>
        <v>2</v>
      </c>
      <c r="H35" s="28">
        <f>SUM(H30:H34)</f>
        <v>30</v>
      </c>
      <c r="I35" s="28">
        <f>SUM(I30:I34)</f>
        <v>61</v>
      </c>
    </row>
  </sheetData>
  <mergeCells count="5">
    <mergeCell ref="A28:A29"/>
    <mergeCell ref="B28:B29"/>
    <mergeCell ref="C28:C29"/>
    <mergeCell ref="D28:I28"/>
    <mergeCell ref="A35:C35"/>
  </mergeCells>
  <pageMargins left="0.7" right="0.7" top="0.75" bottom="0.75" header="0.3" footer="0.3"/>
  <pageSetup paperSize="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Avance Total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2023-11-28T20:56:01Z</dcterms:modified>
</cp:coreProperties>
</file>