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4\2 CPSP 2018\11. SGTO Familia\"/>
    </mc:Choice>
  </mc:AlternateContent>
  <xr:revisionPtr revIDLastSave="0" documentId="13_ncr:1_{800A2144-8082-4068-A2D8-3119271407C5}" xr6:coauthVersionLast="47" xr6:coauthVersionMax="47" xr10:uidLastSave="{00000000-0000-0000-0000-000000000000}"/>
  <bookViews>
    <workbookView xWindow="-120" yWindow="-120" windowWidth="20730" windowHeight="1116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Matriz!$A$3:$DD$86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V24" i="1" l="1"/>
  <c r="CQ84" i="1"/>
  <c r="CN84" i="1"/>
  <c r="CP83" i="1"/>
  <c r="CO83" i="1"/>
  <c r="CN83" i="1"/>
  <c r="CP82" i="1"/>
  <c r="CO82" i="1"/>
  <c r="CN82" i="1"/>
  <c r="CP81" i="1"/>
  <c r="CO81" i="1"/>
  <c r="CN81" i="1"/>
  <c r="CQ79" i="1"/>
  <c r="CN79" i="1"/>
  <c r="CN78" i="1"/>
  <c r="CQ74" i="1"/>
  <c r="CN74" i="1"/>
  <c r="CP73" i="1"/>
  <c r="CO73" i="1"/>
  <c r="CQ70" i="1"/>
  <c r="CQ69" i="1"/>
  <c r="CQ68" i="1"/>
  <c r="CN68" i="1"/>
  <c r="CQ67" i="1"/>
  <c r="CN67" i="1"/>
  <c r="CN65" i="1"/>
  <c r="CQ64" i="1"/>
  <c r="CN64" i="1"/>
  <c r="CP63" i="1"/>
  <c r="CO63" i="1"/>
  <c r="CO61" i="1"/>
  <c r="CQ61" i="1" s="1"/>
  <c r="CN60" i="1"/>
  <c r="CQ59" i="1"/>
  <c r="CO58" i="1"/>
  <c r="CQ58" i="1" s="1"/>
  <c r="CM58" i="1"/>
  <c r="CO57" i="1"/>
  <c r="CQ57" i="1" s="1"/>
  <c r="CP54" i="1"/>
  <c r="CO54" i="1"/>
  <c r="CQ52" i="1"/>
  <c r="CP50" i="1"/>
  <c r="CO50" i="1"/>
  <c r="CN50" i="1"/>
  <c r="CP48" i="1"/>
  <c r="CO48" i="1"/>
  <c r="CN48" i="1"/>
  <c r="CP47" i="1"/>
  <c r="CO47" i="1"/>
  <c r="CN47" i="1"/>
  <c r="CQ45" i="1"/>
  <c r="CP43" i="1"/>
  <c r="CO43" i="1"/>
  <c r="CQ42" i="1"/>
  <c r="CQ41" i="1"/>
  <c r="CN41" i="1"/>
  <c r="CP40" i="1"/>
  <c r="CO40" i="1"/>
  <c r="CP39" i="1"/>
  <c r="CO39" i="1"/>
  <c r="CN39" i="1"/>
  <c r="CP36" i="1"/>
  <c r="CO36" i="1"/>
  <c r="CQ35" i="1"/>
  <c r="CP34" i="1"/>
  <c r="CQ34" i="1" s="1"/>
  <c r="CM34" i="1"/>
  <c r="CQ33" i="1"/>
  <c r="CQ32" i="1"/>
  <c r="CQ30" i="1"/>
  <c r="CN29" i="1"/>
  <c r="CQ26" i="1"/>
  <c r="CN25" i="1"/>
  <c r="CQ24" i="1"/>
  <c r="CO20" i="1"/>
  <c r="CQ20" i="1" s="1"/>
  <c r="CP17" i="1"/>
  <c r="CO17" i="1"/>
  <c r="CO13" i="1"/>
  <c r="CQ13" i="1" s="1"/>
  <c r="CP12" i="1"/>
  <c r="CO12" i="1"/>
  <c r="CM12" i="1"/>
  <c r="CL12" i="1"/>
  <c r="CO11" i="1"/>
  <c r="CQ11" i="1" s="1"/>
  <c r="CP6" i="1"/>
  <c r="CO6" i="1"/>
  <c r="CN6" i="1"/>
  <c r="CQ5" i="1"/>
  <c r="CN5" i="1"/>
  <c r="CP4" i="1"/>
  <c r="CO4" i="1"/>
  <c r="CN4" i="1"/>
  <c r="CQ3" i="1"/>
  <c r="CN3" i="1"/>
  <c r="CQ54" i="1" l="1"/>
  <c r="CQ43" i="1"/>
  <c r="CQ73" i="1"/>
  <c r="CQ63" i="1"/>
  <c r="CQ4" i="1"/>
  <c r="CQ40" i="1"/>
  <c r="CQ48" i="1"/>
  <c r="CQ81" i="1"/>
  <c r="CQ6" i="1"/>
  <c r="CQ12" i="1"/>
  <c r="CQ17" i="1"/>
  <c r="CQ39" i="1"/>
  <c r="CQ47" i="1"/>
  <c r="CQ36" i="1"/>
  <c r="CQ83" i="1"/>
  <c r="CQ82" i="1"/>
  <c r="DD83" i="1"/>
  <c r="CV83" i="1"/>
  <c r="CV82" i="1"/>
  <c r="CV74" i="1"/>
  <c r="CV5" i="1"/>
  <c r="CX43" i="1"/>
  <c r="CW43" i="1"/>
  <c r="CT12" i="1"/>
  <c r="CV12" i="1" s="1"/>
  <c r="CX50" i="1"/>
  <c r="CW50" i="1"/>
  <c r="CW54" i="1"/>
  <c r="CX47" i="1"/>
  <c r="CX83" i="1"/>
  <c r="CW83" i="1"/>
  <c r="CX82" i="1"/>
  <c r="CW82" i="1"/>
  <c r="D35" i="9"/>
  <c r="CH84" i="1"/>
  <c r="CG84" i="1"/>
  <c r="CF84" i="1"/>
  <c r="CH83" i="1"/>
  <c r="CG83" i="1"/>
  <c r="CF83" i="1"/>
  <c r="CH82" i="1"/>
  <c r="CG82" i="1"/>
  <c r="CF82" i="1"/>
  <c r="CH81" i="1"/>
  <c r="CG81" i="1"/>
  <c r="CF81" i="1"/>
  <c r="CI79" i="1"/>
  <c r="CF79" i="1"/>
  <c r="CF78" i="1"/>
  <c r="CH74" i="1"/>
  <c r="CG74" i="1"/>
  <c r="CF74" i="1"/>
  <c r="CG73" i="1"/>
  <c r="CH73" i="1" s="1"/>
  <c r="CI73" i="1" s="1"/>
  <c r="CI70" i="1"/>
  <c r="CH69" i="1"/>
  <c r="CG69" i="1"/>
  <c r="CH68" i="1"/>
  <c r="CG68" i="1"/>
  <c r="CF68" i="1"/>
  <c r="CH67" i="1"/>
  <c r="CG67" i="1"/>
  <c r="CF67" i="1"/>
  <c r="CH65" i="1"/>
  <c r="CG65" i="1"/>
  <c r="CF65" i="1"/>
  <c r="CH64" i="1"/>
  <c r="CG64" i="1"/>
  <c r="CF64" i="1"/>
  <c r="CH63" i="1"/>
  <c r="CG63" i="1"/>
  <c r="CH61" i="1"/>
  <c r="CG61" i="1"/>
  <c r="CF60" i="1"/>
  <c r="CH59" i="1"/>
  <c r="CG59" i="1"/>
  <c r="CH58" i="1"/>
  <c r="CG58" i="1"/>
  <c r="CE58" i="1"/>
  <c r="CH57" i="1"/>
  <c r="CG57" i="1"/>
  <c r="CH54" i="1"/>
  <c r="CG54" i="1"/>
  <c r="CH52" i="1"/>
  <c r="CG52" i="1"/>
  <c r="CH50" i="1"/>
  <c r="CG50" i="1"/>
  <c r="CF50" i="1"/>
  <c r="CH48" i="1"/>
  <c r="CG48" i="1"/>
  <c r="CF48" i="1"/>
  <c r="CH47" i="1"/>
  <c r="CG47" i="1"/>
  <c r="CF47" i="1"/>
  <c r="CH45" i="1"/>
  <c r="CG45" i="1"/>
  <c r="CG43" i="1"/>
  <c r="CI43" i="1" s="1"/>
  <c r="CH42" i="1"/>
  <c r="CG42" i="1"/>
  <c r="CH41" i="1"/>
  <c r="CG41" i="1"/>
  <c r="CF41" i="1"/>
  <c r="CH40" i="1"/>
  <c r="CG40" i="1"/>
  <c r="CH39" i="1"/>
  <c r="CG39" i="1"/>
  <c r="CF39" i="1"/>
  <c r="CH36" i="1"/>
  <c r="CG36" i="1"/>
  <c r="CI36" i="1" s="1"/>
  <c r="CI35" i="1"/>
  <c r="CH34" i="1"/>
  <c r="CG34" i="1"/>
  <c r="CE34" i="1"/>
  <c r="CI33" i="1"/>
  <c r="CH32" i="1"/>
  <c r="CG32" i="1"/>
  <c r="CH30" i="1"/>
  <c r="CG30" i="1"/>
  <c r="CF29" i="1"/>
  <c r="CH26" i="1"/>
  <c r="CG26" i="1"/>
  <c r="CF25" i="1"/>
  <c r="CH24" i="1"/>
  <c r="CG24" i="1"/>
  <c r="CH20" i="1"/>
  <c r="CG20" i="1"/>
  <c r="CH17" i="1"/>
  <c r="CG17" i="1"/>
  <c r="CH13" i="1"/>
  <c r="CI13" i="1" s="1"/>
  <c r="CH12" i="1"/>
  <c r="CG12" i="1"/>
  <c r="CE12" i="1"/>
  <c r="CH11" i="1"/>
  <c r="CG11" i="1"/>
  <c r="CH6" i="1"/>
  <c r="CG6" i="1"/>
  <c r="CF6" i="1"/>
  <c r="CH5" i="1"/>
  <c r="CG5" i="1"/>
  <c r="CF5" i="1"/>
  <c r="CH4" i="1"/>
  <c r="CG4" i="1"/>
  <c r="CF4" i="1"/>
  <c r="CH3" i="1"/>
  <c r="CG3" i="1"/>
  <c r="CF3" i="1"/>
  <c r="CI58" i="1" l="1"/>
  <c r="CI6" i="1"/>
  <c r="CI41" i="1"/>
  <c r="CI48" i="1"/>
  <c r="CI81" i="1"/>
  <c r="CI17" i="1"/>
  <c r="CI34" i="1"/>
  <c r="CI40" i="1"/>
  <c r="CI52" i="1"/>
  <c r="CI84" i="1"/>
  <c r="CI4" i="1"/>
  <c r="CI45" i="1"/>
  <c r="CI63" i="1"/>
  <c r="CI54" i="1"/>
  <c r="CI64" i="1"/>
  <c r="CI30" i="1"/>
  <c r="CI68" i="1"/>
  <c r="CI82" i="1"/>
  <c r="CI5" i="1"/>
  <c r="CI32" i="1"/>
  <c r="CI61" i="1"/>
  <c r="CI12" i="1"/>
  <c r="CI83" i="1"/>
  <c r="CI26" i="1"/>
  <c r="CI39" i="1"/>
  <c r="CI42" i="1"/>
  <c r="CI47" i="1"/>
  <c r="CI67" i="1"/>
  <c r="CI59" i="1"/>
  <c r="CI74" i="1"/>
  <c r="CI11" i="1"/>
  <c r="CF86" i="1"/>
  <c r="CI57" i="1"/>
  <c r="CI24" i="1"/>
  <c r="CI69" i="1"/>
  <c r="CI3" i="1"/>
  <c r="CI86" i="1" l="1"/>
  <c r="B9" i="9"/>
  <c r="CV47" i="1"/>
  <c r="CX73" i="1"/>
  <c r="CW73" i="1"/>
  <c r="CY58" i="1"/>
  <c r="CY57" i="1"/>
  <c r="CY41" i="1"/>
  <c r="CY24" i="1"/>
  <c r="CY20" i="1"/>
  <c r="CY13" i="1"/>
  <c r="CY12" i="1"/>
  <c r="CY11" i="1"/>
  <c r="CV4" i="1"/>
  <c r="DD3" i="1"/>
  <c r="J12" i="1"/>
  <c r="Q12" i="1"/>
  <c r="BY12" i="1"/>
  <c r="BZ12" i="1"/>
  <c r="DB12" i="1"/>
  <c r="DD12" i="1" s="1"/>
  <c r="CY48" i="1" l="1"/>
  <c r="CY17" i="1"/>
  <c r="CY73" i="1"/>
  <c r="CA12" i="1"/>
  <c r="CW40" i="1"/>
  <c r="CX40" i="1"/>
  <c r="CX39" i="1"/>
  <c r="CW39" i="1"/>
  <c r="CY35" i="1"/>
  <c r="CX34" i="1"/>
  <c r="CY39" i="1" l="1"/>
  <c r="CY3" i="1" l="1"/>
  <c r="CY6" i="1"/>
  <c r="CY4" i="1"/>
  <c r="CY5" i="1" l="1"/>
  <c r="CV39" i="1"/>
  <c r="I31" i="9" l="1"/>
  <c r="CV41" i="1"/>
  <c r="CU34" i="1"/>
  <c r="CV3" i="1"/>
  <c r="CY70" i="1"/>
  <c r="CY64" i="1"/>
  <c r="CY59" i="1"/>
  <c r="CY43" i="1"/>
  <c r="CY40" i="1"/>
  <c r="CY36" i="1"/>
  <c r="CY34" i="1"/>
  <c r="CY33" i="1"/>
  <c r="H35" i="9"/>
  <c r="G35" i="9"/>
  <c r="F35" i="9"/>
  <c r="E35" i="9"/>
  <c r="I34" i="9"/>
  <c r="I33" i="9"/>
  <c r="I32" i="9"/>
  <c r="I30" i="9"/>
  <c r="DD84" i="1"/>
  <c r="CV84" i="1"/>
  <c r="DD82" i="1"/>
  <c r="DD81" i="1"/>
  <c r="CV81" i="1"/>
  <c r="DD79" i="1"/>
  <c r="CV79" i="1"/>
  <c r="DD78" i="1"/>
  <c r="CV78" i="1"/>
  <c r="DD70" i="1"/>
  <c r="DD69" i="1"/>
  <c r="DD68" i="1"/>
  <c r="CV68" i="1"/>
  <c r="DD67" i="1"/>
  <c r="CV67" i="1"/>
  <c r="DD65" i="1"/>
  <c r="CV65" i="1"/>
  <c r="CV64" i="1"/>
  <c r="CV60" i="1"/>
  <c r="CV50" i="1"/>
  <c r="CV48" i="1"/>
  <c r="DD41" i="1"/>
  <c r="DD40" i="1"/>
  <c r="DD39" i="1"/>
  <c r="DC34" i="1"/>
  <c r="DD29" i="1"/>
  <c r="CV29" i="1"/>
  <c r="DD25" i="1"/>
  <c r="CV25" i="1"/>
  <c r="DD24" i="1"/>
  <c r="DD7" i="1"/>
  <c r="DD6" i="1"/>
  <c r="CV6" i="1"/>
  <c r="DD5" i="1"/>
  <c r="DD4" i="1"/>
  <c r="CA54" i="1"/>
  <c r="CY32" i="1" l="1"/>
  <c r="CY69" i="1"/>
  <c r="CY81" i="1"/>
  <c r="CY30" i="1"/>
  <c r="CY52" i="1"/>
  <c r="CY63" i="1"/>
  <c r="CY26" i="1"/>
  <c r="CY42" i="1"/>
  <c r="CY54" i="1"/>
  <c r="CY67" i="1"/>
  <c r="CY83" i="1"/>
  <c r="CY47" i="1"/>
  <c r="CY68" i="1"/>
  <c r="CY45" i="1"/>
  <c r="CY61" i="1"/>
  <c r="CY84" i="1"/>
  <c r="I35" i="9"/>
  <c r="DD86" i="1"/>
  <c r="CA34" i="1"/>
  <c r="BW34" i="1"/>
  <c r="CA52" i="1" l="1"/>
  <c r="BY50" i="1"/>
  <c r="BZ48" i="1"/>
  <c r="BY48" i="1"/>
  <c r="BY11" i="1" l="1"/>
  <c r="BX81" i="1"/>
  <c r="BZ50" i="1" l="1"/>
  <c r="BZ42" i="1"/>
  <c r="BY42" i="1"/>
  <c r="CA79" i="1" l="1"/>
  <c r="BZ45" i="1" l="1"/>
  <c r="BY45" i="1"/>
  <c r="BZ68" i="1" l="1"/>
  <c r="BZ69" i="1"/>
  <c r="BY69" i="1"/>
  <c r="BZ67" i="1"/>
  <c r="BZ65" i="1"/>
  <c r="BZ11" i="1" l="1"/>
  <c r="BZ63" i="1" l="1"/>
  <c r="BY63" i="1"/>
  <c r="BZ61" i="1"/>
  <c r="BY61" i="1"/>
  <c r="BZ59" i="1"/>
  <c r="BY59" i="1"/>
  <c r="BZ58" i="1"/>
  <c r="BY58" i="1"/>
  <c r="BZ32" i="1"/>
  <c r="BY32" i="1"/>
  <c r="BZ26" i="1" l="1"/>
  <c r="BY26" i="1"/>
  <c r="BZ4" i="1"/>
  <c r="BY3" i="1"/>
  <c r="BZ84" i="1"/>
  <c r="BY84" i="1"/>
  <c r="BZ57" i="1"/>
  <c r="BY57" i="1"/>
  <c r="BZ36" i="1"/>
  <c r="BY36" i="1"/>
  <c r="CA32" i="1"/>
  <c r="CA83" i="1" l="1"/>
  <c r="CA82" i="1"/>
  <c r="BZ74" i="1"/>
  <c r="BZ73" i="1"/>
  <c r="CA70" i="1"/>
  <c r="CA68" i="1"/>
  <c r="CA67" i="1"/>
  <c r="CA64" i="1"/>
  <c r="CA48" i="1"/>
  <c r="CA47" i="1"/>
  <c r="CA43" i="1"/>
  <c r="CA40" i="1"/>
  <c r="CA26" i="1"/>
  <c r="CA13" i="1"/>
  <c r="CA5" i="1"/>
  <c r="CA3" i="1"/>
  <c r="BX4" i="1"/>
  <c r="CA73" i="1" l="1"/>
  <c r="CA69" i="1"/>
  <c r="BZ20" i="1"/>
  <c r="BY20" i="1"/>
  <c r="BZ81" i="1"/>
  <c r="BY81" i="1"/>
  <c r="CA61" i="1"/>
  <c r="CA58" i="1"/>
  <c r="CA45" i="1"/>
  <c r="BY30" i="1"/>
  <c r="CA30" i="1" s="1"/>
  <c r="BY24" i="1"/>
  <c r="CA24" i="1" s="1"/>
  <c r="BZ17" i="1"/>
  <c r="BY17" i="1"/>
  <c r="BX3" i="1"/>
  <c r="CA81" i="1" l="1"/>
  <c r="CA36" i="1"/>
  <c r="CA11" i="1"/>
  <c r="CA59" i="1"/>
  <c r="CA63" i="1"/>
  <c r="CA84" i="1"/>
  <c r="BC68" i="1"/>
  <c r="BC67" i="1"/>
  <c r="AO65" i="1"/>
  <c r="AH65" i="1"/>
  <c r="BG17" i="1"/>
  <c r="BB60" i="1"/>
  <c r="AP24" i="1"/>
  <c r="AP23" i="1"/>
  <c r="BX84" i="1"/>
  <c r="BX83" i="1"/>
  <c r="BX79" i="1"/>
  <c r="BX78" i="1"/>
  <c r="BX74" i="1"/>
  <c r="BX68" i="1"/>
  <c r="BX67" i="1"/>
  <c r="BX65" i="1"/>
  <c r="BX64" i="1"/>
  <c r="BX60" i="1"/>
  <c r="BX59" i="1"/>
  <c r="BX50" i="1"/>
  <c r="BX48" i="1"/>
  <c r="BX41" i="1"/>
  <c r="CA41" i="1" s="1"/>
  <c r="CA33" i="1"/>
  <c r="BX29" i="1"/>
  <c r="BX25" i="1"/>
  <c r="BX6" i="1"/>
  <c r="BX5" i="1"/>
  <c r="CA86" i="1" l="1"/>
  <c r="BX86" i="1"/>
  <c r="BQ84" i="1"/>
  <c r="BQ83" i="1"/>
  <c r="BQ79" i="1"/>
  <c r="BQ78" i="1"/>
  <c r="BQ74" i="1"/>
  <c r="BQ68" i="1"/>
  <c r="BQ67" i="1"/>
  <c r="BQ65" i="1"/>
  <c r="BQ64" i="1"/>
  <c r="BQ60" i="1"/>
  <c r="BQ59" i="1"/>
  <c r="BQ50" i="1"/>
  <c r="BQ48" i="1"/>
  <c r="BQ41" i="1"/>
  <c r="BQ35" i="1"/>
  <c r="BP34" i="1"/>
  <c r="BQ34" i="1" s="1"/>
  <c r="BQ33" i="1"/>
  <c r="BQ29" i="1"/>
  <c r="BQ27" i="1"/>
  <c r="BQ26" i="1"/>
  <c r="BQ25" i="1"/>
  <c r="BQ16" i="1"/>
  <c r="BQ15" i="1"/>
  <c r="BQ7" i="1"/>
  <c r="BQ6" i="1"/>
  <c r="BQ5" i="1"/>
  <c r="BQ3" i="1"/>
  <c r="BJ84" i="1" l="1"/>
  <c r="BJ83" i="1"/>
  <c r="BJ79" i="1"/>
  <c r="BJ78" i="1"/>
  <c r="BJ74" i="1"/>
  <c r="BJ69" i="1"/>
  <c r="BJ68" i="1"/>
  <c r="BJ67" i="1"/>
  <c r="BJ65" i="1"/>
  <c r="BI59" i="1"/>
  <c r="BJ59" i="1" s="1"/>
  <c r="BJ52" i="1"/>
  <c r="BJ50" i="1"/>
  <c r="BJ41" i="1"/>
  <c r="BJ39" i="1"/>
  <c r="BJ35" i="1"/>
  <c r="BI34" i="1"/>
  <c r="BJ34" i="1" s="1"/>
  <c r="BJ33" i="1"/>
  <c r="BJ29" i="1"/>
  <c r="BJ27" i="1"/>
  <c r="BJ26" i="1"/>
  <c r="BJ25" i="1"/>
  <c r="BJ7" i="1"/>
  <c r="BJ6" i="1"/>
  <c r="BJ5" i="1"/>
  <c r="BJ4" i="1"/>
  <c r="BJ3" i="1"/>
  <c r="T65" i="1" l="1"/>
  <c r="T67" i="1"/>
  <c r="T68" i="1"/>
  <c r="T74" i="1"/>
  <c r="T78" i="1"/>
  <c r="T79" i="1"/>
  <c r="T83" i="1"/>
  <c r="T84" i="1"/>
  <c r="BC84" i="1"/>
  <c r="AV84" i="1"/>
  <c r="BC83" i="1"/>
  <c r="AV83" i="1"/>
  <c r="BC79" i="1"/>
  <c r="AV79" i="1"/>
  <c r="BC78" i="1"/>
  <c r="AV78" i="1"/>
  <c r="BC74" i="1"/>
  <c r="AV74" i="1"/>
  <c r="AV68" i="1"/>
  <c r="AV67" i="1"/>
  <c r="BC65" i="1"/>
  <c r="AV65" i="1"/>
  <c r="BC64" i="1"/>
  <c r="AV64" i="1"/>
  <c r="BC60" i="1"/>
  <c r="AV60" i="1"/>
  <c r="BC59" i="1"/>
  <c r="AV59" i="1"/>
  <c r="BC50" i="1"/>
  <c r="AV50" i="1"/>
  <c r="BC48" i="1"/>
  <c r="AV48" i="1"/>
  <c r="BC41" i="1"/>
  <c r="AV41" i="1"/>
  <c r="BC35" i="1"/>
  <c r="AV35" i="1"/>
  <c r="BC34" i="1"/>
  <c r="AV34" i="1"/>
  <c r="BC33" i="1"/>
  <c r="AV33" i="1"/>
  <c r="BC29" i="1"/>
  <c r="AV29" i="1"/>
  <c r="BC27" i="1"/>
  <c r="AV27" i="1"/>
  <c r="BC26" i="1"/>
  <c r="AV26" i="1"/>
  <c r="BC25" i="1"/>
  <c r="AV25" i="1"/>
  <c r="BC16" i="1"/>
  <c r="AV16" i="1"/>
  <c r="BC15" i="1"/>
  <c r="AV15" i="1"/>
  <c r="BC7" i="1"/>
  <c r="AV7" i="1"/>
  <c r="BC6" i="1"/>
  <c r="AV6" i="1"/>
  <c r="BC5" i="1"/>
  <c r="AV5" i="1"/>
  <c r="BC3" i="1"/>
  <c r="AV3" i="1"/>
  <c r="AO84" i="1"/>
  <c r="AH84" i="1"/>
  <c r="AO83" i="1"/>
  <c r="AH83" i="1"/>
  <c r="AO79" i="1"/>
  <c r="AH79" i="1"/>
  <c r="AO78" i="1"/>
  <c r="AH78" i="1"/>
  <c r="AO74" i="1"/>
  <c r="AH74" i="1"/>
  <c r="AO68" i="1"/>
  <c r="AH68" i="1"/>
  <c r="AO67" i="1"/>
  <c r="AH67" i="1"/>
  <c r="AO64" i="1"/>
  <c r="AH64" i="1"/>
  <c r="AO60" i="1"/>
  <c r="AH60" i="1"/>
  <c r="AO59" i="1"/>
  <c r="AH59" i="1"/>
  <c r="AO50" i="1"/>
  <c r="AH50" i="1"/>
  <c r="AO48" i="1"/>
  <c r="AH48" i="1"/>
  <c r="AO41" i="1"/>
  <c r="AH41" i="1"/>
  <c r="AO35" i="1"/>
  <c r="AH35" i="1"/>
  <c r="AO34" i="1"/>
  <c r="AH34" i="1"/>
  <c r="AO33" i="1"/>
  <c r="AH33" i="1"/>
  <c r="AO29" i="1"/>
  <c r="AH29" i="1"/>
  <c r="AO27" i="1"/>
  <c r="AH27" i="1"/>
  <c r="AO26" i="1"/>
  <c r="AH26" i="1"/>
  <c r="AO25" i="1"/>
  <c r="AH25" i="1"/>
  <c r="AO16" i="1"/>
  <c r="AH16" i="1"/>
  <c r="AO15" i="1"/>
  <c r="AH15" i="1"/>
  <c r="AO7" i="1"/>
  <c r="AH7" i="1"/>
  <c r="AO6" i="1"/>
  <c r="AH6" i="1"/>
  <c r="AO5" i="1"/>
  <c r="AH5" i="1"/>
  <c r="AO3" i="1"/>
  <c r="AH3" i="1"/>
  <c r="AA84" i="1" l="1"/>
  <c r="AA74" i="1"/>
  <c r="AA68" i="1" l="1"/>
  <c r="AA67" i="1"/>
  <c r="AA65" i="1"/>
  <c r="AA27" i="1"/>
  <c r="AA26" i="1"/>
  <c r="AA16" i="1"/>
  <c r="AA15" i="1"/>
  <c r="AA48" i="1" l="1"/>
  <c r="AA64" i="1"/>
  <c r="AA60" i="1"/>
  <c r="AA59" i="1"/>
  <c r="AA3" i="1"/>
  <c r="AA50" i="1" l="1"/>
  <c r="AA41" i="1" l="1"/>
  <c r="AA34" i="1"/>
  <c r="AA7" i="1" l="1"/>
  <c r="AA35" i="1" l="1"/>
  <c r="AA33" i="1"/>
  <c r="AA29" i="1"/>
  <c r="AA25" i="1" l="1"/>
  <c r="AA78" i="1"/>
  <c r="AA79" i="1"/>
  <c r="AA5" i="1"/>
  <c r="AA83" i="1"/>
  <c r="AA6" i="1"/>
  <c r="CY74" i="1"/>
  <c r="CY86" i="1" s="1"/>
  <c r="CV86" i="1"/>
</calcChain>
</file>

<file path=xl/sharedStrings.xml><?xml version="1.0" encoding="utf-8"?>
<sst xmlns="http://schemas.openxmlformats.org/spreadsheetml/2006/main" count="2496" uniqueCount="1253">
  <si>
    <t>INDICADORES</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</si>
  <si>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</si>
  <si>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</si>
  <si>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</si>
  <si>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</si>
  <si>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</si>
  <si>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</si>
  <si>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</si>
  <si>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</si>
  <si>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</si>
  <si>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</si>
  <si>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</si>
  <si>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</si>
  <si>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</si>
  <si>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</si>
  <si>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</si>
  <si>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</si>
  <si>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</si>
  <si>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</si>
  <si>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</si>
  <si>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</si>
  <si>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</si>
  <si>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</si>
  <si>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</si>
  <si>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</si>
  <si>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</si>
  <si>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</si>
  <si>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</si>
  <si>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</si>
  <si>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</si>
  <si>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</si>
  <si>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</si>
  <si>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</si>
  <si>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</si>
  <si>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</si>
  <si>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</si>
  <si>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</si>
  <si>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</si>
  <si>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</si>
  <si>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</si>
  <si>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</si>
  <si>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</si>
  <si>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</si>
  <si>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</si>
  <si>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</si>
  <si>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</si>
  <si>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</si>
  <si>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</si>
  <si>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</si>
  <si>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</si>
  <si>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</si>
  <si>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</si>
  <si>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</si>
  <si>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</si>
  <si>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</si>
  <si>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</si>
  <si>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</si>
  <si>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</si>
  <si>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</si>
  <si>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</si>
  <si>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</si>
  <si>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</si>
  <si>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</si>
  <si>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</si>
  <si>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</si>
  <si>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</si>
  <si>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</si>
  <si>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</si>
  <si>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</si>
  <si>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</si>
  <si>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</si>
  <si>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</si>
  <si>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</si>
  <si>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</si>
  <si>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</si>
  <si>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</si>
  <si>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</si>
  <si>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</si>
  <si>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</si>
  <si>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</si>
  <si>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</si>
  <si>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</si>
  <si>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</si>
  <si>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</si>
  <si>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</si>
  <si>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</si>
  <si>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</si>
  <si>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</si>
  <si>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</si>
  <si>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</si>
  <si>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</si>
  <si>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</si>
  <si>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</si>
  <si>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</si>
  <si>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</si>
  <si>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</si>
  <si>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</si>
  <si>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</si>
  <si>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</si>
  <si>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</si>
  <si>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</si>
  <si>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</si>
  <si>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</si>
  <si>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</si>
  <si>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</si>
  <si>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</si>
  <si>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</si>
  <si>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</si>
  <si>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</si>
  <si>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</si>
  <si>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</si>
  <si>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</si>
  <si>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</si>
  <si>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</si>
  <si>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</si>
  <si>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</si>
  <si>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</si>
  <si>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</si>
  <si>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</si>
  <si>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</si>
  <si>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</si>
  <si>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</si>
  <si>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</si>
  <si>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</si>
  <si>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</si>
  <si>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</si>
  <si>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</si>
  <si>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</si>
  <si>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</si>
  <si>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</si>
  <si>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</si>
  <si>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</si>
  <si>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</si>
  <si>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</si>
  <si>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</si>
  <si>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</si>
  <si>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</si>
  <si>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</si>
  <si>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</si>
  <si>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</si>
  <si>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</si>
  <si>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</si>
  <si>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</si>
  <si>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</si>
  <si>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</si>
  <si>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</si>
  <si>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</si>
  <si>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</si>
  <si>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</si>
  <si>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</si>
  <si>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</si>
  <si>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</si>
  <si>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</si>
  <si>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</si>
  <si>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</si>
  <si>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</si>
  <si>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</si>
  <si>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</si>
  <si>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</si>
  <si>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</si>
  <si>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</si>
  <si>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</si>
  <si>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</si>
  <si>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</si>
  <si>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</si>
  <si>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</si>
  <si>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</si>
  <si>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</si>
  <si>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</si>
  <si>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</si>
  <si>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</si>
  <si>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</si>
  <si>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</si>
  <si>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</si>
  <si>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</si>
  <si>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</si>
  <si>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</si>
  <si>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</si>
  <si>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</si>
  <si>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</si>
  <si>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</si>
  <si>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</si>
  <si>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</si>
  <si>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</si>
  <si>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</si>
  <si>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</si>
  <si>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</si>
  <si>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</si>
  <si>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</si>
  <si>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</si>
  <si>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</si>
  <si>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</si>
  <si>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</si>
  <si>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</si>
  <si>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</si>
  <si>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</si>
  <si>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</si>
  <si>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</si>
  <si>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</si>
  <si>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</si>
  <si>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</si>
  <si>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</si>
  <si>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</si>
  <si>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</si>
  <si>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</si>
  <si>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</si>
  <si>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</si>
  <si>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</si>
  <si>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</si>
  <si>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</si>
  <si>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</si>
  <si>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</si>
  <si>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</si>
  <si>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</si>
  <si>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</si>
  <si>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</si>
  <si>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</si>
  <si>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</si>
  <si>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</si>
  <si>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</si>
  <si>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</si>
  <si>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</si>
  <si>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</si>
  <si>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</si>
  <si>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</si>
  <si>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</si>
  <si>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</si>
  <si>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</si>
  <si>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</si>
  <si>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</si>
  <si>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</si>
  <si>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</si>
  <si>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</si>
  <si>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</si>
  <si>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</si>
  <si>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</si>
  <si>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</si>
  <si>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</si>
  <si>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</si>
  <si>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</si>
  <si>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</si>
  <si>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</si>
  <si>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</si>
  <si>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</si>
  <si>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</si>
  <si>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</si>
  <si>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</si>
  <si>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</si>
  <si>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</si>
  <si>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</si>
  <si>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</si>
  <si>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</si>
  <si>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</si>
  <si>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</si>
  <si>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</si>
  <si>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</si>
  <si>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</si>
  <si>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</si>
  <si>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</si>
  <si>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</si>
  <si>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</si>
  <si>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</si>
  <si>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</si>
  <si>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</si>
  <si>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</si>
  <si>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</si>
  <si>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</si>
  <si>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</si>
  <si>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</si>
  <si>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</si>
  <si>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</si>
  <si>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</si>
  <si>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</si>
  <si>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</si>
  <si>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</si>
  <si>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</si>
  <si>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</si>
  <si>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</si>
  <si>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</si>
  <si>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</si>
  <si>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</si>
  <si>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</si>
  <si>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</si>
  <si>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</si>
  <si>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</si>
  <si>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</si>
  <si>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</si>
  <si>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</si>
  <si>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</si>
  <si>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</si>
  <si>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</si>
  <si>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</si>
  <si>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</si>
  <si>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</si>
  <si>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</si>
  <si>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</si>
  <si>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</si>
  <si>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</si>
  <si>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</si>
  <si>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</si>
  <si>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</si>
  <si>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</si>
  <si>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</si>
  <si>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</si>
  <si>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</si>
  <si>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</si>
  <si>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</si>
  <si>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</si>
  <si>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</si>
  <si>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</si>
  <si>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</si>
  <si>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</si>
  <si>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</si>
  <si>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</si>
  <si>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</si>
  <si>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</si>
  <si>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</si>
  <si>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</si>
  <si>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</si>
  <si>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</si>
  <si>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</si>
  <si>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</si>
  <si>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</si>
  <si>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</si>
  <si>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</si>
  <si>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</si>
  <si>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</si>
  <si>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</si>
  <si>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</si>
  <si>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</si>
  <si>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</si>
  <si>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</si>
  <si>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</si>
  <si>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</si>
  <si>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</si>
  <si>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</si>
  <si>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</si>
  <si>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</si>
  <si>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</si>
  <si>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</si>
  <si>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</si>
  <si>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</si>
  <si>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</si>
  <si>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</si>
  <si>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</si>
  <si>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</si>
  <si>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</si>
  <si>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</si>
  <si>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</si>
  <si>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</si>
  <si>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</si>
  <si>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</si>
  <si>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</si>
  <si>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</si>
  <si>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</si>
  <si>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</si>
  <si>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</si>
  <si>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</si>
  <si>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</si>
  <si>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</si>
  <si>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</si>
  <si>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</si>
  <si>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</si>
  <si>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</si>
  <si>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</si>
  <si>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</si>
  <si>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</si>
  <si>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</si>
  <si>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</si>
  <si>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</si>
  <si>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</si>
  <si>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</si>
  <si>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</si>
  <si>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</si>
  <si>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</si>
  <si>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</si>
  <si>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</si>
  <si>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</si>
  <si>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</si>
  <si>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</si>
  <si>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</si>
  <si>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</si>
  <si>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</si>
  <si>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</si>
  <si>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</si>
  <si>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</si>
  <si>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</si>
  <si>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</si>
  <si>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</si>
  <si>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</si>
  <si>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</si>
  <si>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</si>
  <si>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</si>
  <si>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</si>
  <si>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</si>
  <si>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</si>
  <si>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</si>
  <si>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</si>
  <si>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</si>
  <si>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</si>
  <si>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</si>
  <si>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</si>
  <si>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</si>
  <si>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</si>
  <si>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</si>
  <si>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</si>
  <si>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</si>
  <si>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</si>
  <si>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</si>
  <si>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</si>
  <si>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</si>
  <si>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</si>
  <si>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</si>
  <si>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</si>
  <si>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</si>
  <si>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</si>
  <si>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</si>
  <si>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</si>
  <si>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</si>
  <si>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</si>
  <si>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</si>
  <si>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</si>
  <si>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</si>
  <si>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</si>
  <si>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</si>
  <si>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</si>
  <si>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</si>
  <si>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</si>
  <si>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</si>
  <si>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</si>
  <si>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</si>
  <si>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</si>
  <si>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</si>
  <si>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</si>
  <si>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</si>
  <si>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</si>
  <si>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</si>
  <si>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</si>
  <si>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</si>
  <si>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</si>
  <si>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20.3%</t>
  </si>
  <si>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</si>
  <si>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</si>
  <si>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</si>
  <si>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</si>
  <si>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</si>
  <si>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</si>
  <si>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</si>
  <si>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</si>
  <si>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</si>
  <si>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</si>
  <si>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</si>
  <si>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</si>
  <si>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</si>
  <si>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</si>
  <si>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</si>
  <si>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</si>
  <si>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</si>
  <si>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</si>
  <si>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</si>
  <si>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</si>
  <si>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</si>
  <si>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</si>
  <si>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</si>
  <si>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</si>
  <si>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</si>
  <si>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</si>
  <si>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</si>
  <si>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</si>
  <si>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</si>
  <si>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</si>
  <si>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</si>
  <si>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</si>
  <si>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</si>
  <si>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</si>
  <si>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</si>
  <si>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</si>
  <si>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</si>
  <si>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</si>
  <si>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</si>
  <si>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</si>
  <si>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</si>
  <si>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</si>
  <si>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</si>
  <si>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</si>
  <si>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</si>
  <si>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</si>
  <si>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</si>
  <si>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</si>
  <si>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</si>
  <si>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</si>
  <si>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</si>
  <si>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</si>
  <si>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</si>
  <si>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</si>
  <si>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</si>
  <si>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</si>
  <si>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</si>
  <si>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</si>
  <si>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</si>
  <si>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</si>
  <si>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</si>
  <si>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</si>
  <si>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</si>
  <si>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</si>
  <si>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</si>
  <si>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</si>
  <si>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</si>
  <si>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</si>
  <si>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</si>
  <si>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</si>
  <si>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</si>
  <si>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</si>
  <si>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</si>
  <si>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</si>
  <si>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</si>
  <si>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</si>
  <si>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</si>
  <si>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</si>
  <si>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</si>
  <si>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</si>
  <si>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</si>
  <si>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</si>
  <si>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</si>
  <si>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</si>
  <si>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</si>
  <si>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</si>
  <si>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</si>
  <si>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</si>
  <si>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</si>
  <si>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</si>
  <si>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</si>
  <si>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</si>
  <si>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</si>
  <si>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</si>
  <si>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</si>
  <si>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</si>
  <si>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</si>
  <si>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</si>
  <si>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</si>
  <si>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</si>
  <si>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</si>
  <si>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</si>
  <si>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</si>
  <si>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</si>
  <si>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</si>
  <si>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</si>
  <si>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</si>
  <si>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</si>
  <si>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</si>
  <si>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</si>
  <si>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</si>
  <si>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</si>
  <si>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</si>
  <si>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</si>
  <si>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$ 4,569,228
$ 12,800,000
$ 4,926,921</t>
  </si>
  <si>
    <t>$ 1,142,307
$ 3,284,614
$ 6,569,228</t>
  </si>
  <si>
    <t>$ 8.655.000
$ 1.142.307
$ 3,284,614</t>
  </si>
  <si>
    <t>$ 4.569.228
$ 4.926.921</t>
  </si>
  <si>
    <t>$ 1.142.307
$ 6.569.228</t>
  </si>
  <si>
    <t xml:space="preserve">$ 8.655.000
$ 32,355,000
$ 52.735.000
$ 88.229.666
</t>
  </si>
  <si>
    <t xml:space="preserve">$ 226,000,000
$ 2,284,614
</t>
  </si>
  <si>
    <t>$ 85.655.000
$ 4,569,228</t>
  </si>
  <si>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</si>
  <si>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</si>
  <si>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</si>
  <si>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</si>
  <si>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</si>
  <si>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t xml:space="preserve">$ 19,494,000
$ 12,540,000
$27,950,000
$ 42.833.333
$ 150.000.000 </t>
  </si>
  <si>
    <t xml:space="preserve">$ 540.000.00
$ 71.274.000
$ 132.200.000
$ 150.000.000 </t>
  </si>
  <si>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</si>
  <si>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</si>
  <si>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</si>
  <si>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</si>
  <si>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</si>
  <si>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</si>
  <si>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</si>
  <si>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</si>
  <si>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t>$ 54.000.000
$ 7.600.000</t>
  </si>
  <si>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</si>
  <si>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</si>
  <si>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</si>
  <si>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</si>
  <si>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</si>
  <si>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</si>
  <si>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</si>
  <si>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</si>
  <si>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</si>
  <si>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</si>
  <si>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</si>
  <si>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</si>
  <si>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</si>
  <si>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</si>
  <si>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</si>
  <si>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</si>
  <si>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</si>
  <si>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</si>
  <si>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</si>
  <si>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</si>
  <si>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</si>
  <si>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</si>
  <si>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</si>
  <si>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</si>
  <si>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</si>
  <si>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</si>
  <si>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</si>
  <si>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</si>
  <si>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</si>
  <si>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</si>
  <si>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</si>
  <si>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</si>
  <si>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</si>
  <si>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</si>
  <si>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</si>
  <si>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</si>
  <si>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</si>
  <si>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</si>
  <si>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</si>
  <si>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</si>
  <si>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</si>
  <si>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</si>
  <si>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</si>
  <si>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</si>
  <si>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</si>
  <si>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</si>
  <si>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</si>
  <si>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</si>
  <si>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</si>
  <si>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</si>
  <si>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</si>
  <si>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</si>
  <si>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</si>
  <si>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</si>
  <si>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</si>
  <si>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</si>
  <si>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</si>
  <si>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</si>
  <si>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</si>
  <si>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</si>
  <si>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</si>
  <si>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</si>
  <si>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</si>
  <si>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</si>
  <si>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</si>
  <si>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</si>
  <si>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</si>
  <si>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</si>
  <si>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</si>
  <si>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</si>
  <si>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</si>
  <si>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</si>
  <si>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</si>
  <si>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</si>
  <si>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</si>
  <si>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</si>
  <si>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</si>
  <si>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</si>
  <si>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</si>
  <si>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</si>
  <si>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</si>
  <si>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</si>
  <si>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</si>
  <si>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</si>
  <si>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</si>
  <si>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</si>
  <si>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</si>
  <si>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</si>
  <si>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</si>
  <si>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</si>
  <si>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</si>
  <si>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</si>
  <si>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</si>
  <si>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</si>
  <si>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</si>
  <si>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</si>
  <si>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</si>
  <si>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</si>
  <si>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</si>
  <si>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</si>
  <si>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</si>
  <si>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</si>
  <si>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</si>
  <si>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</si>
  <si>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</si>
  <si>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</si>
  <si>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</si>
  <si>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</si>
  <si>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</si>
  <si>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</si>
  <si>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</si>
  <si>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</si>
  <si>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</si>
  <si>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</si>
  <si>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</si>
  <si>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</si>
  <si>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</si>
  <si>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</si>
  <si>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</si>
  <si>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</si>
  <si>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</si>
  <si>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</si>
  <si>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</si>
  <si>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</si>
  <si>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</si>
  <si>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</si>
  <si>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</si>
  <si>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</si>
  <si>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</si>
  <si>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</si>
  <si>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</si>
  <si>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</si>
  <si>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</si>
  <si>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</si>
  <si>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</si>
  <si>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</si>
  <si>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</si>
  <si>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</si>
  <si>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</si>
  <si>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</si>
  <si>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</si>
  <si>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</si>
  <si>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</si>
  <si>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</si>
  <si>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</si>
  <si>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</si>
  <si>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</si>
  <si>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</si>
  <si>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</si>
  <si>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</si>
  <si>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</si>
  <si>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</si>
  <si>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</si>
  <si>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</si>
  <si>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</si>
  <si>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</si>
  <si>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</si>
  <si>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</si>
  <si>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</si>
  <si>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</si>
  <si>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</si>
  <si>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</si>
  <si>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</si>
  <si>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</si>
  <si>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</si>
  <si>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</si>
  <si>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</si>
  <si>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</si>
  <si>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</si>
  <si>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</si>
  <si>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</si>
  <si>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</si>
  <si>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</si>
  <si>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</si>
  <si>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</si>
  <si>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</si>
  <si>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</si>
  <si>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</si>
  <si>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</si>
  <si>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</si>
  <si>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</si>
  <si>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</si>
  <si>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</si>
  <si>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</si>
  <si>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</si>
  <si>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</si>
  <si>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</si>
  <si>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</si>
  <si>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</si>
  <si>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</si>
  <si>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</si>
  <si>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</si>
  <si>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</si>
  <si>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</si>
  <si>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</si>
  <si>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</si>
  <si>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</si>
  <si>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</si>
  <si>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</si>
  <si>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</si>
  <si>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</si>
  <si>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</si>
  <si>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</si>
  <si>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</si>
  <si>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</si>
  <si>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</si>
  <si>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</si>
  <si>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</si>
  <si>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</si>
  <si>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</si>
  <si>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</si>
  <si>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</si>
  <si>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</si>
  <si>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</si>
  <si>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</si>
  <si>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</si>
  <si>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</si>
  <si>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</si>
  <si>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</si>
  <si>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</si>
  <si>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</si>
  <si>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</si>
  <si>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</si>
  <si>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</si>
  <si>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</si>
  <si>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</si>
  <si>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</si>
  <si>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</si>
  <si>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</si>
  <si>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</si>
  <si>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</si>
  <si>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</si>
  <si>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</si>
  <si>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</si>
  <si>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</si>
  <si>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</si>
  <si>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</si>
  <si>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</si>
  <si>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</si>
  <si>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</si>
  <si>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</si>
  <si>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</si>
  <si>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</si>
  <si>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</si>
  <si>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</si>
  <si>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</si>
  <si>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</si>
  <si>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</si>
  <si>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</si>
  <si>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</si>
  <si>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</si>
  <si>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</si>
  <si>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</si>
  <si>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</si>
  <si>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</si>
  <si>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</si>
  <si>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</si>
  <si>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</si>
  <si>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</si>
  <si>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</si>
  <si>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</si>
  <si>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</si>
  <si>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</si>
  <si>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</si>
  <si>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</si>
  <si>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</si>
  <si>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</si>
  <si>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</si>
  <si>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</si>
  <si>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</si>
  <si>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</si>
  <si>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</si>
  <si>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</si>
  <si>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</si>
  <si>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</si>
  <si>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</si>
  <si>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</si>
  <si>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</si>
  <si>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</si>
  <si>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</si>
  <si>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</si>
  <si>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</si>
  <si>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</si>
  <si>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</si>
  <si>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</si>
  <si>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</si>
  <si>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</si>
  <si>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</si>
  <si>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</si>
  <si>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</si>
  <si>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</si>
  <si>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</si>
  <si>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</si>
  <si>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</si>
  <si>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</si>
  <si>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</si>
  <si>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</si>
  <si>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</si>
  <si>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</si>
  <si>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</si>
  <si>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</si>
  <si>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</si>
  <si>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</si>
  <si>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</si>
  <si>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</si>
  <si>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</si>
  <si>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</si>
  <si>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</si>
  <si>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</si>
  <si>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</si>
  <si>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</si>
  <si>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</si>
  <si>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</si>
  <si>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</si>
  <si>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</si>
  <si>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</si>
  <si>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</si>
  <si>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</si>
  <si>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17.5%</t>
  </si>
  <si>
    <t>3.82%</t>
  </si>
  <si>
    <t>48.5%</t>
  </si>
  <si>
    <t>45.9%</t>
  </si>
  <si>
    <t>7.56%</t>
  </si>
  <si>
    <t>por debajo de la tasa nacional</t>
  </si>
  <si>
    <t>por debajo de la prevalencia nacional</t>
  </si>
  <si>
    <t>AVANCE DE CUMPLIMIENTO TOTAL</t>
  </si>
  <si>
    <t>Avance total cumplimiento PPJ</t>
  </si>
  <si>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</si>
  <si>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</si>
  <si>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</si>
  <si>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</si>
  <si>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</si>
  <si>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</si>
  <si>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</si>
  <si>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</si>
  <si>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</si>
  <si>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</si>
  <si>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</si>
  <si>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</si>
  <si>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</si>
  <si>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</si>
  <si>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</si>
  <si>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</si>
  <si>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</si>
  <si>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</si>
  <si>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</si>
  <si>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</si>
  <si>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</si>
  <si>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</si>
  <si>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</si>
  <si>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</si>
  <si>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</si>
  <si>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</si>
  <si>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</si>
  <si>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</si>
  <si>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</si>
  <si>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</si>
  <si>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</si>
  <si>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</si>
  <si>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</si>
  <si>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</si>
  <si>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</si>
  <si>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</si>
  <si>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</si>
  <si>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</si>
  <si>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</si>
  <si>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</si>
  <si>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</si>
  <si>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</si>
  <si>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</si>
  <si>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</si>
  <si>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</si>
  <si>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</si>
  <si>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</si>
  <si>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</si>
  <si>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</si>
  <si>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</si>
  <si>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</si>
  <si>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</si>
  <si>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</si>
  <si>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</si>
  <si>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</si>
  <si>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</si>
  <si>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</si>
  <si>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</si>
  <si>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</si>
  <si>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</si>
  <si>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</si>
  <si>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</si>
  <si>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</si>
  <si>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</si>
  <si>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</si>
  <si>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</si>
  <si>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</si>
  <si>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</si>
  <si>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</si>
  <si>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</si>
  <si>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</si>
  <si>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</si>
  <si>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</si>
  <si>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</si>
  <si>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</si>
  <si>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</si>
  <si>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</si>
  <si>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</si>
  <si>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</si>
  <si>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</si>
  <si>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</si>
  <si>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</si>
  <si>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</si>
  <si>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</si>
  <si>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</si>
  <si>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</si>
  <si>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</si>
  <si>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</si>
  <si>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</si>
  <si>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</si>
  <si>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</si>
  <si>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</si>
  <si>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</si>
  <si>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</si>
  <si>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</si>
  <si>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</si>
  <si>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</si>
  <si>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</si>
  <si>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</si>
  <si>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</si>
  <si>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</si>
  <si>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</si>
  <si>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</si>
  <si>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</si>
  <si>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</si>
  <si>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</si>
  <si>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</si>
  <si>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</si>
  <si>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</si>
  <si>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
</t>
    </r>
    <r>
      <rPr>
        <b/>
        <sz val="10"/>
        <rFont val="Calibri"/>
        <family val="2"/>
        <scheme val="minor"/>
      </rPr>
      <t xml:space="preserve">Secretaría de Salud: </t>
    </r>
    <r>
      <rPr>
        <sz val="10"/>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</si>
  <si>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rFont val="Calibri"/>
        <family val="2"/>
        <scheme val="minor"/>
      </rPr>
      <t xml:space="preserve">Secretaría de Salud:  </t>
    </r>
    <r>
      <rPr>
        <sz val="10"/>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</si>
  <si>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rFont val="Calibri"/>
        <family val="2"/>
        <scheme val="minor"/>
      </rPr>
      <t xml:space="preserve">Secretaría de Salud: </t>
    </r>
    <r>
      <rPr>
        <sz val="10"/>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</si>
  <si>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r>
      <t xml:space="preserve">Indeportes: </t>
    </r>
    <r>
      <rPr>
        <sz val="10"/>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en el municipio de Córdoba Quindío se garantiza el funcionamiento de 6 escuelas de formación como : futbol, fútbol de salón ,ciclismo,  natación, basquetbol y patinaje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</si>
  <si>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</si>
  <si>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 (2022).
</t>
    </r>
  </si>
  <si>
    <r>
      <rPr>
        <b/>
        <sz val="10"/>
        <rFont val="Calibri"/>
        <family val="2"/>
        <scheme val="minor"/>
      </rPr>
      <t xml:space="preserve">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r>
      <rPr>
        <b/>
        <sz val="10"/>
        <rFont val="Calibri"/>
        <family val="2"/>
        <scheme val="minor"/>
      </rPr>
      <t xml:space="preserve">
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</si>
  <si>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</si>
  <si>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 xml:space="preserve">
</t>
    </r>
    <r>
      <rPr>
        <b/>
        <sz val="10"/>
        <rFont val="Calibri"/>
        <family val="2"/>
        <scheme val="minor"/>
      </rPr>
      <t>Secretaría de Familia:</t>
    </r>
    <r>
      <rPr>
        <sz val="10"/>
        <rFont val="Calibri"/>
        <family val="2"/>
        <scheme val="minor"/>
      </rPr>
      <t xml:space="preserve"> La Secretaría de Familia reporta la existencia de 12 espacios de participación los cuales tienen dentro de sus funciones hacer control social a lo público. Además,  La Secretaría de Familia reporta  que los consejos y las plataformas de juventud, tienen dentro de sus funciones hacer control social a lo público.
</t>
    </r>
  </si>
  <si>
    <t>12</t>
  </si>
  <si>
    <t>11.5%</t>
  </si>
  <si>
    <t>3.41%</t>
  </si>
  <si>
    <t>54.3%</t>
  </si>
  <si>
    <t>|</t>
  </si>
  <si>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Universidad del Quindío:</t>
    </r>
    <r>
      <rPr>
        <sz val="10"/>
        <rFont val="Calibri"/>
        <family val="2"/>
        <scheme val="minor"/>
      </rPr>
      <t xml:space="preserve"> Asesorías en la instalación, siembra y cuidado de huertos orgánicos, sostenibles y rentables, asesorías en la elaboración de planes de negocio y capacitaciones en emprendimiento.</t>
    </r>
    <r>
      <rPr>
        <b/>
        <sz val="10"/>
        <rFont val="Calibri"/>
        <family val="2"/>
        <scheme val="minor"/>
      </rPr>
      <t xml:space="preserve">
</t>
    </r>
    <r>
      <rPr>
        <sz val="10"/>
        <rFont val="Calibri"/>
        <family val="2"/>
        <scheme val="minor"/>
      </rPr>
      <t xml:space="preserve">Numero de joveres rurales beneficiados: 59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</si>
  <si>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Circasia:</t>
    </r>
    <r>
      <rPr>
        <sz val="10"/>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</si>
  <si>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La Secretaría   está desarrollando los consejos descentralizados de cultura en los diferentes municipios del Quindío, en el que cada Director de casa de la cultura organiza la presentación de eventos artísticos en su localidad, y son puestos en escena en diferentes lugares del municipio, en el que han tenido buena  participación Juvenil en géneros con eventos de chirimía, bailes de danza folclórica, hip hop  y coros. A la fecha se han realizado en 3 municipios Salento, Filandia y Calarcá   contando con una participación juvenil  en 7 producciones artísticas </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</si>
  <si>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 xml:space="preserve"> En este momento se dió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</si>
  <si>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t>Secretaría de Planeación</t>
    </r>
    <r>
      <rPr>
        <sz val="10"/>
        <rFont val="Calibri"/>
        <family val="2"/>
        <scheme val="minor"/>
      </rPr>
      <t>: Para la vigencia 2024 no se llevará a cabo el proceso de Rendición de Cuentas ya que este se realiza a partir del siguiente año de inicio de gobierno, de conformidad con la Ordenanza Nro. 010 del 24 de julio de 2019, "Por medio de la cual se subroga la Ordenanza 044 de 2009 “Por medio de la cual establece el procedimiento para la Rendición de Cuentas Públicas y Visibilidad de la Administración Departamental en el Quindío”</t>
    </r>
  </si>
  <si>
    <t>2024 ll TRIMESTRE</t>
  </si>
  <si>
    <r>
      <rPr>
        <b/>
        <sz val="10"/>
        <color theme="1"/>
        <rFont val="Calibri"/>
        <family val="2"/>
        <scheme val="minor"/>
      </rPr>
      <t>Alcaldía de Circasia:</t>
    </r>
    <r>
      <rPr>
        <sz val="10"/>
        <color theme="1"/>
        <rFont val="Calibri"/>
        <family val="2"/>
        <scheme val="minor"/>
      </rPr>
      <t xml:space="preserve"> Cuenta con el Acuerdo Municipal 011 del 29 de mayo de 2015, que adopta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adopta la Política Pública de Juventud Municipal "Salento para la Juventud" 2017-2027.
</t>
    </r>
    <r>
      <rPr>
        <b/>
        <sz val="10"/>
        <color theme="1"/>
        <rFont val="Calibri"/>
        <family val="2"/>
        <scheme val="minor"/>
      </rPr>
      <t>Alcaldía de Quimbaya:</t>
    </r>
    <r>
      <rPr>
        <sz val="10"/>
        <color theme="1"/>
        <rFont val="Calibri"/>
        <family val="2"/>
        <scheme val="minor"/>
      </rPr>
      <t xml:space="preserve"> La Política Pública Municipal de Juventud de Quimbaya, se encuentra adoptada y se está implementando.
</t>
    </r>
    <r>
      <rPr>
        <b/>
        <sz val="10"/>
        <color theme="1"/>
        <rFont val="Calibri"/>
        <family val="2"/>
        <scheme val="minor"/>
      </rPr>
      <t xml:space="preserve">Alcaldía de Buenavista: </t>
    </r>
    <r>
      <rPr>
        <sz val="10"/>
        <color theme="1"/>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color theme="1"/>
        <rFont val="Calibri"/>
        <family val="2"/>
        <scheme val="minor"/>
      </rPr>
      <t>Alcaldía de La Tebaida:</t>
    </r>
    <r>
      <rPr>
        <sz val="10"/>
        <color theme="1"/>
        <rFont val="Calibri"/>
        <family val="2"/>
        <scheme val="minor"/>
      </rPr>
      <t xml:space="preserve"> Política Pública formulada desde el 2019, actualmente se evaluó y se rindió informe en Asamblea de Juventud.
</t>
    </r>
    <r>
      <rPr>
        <b/>
        <sz val="10"/>
        <color theme="1"/>
        <rFont val="Calibri"/>
        <family val="2"/>
        <scheme val="minor"/>
      </rPr>
      <t>Alcaldía de Armenia:</t>
    </r>
    <r>
      <rPr>
        <sz val="10"/>
        <color theme="1"/>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color theme="1"/>
        <rFont val="Calibri"/>
        <family val="2"/>
        <scheme val="minor"/>
      </rPr>
      <t>Alcaldía de Montenegro:</t>
    </r>
    <r>
      <rPr>
        <sz val="10"/>
        <color theme="1"/>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color theme="1"/>
        <rFont val="Calibri"/>
        <family val="2"/>
        <scheme val="minor"/>
      </rPr>
      <t>Alcaldía de Filandia:</t>
    </r>
    <r>
      <rPr>
        <sz val="10"/>
        <color theme="1"/>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color theme="1"/>
        <rFont val="Calibri"/>
        <family val="2"/>
        <scheme val="minor"/>
      </rPr>
      <t>Alcaldía de Pijao:</t>
    </r>
    <r>
      <rPr>
        <sz val="10"/>
        <color theme="1"/>
        <rFont val="Calibri"/>
        <family val="2"/>
        <scheme val="minor"/>
      </rPr>
      <t xml:space="preserve"> La Política se encuentra en proceso de formulación, es importante resaltar que existe el acuerdo 007 de 2009 que crea el Consejo Municipal de Juventud.
</t>
    </r>
    <r>
      <rPr>
        <b/>
        <sz val="10"/>
        <color theme="1"/>
        <rFont val="Calibri"/>
        <family val="2"/>
        <scheme val="minor"/>
      </rPr>
      <t>Alcaldía de Córdoba:</t>
    </r>
    <r>
      <rPr>
        <sz val="10"/>
        <color theme="1"/>
        <rFont val="Calibri"/>
        <family val="2"/>
        <scheme val="minor"/>
      </rPr>
      <t xml:space="preserve"> No cuenta con la Politica publica de Juventud, sin embargo se esta programando la construcción de la misma.
</t>
    </r>
    <r>
      <rPr>
        <b/>
        <sz val="10"/>
        <color theme="1"/>
        <rFont val="Calibri"/>
        <family val="2"/>
        <scheme val="minor"/>
      </rPr>
      <t>Alcaldía Calarcá:</t>
    </r>
    <r>
      <rPr>
        <sz val="10"/>
        <color theme="1"/>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color theme="1"/>
        <rFont val="Calibri"/>
        <family val="2"/>
        <scheme val="minor"/>
      </rPr>
      <t>Secretaría de Familia:</t>
    </r>
    <r>
      <rPr>
        <sz val="10"/>
        <color theme="1"/>
        <rFont val="Calibri"/>
        <family val="2"/>
        <scheme val="minor"/>
      </rPr>
      <t xml:space="preserve"> Reporta que ocho de los doce municipios del Quindío, cuentan con Política Pública de Juventud formulada e implementada.</t>
    </r>
  </si>
  <si>
    <r>
      <rPr>
        <b/>
        <sz val="10"/>
        <color theme="1"/>
        <rFont val="Calibri"/>
        <family val="2"/>
        <scheme val="minor"/>
      </rPr>
      <t xml:space="preserve">Secretaría de Familia: </t>
    </r>
    <r>
      <rPr>
        <sz val="10"/>
        <color theme="1"/>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color theme="1"/>
        <rFont val="Calibri"/>
        <family val="2"/>
        <scheme val="minor"/>
      </rPr>
      <t xml:space="preserve">
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color theme="1"/>
        <rFont val="Calibri"/>
        <family val="2"/>
        <scheme val="minor"/>
      </rPr>
      <t>Alcaldía La  Tebaida:</t>
    </r>
    <r>
      <rPr>
        <sz val="10"/>
        <color theme="1"/>
        <rFont val="Calibri"/>
        <family val="2"/>
        <scheme val="minor"/>
      </rPr>
      <t xml:space="preserve"> La Administración Municipal, cuenta Política Pública formulada y adoptada mediante el acuerdo municipal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el acuerdo municipal 016 de 2019.
</t>
    </r>
    <r>
      <rPr>
        <b/>
        <sz val="10"/>
        <color theme="1"/>
        <rFont val="Calibri"/>
        <family val="2"/>
        <scheme val="minor"/>
      </rPr>
      <t>Alcaldía de Buenavista</t>
    </r>
    <r>
      <rPr>
        <sz val="10"/>
        <color theme="1"/>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de Montenegro cuenta con Política Pública de Juventud, la cual fue adoptada  bajo el acuerdo 07 de septiembre de 2022, al momento se encuentra en ejecución.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municipal.
</t>
    </r>
    <r>
      <rPr>
        <b/>
        <sz val="10"/>
        <color theme="1"/>
        <rFont val="Calibri"/>
        <family val="2"/>
        <scheme val="minor"/>
      </rPr>
      <t xml:space="preserve">Alcaldía de Pijao: </t>
    </r>
    <r>
      <rPr>
        <sz val="10"/>
        <color theme="1"/>
        <rFont val="Calibri"/>
        <family val="2"/>
        <scheme val="minor"/>
      </rPr>
      <t xml:space="preserve">No cuenta con Política Pública.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El Municipio cuenta con la Política Pública de Juventudes "LOS JÓVENES SOMOS EL CAMBIO" adopata mediante el acuerdo municipal 019 del 06 de septiembre de 2018. 
</t>
    </r>
  </si>
  <si>
    <r>
      <rPr>
        <b/>
        <sz val="10"/>
        <color theme="1"/>
        <rFont val="Calibri"/>
        <family val="2"/>
        <scheme val="minor"/>
      </rPr>
      <t xml:space="preserve">Secretaría de Familia: </t>
    </r>
    <r>
      <rPr>
        <sz val="10"/>
        <color theme="1"/>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color theme="1"/>
        <rFont val="Calibri"/>
        <family val="2"/>
        <scheme val="minor"/>
      </rPr>
      <t xml:space="preserve">
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color theme="1"/>
        <rFont val="Calibri"/>
        <family val="2"/>
        <scheme val="minor"/>
      </rPr>
      <t>Alcaldía La  Tebaida:</t>
    </r>
    <r>
      <rPr>
        <sz val="10"/>
        <color theme="1"/>
        <rFont val="Calibri"/>
        <family val="2"/>
        <scheme val="minor"/>
      </rPr>
      <t xml:space="preserve"> La Administración Municipal, cuenta Política Pública formulada y adoptada mediante el acuerdo municipal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el acuerdo municipal 016 de 2019.
</t>
    </r>
    <r>
      <rPr>
        <b/>
        <sz val="10"/>
        <color theme="1"/>
        <rFont val="Calibri"/>
        <family val="2"/>
        <scheme val="minor"/>
      </rPr>
      <t>Alcaldía de Buenavista</t>
    </r>
    <r>
      <rPr>
        <sz val="10"/>
        <color theme="1"/>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de Montenegro cuenta con Política Pública de Juventud, la cual fue adoptada  bajo el acuerdo 07 de septiembre de 2022, al momento se encuentra en ejecución.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municipal.
</t>
    </r>
    <r>
      <rPr>
        <b/>
        <sz val="10"/>
        <color theme="1"/>
        <rFont val="Calibri"/>
        <family val="2"/>
        <scheme val="minor"/>
      </rPr>
      <t xml:space="preserve">Alcaldía de Pijao: </t>
    </r>
    <r>
      <rPr>
        <sz val="10"/>
        <color theme="1"/>
        <rFont val="Calibri"/>
        <family val="2"/>
        <scheme val="minor"/>
      </rPr>
      <t xml:space="preserve">No cuenta con Política Pública.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El Municipio cuenta con la Política Pública de Juventudes "LOS JÓVENES SOMOS EL CAMBIO" adopata mediante el acuerdo municipal 019 del 06 de septiembre de 2018. 
</t>
    </r>
  </si>
  <si>
    <r>
      <t xml:space="preserve">Alcaldía de Salento: </t>
    </r>
    <r>
      <rPr>
        <sz val="10"/>
        <color theme="1"/>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color theme="1"/>
        <rFont val="Calibri"/>
        <family val="2"/>
        <scheme val="minor"/>
      </rPr>
      <t>Alcaldía Calarcá:</t>
    </r>
    <r>
      <rPr>
        <sz val="10"/>
        <color theme="1"/>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formulación de la Política Pública de Juventud y dinamización de los espacios de participación. 
</t>
    </r>
    <r>
      <rPr>
        <b/>
        <sz val="10"/>
        <color theme="1"/>
        <rFont val="Calibri"/>
        <family val="2"/>
        <scheme val="minor"/>
      </rPr>
      <t>Alcaldía de La Tebaida:</t>
    </r>
    <r>
      <rPr>
        <sz val="10"/>
        <color theme="1"/>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color theme="1"/>
        <rFont val="Calibri"/>
        <family val="2"/>
        <scheme val="minor"/>
      </rPr>
      <t>Alcaldía de Filandia</t>
    </r>
    <r>
      <rPr>
        <sz val="10"/>
        <color theme="1"/>
        <rFont val="Calibri"/>
        <family val="2"/>
        <scheme val="minor"/>
      </rPr>
      <t xml:space="preserve">: Contratación por prestación de servicios de una Trabajadora Social que se desempeña como Enlace Municipal de Juventud de la Alcaldía de Filandia.
</t>
    </r>
    <r>
      <rPr>
        <b/>
        <sz val="10"/>
        <color theme="1"/>
        <rFont val="Calibri"/>
        <family val="2"/>
        <scheme val="minor"/>
      </rPr>
      <t>Alcaldía de Armenia</t>
    </r>
    <r>
      <rPr>
        <sz val="10"/>
        <color theme="1"/>
        <rFont val="Calibri"/>
        <family val="2"/>
        <scheme val="minor"/>
      </rPr>
      <t xml:space="preserve">: Se tiene previsto la creación de la oficina de Secretaría de Familia para el año 2021 donde se tiene establecido la oficina correspondiente de juventudes.
</t>
    </r>
    <r>
      <rPr>
        <b/>
        <sz val="10"/>
        <color theme="1"/>
        <rFont val="Calibri"/>
        <family val="2"/>
        <scheme val="minor"/>
      </rPr>
      <t>Secretaría de Familia: R</t>
    </r>
    <r>
      <rPr>
        <sz val="10"/>
        <color theme="1"/>
        <rFont val="Calibri"/>
        <family val="2"/>
        <scheme val="minor"/>
      </rPr>
      <t xml:space="preserve">esponde que a la fecha, todos los entes territoriales cuentan con un enlace con funciones orientadas a la atención de juventud.
</t>
    </r>
    <r>
      <rPr>
        <b/>
        <sz val="10"/>
        <color theme="1"/>
        <rFont val="Calibri"/>
        <family val="2"/>
        <scheme val="minor"/>
      </rPr>
      <t xml:space="preserve">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Cordoba: </t>
    </r>
    <r>
      <rPr>
        <sz val="10"/>
        <color theme="1"/>
        <rFont val="Calibri"/>
        <family val="2"/>
        <scheme val="minor"/>
      </rPr>
      <t>La Administración Municipal cuenta con el enlace de juventud mediante contrato de prestación de servicios.</t>
    </r>
  </si>
  <si>
    <r>
      <t xml:space="preserve">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color theme="1"/>
        <rFont val="Calibri"/>
        <family val="2"/>
        <scheme val="minor"/>
      </rPr>
      <t xml:space="preserve">
Alcaldía de Salento: </t>
    </r>
    <r>
      <rPr>
        <sz val="10"/>
        <color theme="1"/>
        <rFont val="Calibri"/>
        <family val="2"/>
        <scheme val="minor"/>
      </rPr>
      <t xml:space="preserve">Actualmente el municipio de Salento cuenta con Enlace de Juventud, el cual está a cargo de la Subsecretaría de Cultura y Deporte.
</t>
    </r>
    <r>
      <rPr>
        <b/>
        <sz val="10"/>
        <color theme="1"/>
        <rFont val="Calibri"/>
        <family val="2"/>
        <scheme val="minor"/>
      </rPr>
      <t xml:space="preserve">Alcaldía Armenia: </t>
    </r>
    <r>
      <rPr>
        <sz val="10"/>
        <color theme="1"/>
        <rFont val="Calibri"/>
        <family val="2"/>
        <scheme val="minor"/>
      </rPr>
      <t>programa juventud pa todos desde la secretaria de desarrollo social la cual cuenta con 4 contratistas.</t>
    </r>
    <r>
      <rPr>
        <b/>
        <sz val="10"/>
        <color theme="1"/>
        <rFont val="Calibri"/>
        <family val="2"/>
        <scheme val="minor"/>
      </rPr>
      <t xml:space="preserve">
Alcaldía Calarcá: </t>
    </r>
    <r>
      <rPr>
        <sz val="10"/>
        <color theme="1"/>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color theme="1"/>
        <rFont val="Calibri"/>
        <family val="2"/>
        <scheme val="minor"/>
      </rPr>
      <t xml:space="preserve">
Alcaldía Quimbaya: </t>
    </r>
    <r>
      <rPr>
        <sz val="10"/>
        <color theme="1"/>
        <rFont val="Calibri"/>
        <family val="2"/>
        <scheme val="minor"/>
      </rPr>
      <t xml:space="preserve">El Municipio de Quimbaya cuenta con el profesional universitario de atención a grupos vulnerables, el cual es el encargado de supervisar el proyecto de juventud. </t>
    </r>
    <r>
      <rPr>
        <b/>
        <sz val="10"/>
        <color theme="1"/>
        <rFont val="Calibri"/>
        <family val="2"/>
        <scheme val="minor"/>
      </rPr>
      <t xml:space="preserve">
Alcaldía de Montenegro:</t>
    </r>
    <r>
      <rPr>
        <sz val="10"/>
        <color theme="1"/>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Buenavista: N</t>
    </r>
    <r>
      <rPr>
        <sz val="10"/>
        <color theme="1"/>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color theme="1"/>
        <rFont val="Calibri"/>
        <family val="2"/>
        <scheme val="minor"/>
      </rPr>
      <t xml:space="preserve">Alcaldía Tebaida: </t>
    </r>
    <r>
      <rPr>
        <sz val="10"/>
        <color theme="1"/>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color theme="1"/>
        <rFont val="Calibri"/>
        <family val="2"/>
        <scheme val="minor"/>
      </rPr>
      <t xml:space="preserve">
Alcaldía de Córdoba: </t>
    </r>
    <r>
      <rPr>
        <sz val="10"/>
        <color theme="1"/>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</si>
  <si>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t xml:space="preserve">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SOLAMENTE, el Departamento del Quindío cuenta con la Oficina de Juventud. 
</t>
    </r>
    <r>
      <rPr>
        <b/>
        <sz val="10"/>
        <color theme="1"/>
        <rFont val="Calibri"/>
        <family val="2"/>
        <scheme val="minor"/>
      </rPr>
      <t xml:space="preserve">Alcaldía de Circasia: </t>
    </r>
    <r>
      <rPr>
        <sz val="10"/>
        <color theme="1"/>
        <rFont val="Calibri"/>
        <family val="2"/>
        <scheme val="minor"/>
      </rPr>
      <t>No se cuenta con oficina de juventud pero cuenta con Enlace Municipal de Juventudes.</t>
    </r>
    <r>
      <rPr>
        <b/>
        <sz val="10"/>
        <color theme="1"/>
        <rFont val="Calibri"/>
        <family val="2"/>
        <scheme val="minor"/>
      </rPr>
      <t xml:space="preserve">
Alcaldía de Salento: </t>
    </r>
    <r>
      <rPr>
        <sz val="10"/>
        <color theme="1"/>
        <rFont val="Calibri"/>
        <family val="2"/>
        <scheme val="minor"/>
      </rPr>
      <t xml:space="preserve">Actualmente el municipio de Salento cuenta con Enlace de Juventud, el cual está a cargo de la Subsecretaría de Cultura y Deporte.
</t>
    </r>
    <r>
      <rPr>
        <b/>
        <sz val="10"/>
        <color theme="1"/>
        <rFont val="Calibri"/>
        <family val="2"/>
        <scheme val="minor"/>
      </rPr>
      <t xml:space="preserve">Alcaldía Armenia: </t>
    </r>
    <r>
      <rPr>
        <sz val="10"/>
        <color theme="1"/>
        <rFont val="Calibri"/>
        <family val="2"/>
        <scheme val="minor"/>
      </rPr>
      <t>programa juventud pa todos desde la secretaria de desarrollo social la cual cuenta con 4 contratistas.</t>
    </r>
    <r>
      <rPr>
        <b/>
        <sz val="10"/>
        <color theme="1"/>
        <rFont val="Calibri"/>
        <family val="2"/>
        <scheme val="minor"/>
      </rPr>
      <t xml:space="preserve">
Alcaldía Quimbaya: </t>
    </r>
    <r>
      <rPr>
        <sz val="10"/>
        <color theme="1"/>
        <rFont val="Calibri"/>
        <family val="2"/>
        <scheme val="minor"/>
      </rPr>
      <t xml:space="preserve">El Municipio de Quimbaya cuenta con el profesional universitario de atención a grupos vulnerables, el cual es el encargado de supervisar el proyecto de juventud. </t>
    </r>
    <r>
      <rPr>
        <b/>
        <sz val="10"/>
        <color theme="1"/>
        <rFont val="Calibri"/>
        <family val="2"/>
        <scheme val="minor"/>
      </rPr>
      <t xml:space="preserve">
Alcaldía de Montenegro:</t>
    </r>
    <r>
      <rPr>
        <sz val="10"/>
        <color theme="1"/>
        <rFont val="Calibri"/>
        <family val="2"/>
        <scheme val="minor"/>
      </rPr>
      <t xml:space="preserve"> El Municipio de Montengro no cuenta con oficina de la Juventud sin embargo, se cuenta con un programa de juventud adscrito a la Subsecretaría de Desarrollo Social Y Educativo, la cual es la encargada de acompañar al Consejo de Juventud, a la Plataforma de Juventud y de hacer seguimiento a la Política Pública de Juventud.</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Buenavista: </t>
    </r>
    <r>
      <rPr>
        <sz val="10"/>
        <color theme="1"/>
        <rFont val="Calibri"/>
        <family val="2"/>
        <scheme val="minor"/>
      </rPr>
      <t xml:space="preserve">No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color theme="1"/>
        <rFont val="Calibri"/>
        <family val="2"/>
        <scheme val="minor"/>
      </rPr>
      <t xml:space="preserve">Alcaldía Tebaida: </t>
    </r>
    <r>
      <rPr>
        <sz val="10"/>
        <color theme="1"/>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</si>
  <si>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Alcaldía de Circasia:</t>
    </r>
    <r>
      <rPr>
        <sz val="10"/>
        <color theme="1"/>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color theme="1"/>
        <rFont val="Calibri"/>
        <family val="2"/>
        <scheme val="minor"/>
      </rPr>
      <t xml:space="preserve">
Alcaldía de Salento</t>
    </r>
    <r>
      <rPr>
        <sz val="10"/>
        <color theme="1"/>
        <rFont val="Calibri"/>
        <family val="2"/>
        <scheme val="minor"/>
      </rPr>
      <t xml:space="preserve">: La Política Pública de Juventud Municipal está articulada con la Política de Juventud Departamental y con la normativa juvenil vigente.
</t>
    </r>
    <r>
      <rPr>
        <b/>
        <sz val="10"/>
        <color theme="1"/>
        <rFont val="Calibri"/>
        <family val="2"/>
        <scheme val="minor"/>
      </rPr>
      <t>Alcaldía de La Tebaida:</t>
    </r>
    <r>
      <rPr>
        <sz val="10"/>
        <color theme="1"/>
        <rFont val="Calibri"/>
        <family val="2"/>
        <scheme val="minor"/>
      </rPr>
      <t xml:space="preserve"> En este trimestre se realizó la ultima sesion del Consejo de Política Social, en donde se rindió cuentas de la política pública de juventud.
</t>
    </r>
    <r>
      <rPr>
        <b/>
        <sz val="10"/>
        <color theme="1"/>
        <rFont val="Calibri"/>
        <family val="2"/>
        <scheme val="minor"/>
      </rPr>
      <t>Alcaldía Montenegro</t>
    </r>
    <r>
      <rPr>
        <sz val="10"/>
        <color theme="1"/>
        <rFont val="Calibri"/>
        <family val="2"/>
        <scheme val="minor"/>
      </rPr>
      <t xml:space="preserve">: Se está trabajando en la formulación de la Política Pública de Juventud,  la cual se estará armonizada con la Política Pública de Juventud Departamental. 
</t>
    </r>
    <r>
      <rPr>
        <b/>
        <sz val="10"/>
        <color theme="1"/>
        <rFont val="Calibri"/>
        <family val="2"/>
        <scheme val="minor"/>
      </rPr>
      <t xml:space="preserve">Alcaldía Calarcá: </t>
    </r>
    <r>
      <rPr>
        <sz val="10"/>
        <color theme="1"/>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color theme="1"/>
        <rFont val="Calibri"/>
        <family val="2"/>
        <scheme val="minor"/>
      </rPr>
      <t>Alcaldía de Buenavista:</t>
    </r>
    <r>
      <rPr>
        <sz val="10"/>
        <color theme="1"/>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color theme="1"/>
        <rFont val="Calibri"/>
        <family val="2"/>
        <scheme val="minor"/>
      </rPr>
      <t xml:space="preserve">Alcaldía de Cordoba: </t>
    </r>
    <r>
      <rPr>
        <sz val="10"/>
        <color theme="1"/>
        <rFont val="Calibri"/>
        <family val="2"/>
        <scheme val="minor"/>
      </rPr>
      <t xml:space="preserve">No cuenta con la Politica Pública de Juventud, sin embargo se esta programando la construcción de la misma.  
</t>
    </r>
    <r>
      <rPr>
        <b/>
        <sz val="10"/>
        <color theme="1"/>
        <rFont val="Calibri"/>
        <family val="2"/>
        <scheme val="minor"/>
      </rPr>
      <t>Alcaldía de Filandia:</t>
    </r>
    <r>
      <rPr>
        <sz val="10"/>
        <color theme="1"/>
        <rFont val="Calibri"/>
        <family val="2"/>
        <scheme val="minor"/>
      </rPr>
      <t xml:space="preserve">  La Política Pública de Juventud Municipal está articulada con la Política de Juventud Departamental, en este trimestre se encuentra en proceso de medición.
</t>
    </r>
    <r>
      <rPr>
        <b/>
        <sz val="10"/>
        <color theme="1"/>
        <rFont val="Calibri"/>
        <family val="2"/>
        <scheme val="minor"/>
      </rPr>
      <t>Secretaría de Familia:</t>
    </r>
    <r>
      <rPr>
        <sz val="10"/>
        <color theme="1"/>
        <rFont val="Calibri"/>
        <family val="2"/>
        <scheme val="minor"/>
      </rPr>
      <t xml:space="preserve"> Reporta que los planes y políticas públicas de juventud municipales se encuentran armonizados con la Política Pública Departamental. </t>
    </r>
  </si>
  <si>
    <r>
      <rPr>
        <b/>
        <sz val="10"/>
        <color theme="1"/>
        <rFont val="Calibri"/>
        <family val="2"/>
        <scheme val="minor"/>
      </rPr>
      <t xml:space="preserve">Secretaría de Familia: </t>
    </r>
    <r>
      <rPr>
        <sz val="10"/>
        <color theme="1"/>
        <rFont val="Calibri"/>
        <family val="2"/>
        <scheme val="minor"/>
      </rPr>
      <t xml:space="preserve">Reporta que los planes y políticas del Plan de Desarrollo Departamental se encuentran armonizadas con la política pública de juventud.
</t>
    </r>
    <r>
      <rPr>
        <b/>
        <sz val="10"/>
        <color theme="1"/>
        <rFont val="Calibri"/>
        <family val="2"/>
        <scheme val="minor"/>
      </rPr>
      <t xml:space="preserve">
Consejo municipal de política Social de Filandia: </t>
    </r>
    <r>
      <rPr>
        <sz val="10"/>
        <color theme="1"/>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Calarcá:</t>
    </r>
    <r>
      <rPr>
        <sz val="10"/>
        <color theme="1"/>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</si>
  <si>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rPr>
        <b/>
        <sz val="10"/>
        <color theme="1"/>
        <rFont val="Calibri"/>
        <family val="2"/>
        <scheme val="minor"/>
      </rPr>
      <t xml:space="preserve">Secretaría de Familia: </t>
    </r>
    <r>
      <rPr>
        <sz val="10"/>
        <color theme="1"/>
        <rFont val="Calibri"/>
        <family val="2"/>
        <scheme val="minor"/>
      </rPr>
      <t xml:space="preserve">Reporta que los planes y políticas del Plan de Desarrollo Departamental se encuentran armonizadas con la política pública de juventud.
</t>
    </r>
    <r>
      <rPr>
        <b/>
        <sz val="10"/>
        <color theme="1"/>
        <rFont val="Calibri"/>
        <family val="2"/>
        <scheme val="minor"/>
      </rPr>
      <t>Consejo municipal de política Social Calarcá:</t>
    </r>
    <r>
      <rPr>
        <sz val="10"/>
        <color theme="1"/>
        <rFont val="Calibri"/>
        <family val="2"/>
        <scheme val="minor"/>
      </rPr>
      <t xml:space="preserve">Pendiente por ejecución de las acciones relacionadas. 
</t>
    </r>
    <r>
      <rPr>
        <b/>
        <sz val="10"/>
        <color theme="1"/>
        <rFont val="Calibri"/>
        <family val="2"/>
        <scheme val="minor"/>
      </rPr>
      <t>Consejo municipal de política Social Córdoba</t>
    </r>
    <r>
      <rPr>
        <sz val="10"/>
        <color theme="1"/>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color theme="1"/>
        <rFont val="Calibri"/>
        <family val="2"/>
        <scheme val="minor"/>
      </rPr>
      <t xml:space="preserve">Consejo municipal de política Social Circasia: </t>
    </r>
    <r>
      <rPr>
        <sz val="10"/>
        <color theme="1"/>
        <rFont val="Calibri"/>
        <family val="2"/>
        <scheme val="minor"/>
      </rPr>
      <t xml:space="preserve">El municipio cuenta con Enlace de Juventud adelantando diferentes procesos en pro de benefeiciar a población joven. Se ha realizado procesos de contración a jóvenes "primer empleo". 
</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</si>
  <si>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</si>
  <si>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color theme="1"/>
        <rFont val="Calibri"/>
        <family val="2"/>
        <scheme val="minor"/>
      </rPr>
      <t xml:space="preserve">Secretaría de Familia: </t>
    </r>
    <r>
      <rPr>
        <sz val="10"/>
        <color theme="1"/>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</si>
  <si>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color theme="1"/>
        <rFont val="Calibri"/>
        <family val="2"/>
        <scheme val="minor"/>
      </rPr>
      <t xml:space="preserve">Alcaldía de Montenegro: </t>
    </r>
    <r>
      <rPr>
        <sz val="10"/>
        <color theme="1"/>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color theme="1"/>
        <rFont val="Calibri"/>
        <family val="2"/>
        <scheme val="minor"/>
      </rPr>
      <t xml:space="preserve">
Alcaldía de Circasia:</t>
    </r>
    <r>
      <rPr>
        <sz val="10"/>
        <color theme="1"/>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color theme="1"/>
        <rFont val="Calibri"/>
        <family val="2"/>
        <scheme val="minor"/>
      </rPr>
      <t xml:space="preserve">Alcaldía de Salento: </t>
    </r>
    <r>
      <rPr>
        <sz val="10"/>
        <color theme="1"/>
        <rFont val="Calibri"/>
        <family val="2"/>
        <scheme val="minor"/>
      </rPr>
      <t>Actualmente se cuenta con la Plataforma Juvenil conformada y funcionando, también la Comisión de Concertación y Decisión Juvenil.</t>
    </r>
    <r>
      <rPr>
        <b/>
        <sz val="10"/>
        <color theme="1"/>
        <rFont val="Calibri"/>
        <family val="2"/>
        <scheme val="minor"/>
      </rPr>
      <t xml:space="preserve">
Alcaldía La Tebaida:</t>
    </r>
    <r>
      <rPr>
        <sz val="10"/>
        <color theme="1"/>
        <rFont val="Calibri"/>
        <family val="2"/>
        <scheme val="minor"/>
      </rPr>
      <t xml:space="preserve"> se rindió la última sesión de la Comisión de Concertación y se rindió información sobre la agenda de juventud. </t>
    </r>
    <r>
      <rPr>
        <b/>
        <sz val="10"/>
        <color theme="1"/>
        <rFont val="Calibri"/>
        <family val="2"/>
        <scheme val="minor"/>
      </rPr>
      <t xml:space="preserve">
Alcaldía de Armenia: </t>
    </r>
    <r>
      <rPr>
        <sz val="10"/>
        <color theme="1"/>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color theme="1"/>
        <rFont val="Calibri"/>
        <family val="2"/>
        <scheme val="minor"/>
      </rPr>
      <t xml:space="preserve">
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Secretaría de Familia</t>
    </r>
    <r>
      <rPr>
        <sz val="10"/>
        <color theme="1"/>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color theme="1"/>
        <rFont val="Calibri"/>
        <family val="2"/>
        <scheme val="minor"/>
      </rPr>
      <t>Alcaldia de Calarcá</t>
    </r>
    <r>
      <rPr>
        <sz val="10"/>
        <color theme="1"/>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color theme="1"/>
        <rFont val="Calibri"/>
        <family val="2"/>
        <scheme val="minor"/>
      </rPr>
      <t xml:space="preserve">Alcaldía de Córdoba: </t>
    </r>
    <r>
      <rPr>
        <sz val="10"/>
        <color theme="1"/>
        <rFont val="Calibri"/>
        <family val="2"/>
        <scheme val="minor"/>
      </rPr>
      <t xml:space="preserve">No cuenta con la plataforma juvenil activa.
</t>
    </r>
    <r>
      <rPr>
        <b/>
        <sz val="10"/>
        <color theme="1"/>
        <rFont val="Calibri"/>
        <family val="2"/>
        <scheme val="minor"/>
      </rPr>
      <t xml:space="preserve">Alcaldía de Buenavista: </t>
    </r>
    <r>
      <rPr>
        <sz val="10"/>
        <color theme="1"/>
        <rFont val="Calibri"/>
        <family val="2"/>
        <scheme val="minor"/>
      </rPr>
      <t>Se cuenta con la Plataforma Municipal de Juventud, recientemente actualizada. La Plataforma se encuentra en el proceso de creación de los estatutos.</t>
    </r>
  </si>
  <si>
    <r>
      <t xml:space="preserve">
Secretaría de Familia: </t>
    </r>
    <r>
      <rPr>
        <sz val="10"/>
        <color theme="1"/>
        <rFont val="Calibri"/>
        <family val="2"/>
        <scheme val="minor"/>
      </rPr>
      <t>Reporta que los doce municipios del Departamento, han sido asistidos técnicamente desde la Jefatura de Juventud, para la conformación y operación de los sistemas municipales de juventud.</t>
    </r>
    <r>
      <rPr>
        <b/>
        <sz val="10"/>
        <color theme="1"/>
        <rFont val="Calibri"/>
        <family val="2"/>
        <scheme val="minor"/>
      </rPr>
      <t xml:space="preserve">
Alcaldía de Armenia:</t>
    </r>
    <r>
      <rPr>
        <sz val="10"/>
        <color theme="1"/>
        <rFont val="Calibri"/>
        <family val="2"/>
        <scheme val="minor"/>
      </rPr>
      <t xml:space="preserve"> Mediante el decreto 349 del 09 de noviembre de 2020,  se crea el sistema municipal de juventud, se realizan cuatro reuniones al año </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El municipio de Quimbaya durante el trimestre aportó la información de los delegados departamentales a la plataforma y al consejo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r>
      <rPr>
        <b/>
        <sz val="10"/>
        <color theme="1"/>
        <rFont val="Calibri"/>
        <family val="2"/>
        <scheme val="minor"/>
      </rPr>
      <t>Alcaldiía Córdoba:</t>
    </r>
    <r>
      <rPr>
        <sz val="10"/>
        <color theme="1"/>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color theme="1"/>
        <rFont val="Calibri"/>
        <family val="2"/>
        <scheme val="minor"/>
      </rPr>
      <t xml:space="preserve">Alcaldia Buenavista: </t>
    </r>
    <r>
      <rPr>
        <sz val="10"/>
        <color theme="1"/>
        <rFont val="Calibri"/>
        <family val="2"/>
        <scheme val="minor"/>
      </rPr>
      <t xml:space="preserve"> Cuenta con los delegados a la diferentes instancias que conforman el Sistema de Juventud.
</t>
    </r>
    <r>
      <rPr>
        <b/>
        <sz val="10"/>
        <color theme="1"/>
        <rFont val="Calibri"/>
        <family val="2"/>
        <scheme val="minor"/>
      </rPr>
      <t xml:space="preserve">Alcaldia Montenegro: </t>
    </r>
    <r>
      <rPr>
        <sz val="10"/>
        <color theme="1"/>
        <rFont val="Calibri"/>
        <family val="2"/>
        <scheme val="minor"/>
      </rPr>
      <t>Al</t>
    </r>
    <r>
      <rPr>
        <b/>
        <sz val="10"/>
        <color theme="1"/>
        <rFont val="Calibri"/>
        <family val="2"/>
        <scheme val="minor"/>
      </rPr>
      <t xml:space="preserve"> </t>
    </r>
    <r>
      <rPr>
        <sz val="10"/>
        <color theme="1"/>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color theme="1"/>
        <rFont val="Calibri"/>
        <family val="2"/>
        <scheme val="minor"/>
      </rPr>
      <t xml:space="preserve">Alcadia Calarca: </t>
    </r>
    <r>
      <rPr>
        <sz val="10"/>
        <color theme="1"/>
        <rFont val="Calibri"/>
        <family val="2"/>
        <scheme val="minor"/>
      </rPr>
      <t>se cuenta con plataforma municipal de juventudes y consejo municipal de juventudes los cuales sesionan 1 vez al mes</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</si>
  <si>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Secretaría de Turismo Industria y Comercio:</t>
    </r>
    <r>
      <rPr>
        <sz val="10"/>
        <color theme="1"/>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SENA:</t>
    </r>
    <r>
      <rPr>
        <sz val="10"/>
        <color theme="1"/>
        <rFont val="Calibri"/>
        <family val="2"/>
        <scheme val="minor"/>
      </rPr>
      <t xml:space="preserve"> Hasta la fecha se han formado 20.286 aprendices.</t>
    </r>
    <r>
      <rPr>
        <b/>
        <sz val="10"/>
        <color theme="1"/>
        <rFont val="Calibri"/>
        <family val="2"/>
        <scheme val="minor"/>
      </rPr>
      <t xml:space="preserve">
Nota: </t>
    </r>
    <r>
      <rPr>
        <sz val="10"/>
        <color theme="1"/>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</si>
  <si>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</si>
  <si>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Nota: </t>
    </r>
    <r>
      <rPr>
        <sz val="10"/>
        <color theme="1"/>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r>
      <rPr>
        <b/>
        <sz val="10"/>
        <color theme="1"/>
        <rFont val="Calibri"/>
        <family val="2"/>
        <scheme val="minor"/>
      </rPr>
      <t xml:space="preserve">
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</si>
  <si>
    <r>
      <t xml:space="preserve">
</t>
    </r>
    <r>
      <rPr>
        <b/>
        <sz val="10"/>
        <color theme="1"/>
        <rFont val="Calibri"/>
        <family val="2"/>
        <scheme val="minor"/>
      </rPr>
      <t xml:space="preserve">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color theme="1"/>
        <rFont val="Calibri"/>
        <family val="2"/>
        <scheme val="minor"/>
      </rPr>
      <t xml:space="preserve">Secretaría de Agricultura: </t>
    </r>
    <r>
      <rPr>
        <sz val="10"/>
        <color theme="1"/>
        <rFont val="Calibri"/>
        <family val="2"/>
        <scheme val="minor"/>
      </rPr>
      <t xml:space="preserve"> No reportó información.
</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</si>
  <si>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 xml:space="preserve">Secretaría de Agricultura: </t>
    </r>
    <r>
      <rPr>
        <sz val="10"/>
        <color theme="1"/>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</si>
  <si>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r>
      <rPr>
        <b/>
        <sz val="10"/>
        <color theme="1"/>
        <rFont val="Calibri"/>
        <family val="2"/>
        <scheme val="minor"/>
      </rPr>
      <t xml:space="preserve">Observación: </t>
    </r>
    <r>
      <rPr>
        <sz val="10"/>
        <color theme="1"/>
        <rFont val="Calibri"/>
        <family val="2"/>
        <scheme val="minor"/>
      </rPr>
      <t>La suma del primero, segundo, tercer trimestre y cuarto del 2023 en cuanto a No de Jóvenes vinculados a proyectos innovadores y de emprendimiento es de 220.</t>
    </r>
    <r>
      <rPr>
        <b/>
        <sz val="10"/>
        <color theme="1"/>
        <rFont val="Calibri"/>
        <family val="2"/>
        <scheme val="minor"/>
      </rPr>
      <t xml:space="preserve">
Secretaría Turismo, Industria y Comercio: </t>
    </r>
    <r>
      <rPr>
        <sz val="10"/>
        <color theme="1"/>
        <rFont val="Calibri"/>
        <family val="2"/>
        <scheme val="minor"/>
      </rPr>
      <t xml:space="preserve">Se realiza taller de direccionamiento estratégico enfocado a (19)  jovenes con empredimientos en etapa inicial, intermedia y avanzada 
Se realizó visita al establecimiento “SARAMAMA”  del municipio de Armenia, con el fin de hacerle una socialización del programa de asistencia técnica a las mipymes para el acceso a nuevos mercados y se inició dicho acompañamiento.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SENA:</t>
    </r>
    <r>
      <rPr>
        <sz val="10"/>
        <color theme="1"/>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color theme="1"/>
        <rFont val="Calibri"/>
        <family val="2"/>
        <scheme val="minor"/>
      </rPr>
      <t>Universidad del Quindío:</t>
    </r>
    <r>
      <rPr>
        <sz val="10"/>
        <color theme="1"/>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color theme="1"/>
        <rFont val="Calibri"/>
        <family val="2"/>
        <scheme val="minor"/>
      </rPr>
      <t xml:space="preserve">U Von Humbolt: </t>
    </r>
    <r>
      <rPr>
        <sz val="10"/>
        <color theme="1"/>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Buenavista:</t>
    </r>
    <r>
      <rPr>
        <sz val="10"/>
        <color theme="1"/>
        <rFont val="Calibri"/>
        <family val="2"/>
        <scheme val="minor"/>
      </rPr>
      <t xml:space="preserve"> en Buenavista se cuenta con 8 jóvenes vinculados a un proyecto de emprendimiento que busca formarlos para su vida laboral, y se llama ASOJEX.</t>
    </r>
    <r>
      <rPr>
        <b/>
        <sz val="10"/>
        <color theme="1"/>
        <rFont val="Calibri"/>
        <family val="2"/>
        <scheme val="minor"/>
      </rPr>
      <t xml:space="preserve">
Alcaldía Armenia:</t>
    </r>
    <r>
      <rPr>
        <sz val="10"/>
        <color theme="1"/>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color theme="1"/>
        <rFont val="Calibri"/>
        <family val="2"/>
        <scheme val="minor"/>
      </rPr>
      <t>Alcaldía Córdoba:</t>
    </r>
    <r>
      <rPr>
        <sz val="10"/>
        <color theme="1"/>
        <rFont val="Calibri"/>
        <family val="2"/>
        <scheme val="minor"/>
      </rPr>
      <t xml:space="preserve"> en  el mes de agosto se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el cual tuvo contrato de prestación de servicios en julio, agosto y septiembre.
</t>
    </r>
    <r>
      <rPr>
        <b/>
        <sz val="10"/>
        <color theme="1"/>
        <rFont val="Calibri"/>
        <family val="2"/>
        <scheme val="minor"/>
      </rPr>
      <t>Alcaldía de Calarcá</t>
    </r>
    <r>
      <rPr>
        <sz val="10"/>
        <color theme="1"/>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 xml:space="preserve">Alcaldía Montenegro: </t>
    </r>
    <r>
      <rPr>
        <sz val="10"/>
        <color theme="1"/>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color theme="1"/>
        <rFont val="Calibri"/>
        <family val="2"/>
        <scheme val="minor"/>
      </rPr>
      <t>Alcaldía Quimbaya:</t>
    </r>
    <r>
      <rPr>
        <sz val="10"/>
        <color theme="1"/>
        <rFont val="Calibri"/>
        <family val="2"/>
        <scheme val="minor"/>
      </rPr>
      <t xml:space="preserve"> A través del apoyo a las iniciativas de emprendimiento juvenil se brinda acompañamiento a 40 jóvenes emprendedores.
</t>
    </r>
    <r>
      <rPr>
        <b/>
        <sz val="10"/>
        <color theme="1"/>
        <rFont val="Calibri"/>
        <family val="2"/>
        <scheme val="minor"/>
      </rPr>
      <t>Alcaldía de Pijao:</t>
    </r>
    <r>
      <rPr>
        <sz val="10"/>
        <color theme="1"/>
        <rFont val="Calibri"/>
        <family val="2"/>
        <scheme val="minor"/>
      </rPr>
      <t xml:space="preserve"> No cuenta con Jovenes vinculados a proyectos innovadores y de emprendimiento.
</t>
    </r>
    <r>
      <rPr>
        <b/>
        <sz val="10"/>
        <color theme="1"/>
        <rFont val="Calibri"/>
        <family val="2"/>
        <scheme val="minor"/>
      </rPr>
      <t>Alcaldia Buenavista:</t>
    </r>
    <r>
      <rPr>
        <sz val="10"/>
        <color theme="1"/>
        <rFont val="Calibri"/>
        <family val="2"/>
        <scheme val="minor"/>
      </rPr>
      <t xml:space="preserve"> en Buenavista se cuenta con 8 jovenes vinculados a un proyecto de emprendimiento que busca formarlos para su vida laboralpor medio de la asociación ASOJEX</t>
    </r>
  </si>
  <si>
    <r>
      <rPr>
        <b/>
        <sz val="10"/>
        <color theme="1"/>
        <rFont val="Calibri"/>
        <family val="2"/>
        <scheme val="minor"/>
      </rPr>
      <t xml:space="preserve">
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</si>
  <si>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t xml:space="preserve">
</t>
    </r>
    <r>
      <rPr>
        <b/>
        <sz val="10"/>
        <color theme="1"/>
        <rFont val="Calibri"/>
        <family val="2"/>
        <scheme val="minor"/>
      </rPr>
      <t>Secretaría de Familia:</t>
    </r>
    <r>
      <rPr>
        <sz val="10"/>
        <color theme="1"/>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color theme="1"/>
        <rFont val="Calibri"/>
        <family val="2"/>
        <scheme val="minor"/>
      </rPr>
      <t xml:space="preserve">
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SENA:</t>
    </r>
    <r>
      <rPr>
        <sz val="10"/>
        <color theme="1"/>
        <rFont val="Calibri"/>
        <family val="2"/>
        <scheme val="minor"/>
      </rPr>
      <t xml:space="preserve"> Durante el trimestre no se realizaron ruedas de negocios regionales o nacionales. Se espera realizar para el segundo semestre del año.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Secretaria de Turismo Industria y Comercio:</t>
    </r>
    <r>
      <rPr>
        <sz val="10"/>
        <color theme="1"/>
        <rFont val="Calibri"/>
        <family val="2"/>
        <scheme val="minor"/>
      </rPr>
      <t xml:space="preserve"> Para este tercer trimestre de la vigencia 2023, no se han realizado actividades que den avance al indicador, con relación a la población objetiva.
.
</t>
    </r>
    <r>
      <rPr>
        <b/>
        <sz val="10"/>
        <color theme="1"/>
        <rFont val="Calibri"/>
        <family val="2"/>
        <scheme val="minor"/>
      </rPr>
      <t xml:space="preserve">Alcaldía Buenavista: </t>
    </r>
    <r>
      <rPr>
        <sz val="10"/>
        <color theme="1"/>
        <rFont val="Calibri"/>
        <family val="2"/>
        <scheme val="minor"/>
      </rPr>
      <t xml:space="preserve"> los jóvenes no asisten a ruedas de negocios a nivel Departametal y Nacional.
</t>
    </r>
    <r>
      <rPr>
        <b/>
        <sz val="10"/>
        <color theme="1"/>
        <rFont val="Calibri"/>
        <family val="2"/>
        <scheme val="minor"/>
      </rPr>
      <t>Secretaría Turismo, Industria y Comercio:</t>
    </r>
    <r>
      <rPr>
        <sz val="10"/>
        <color theme="1"/>
        <rFont val="Calibri"/>
        <family val="2"/>
        <scheme val="minor"/>
      </rPr>
      <t xml:space="preserve"> Para este primer trimestre de la vigencia 2023, no se han realizado actividades que den avance al indicador
</t>
    </r>
    <r>
      <rPr>
        <b/>
        <sz val="10"/>
        <color theme="1"/>
        <rFont val="Calibri"/>
        <family val="2"/>
        <scheme val="minor"/>
      </rPr>
      <t>Alcaldía Quimbaya:</t>
    </r>
    <r>
      <rPr>
        <sz val="10"/>
        <color theme="1"/>
        <rFont val="Calibri"/>
        <family val="2"/>
        <scheme val="minor"/>
      </rPr>
      <t xml:space="preserve"> Durante el trimestre no se realizaron acciones para dar cumplimiento a la meta.
</t>
    </r>
    <r>
      <rPr>
        <b/>
        <sz val="10"/>
        <color theme="1"/>
        <rFont val="Calibri"/>
        <family val="2"/>
        <scheme val="minor"/>
      </rPr>
      <t xml:space="preserve">Alcaldía Montenegro: </t>
    </r>
    <r>
      <rPr>
        <sz val="10"/>
        <color theme="1"/>
        <rFont val="Calibri"/>
        <family val="2"/>
        <scheme val="minor"/>
      </rPr>
      <t xml:space="preserve">Para el segundo trimestre no se cuenta con jóvenes participando de ruedas de negocio regionales
</t>
    </r>
    <r>
      <rPr>
        <b/>
        <sz val="10"/>
        <color theme="1"/>
        <rFont val="Calibri"/>
        <family val="2"/>
        <scheme val="minor"/>
      </rPr>
      <t>Alcaldía de Pijao</t>
    </r>
    <r>
      <rPr>
        <sz val="10"/>
        <color theme="1"/>
        <rFont val="Calibri"/>
        <family val="2"/>
        <scheme val="minor"/>
      </rPr>
      <t xml:space="preserve">: no cuenta con un porcentaje de Emprendimientos que participan en Ruedas de Negocios Regionales y Nacionales que son liderados por Jóvenes en el Municipio.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Alcaldia Calarca:</t>
    </r>
    <r>
      <rPr>
        <sz val="10"/>
        <color theme="1"/>
        <rFont val="Calibri"/>
        <family val="2"/>
        <scheme val="minor"/>
      </rPr>
      <t xml:space="preserve"> Se realizará en agosto semana de la juventud, como se realiza cada año, en la que se pretenden realizar actividades empresariales para jóvenes. </t>
    </r>
    <r>
      <rPr>
        <b/>
        <sz val="10"/>
        <color theme="1"/>
        <rFont val="Calibri"/>
        <family val="2"/>
        <scheme val="minor"/>
      </rPr>
      <t>Alcaldía Armenia:</t>
    </r>
    <r>
      <rPr>
        <sz val="10"/>
        <color theme="1"/>
        <rFont val="Calibri"/>
        <family val="2"/>
        <scheme val="minor"/>
      </rPr>
      <t xml:space="preserve"> articulación con el ecosistema de la red regional de emprendimiento para asistencia técnica a empresas del municipio de armenia
</t>
    </r>
    <r>
      <rPr>
        <b/>
        <sz val="10"/>
        <color theme="1"/>
        <rFont val="Calibri"/>
        <family val="2"/>
        <scheme val="minor"/>
      </rPr>
      <t>Alcaldia Cordoba:</t>
    </r>
    <r>
      <rPr>
        <sz val="10"/>
        <color theme="1"/>
        <rFont val="Calibri"/>
        <family val="2"/>
        <scheme val="minor"/>
      </rPr>
      <t xml:space="preserve"> en el municipio de Cordoba Quindio  en el mes de septimbre se realizo la semana de la juventud 
</t>
    </r>
    <r>
      <rPr>
        <b/>
        <sz val="10"/>
        <color theme="1"/>
        <rFont val="Calibri"/>
        <family val="2"/>
        <scheme val="minor"/>
      </rPr>
      <t>Ministerio del Trabajo:</t>
    </r>
    <r>
      <rPr>
        <sz val="10"/>
        <color theme="1"/>
        <rFont val="Calibri"/>
        <family val="2"/>
        <scheme val="minor"/>
      </rPr>
      <t xml:space="preserve"> Reporta Matriz sin información
</t>
    </r>
  </si>
  <si>
    <r>
      <rPr>
        <b/>
        <sz val="10"/>
        <color theme="1"/>
        <rFont val="Calibri"/>
        <family val="2"/>
        <scheme val="minor"/>
      </rPr>
      <t xml:space="preserve">
Secretaría de Turismo Industria y Comercio:</t>
    </r>
    <r>
      <rPr>
        <sz val="10"/>
        <color theme="1"/>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color theme="1"/>
        <rFont val="Calibri"/>
        <family val="2"/>
        <scheme val="minor"/>
      </rPr>
      <t>Cámara de Comercio de Armenia y del Quindío:</t>
    </r>
    <r>
      <rPr>
        <sz val="10"/>
        <color theme="1"/>
        <rFont val="Calibri"/>
        <family val="2"/>
        <scheme val="minor"/>
      </rPr>
      <t xml:space="preserve"> En Cámara de Comercio en el trimestre Octubre, Noviembre y Diciembre se matricularon 1578 empresas,  de estas se beneficiaron 372 (23,6%) con la exención del pago de matrícula.
</t>
    </r>
  </si>
  <si>
    <r>
      <rPr>
        <b/>
        <sz val="10"/>
        <color theme="1"/>
        <rFont val="Calibri"/>
        <family val="2"/>
        <scheme val="minor"/>
      </rPr>
      <t xml:space="preserve">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 xml:space="preserve">SENA: </t>
    </r>
    <r>
      <rPr>
        <sz val="10"/>
        <color theme="1"/>
        <rFont val="Calibri"/>
        <family val="2"/>
        <scheme val="minor"/>
      </rPr>
      <t xml:space="preserve">Se realizó orientación ocupacional a 4440 jóvenes a través de la Agencia Pública de Empleo. De los cuales 959 jóvenes quedaron vinculados en las diferentes ofertas laborales en el año 2023.
</t>
    </r>
  </si>
  <si>
    <r>
      <t>OBSERVACIONES:</t>
    </r>
    <r>
      <rPr>
        <sz val="10"/>
        <color theme="1"/>
        <rFont val="Calibri"/>
        <family val="2"/>
        <scheme val="minor"/>
      </rPr>
      <t xml:space="preserve"> El último reporte por el SIRITI es del 2019 según lo reportado en el DANE, por lo cual la información reportada no corresponde al año 2021.
</t>
    </r>
    <r>
      <rPr>
        <b/>
        <sz val="10"/>
        <color theme="1"/>
        <rFont val="Calibri"/>
        <family val="2"/>
        <scheme val="minor"/>
      </rPr>
      <t>Secretaría de Familia:</t>
    </r>
    <r>
      <rPr>
        <sz val="10"/>
        <color theme="1"/>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</si>
  <si>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r>
      <rPr>
        <b/>
        <sz val="10"/>
        <color theme="1"/>
        <rFont val="Calibri"/>
        <family val="2"/>
        <scheme val="minor"/>
      </rPr>
      <t>OBSERVACIONES:</t>
    </r>
    <r>
      <rPr>
        <sz val="10"/>
        <color theme="1"/>
        <rFont val="Calibri"/>
        <family val="2"/>
        <scheme val="minor"/>
      </rPr>
      <t xml:space="preserve"> Segun el último  Reporte de la Gran Encuesta Integrada de Hogares-DANE (2022); La tasa de trabajo infantil es del 3 % y la tasa de trabajo infantil ampliado es del 5,3 %.
</t>
    </r>
    <r>
      <rPr>
        <b/>
        <sz val="10"/>
        <color theme="1"/>
        <rFont val="Calibri"/>
        <family val="2"/>
        <scheme val="minor"/>
      </rPr>
      <t xml:space="preserve">Secretaría de Familia: </t>
    </r>
    <r>
      <rPr>
        <sz val="10"/>
        <color theme="1"/>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r>
      <rPr>
        <b/>
        <sz val="10"/>
        <color theme="1"/>
        <rFont val="Calibri"/>
        <family val="2"/>
        <scheme val="minor"/>
      </rPr>
      <t>Alcaldía Quimbaya:</t>
    </r>
    <r>
      <rPr>
        <sz val="10"/>
        <color theme="1"/>
        <rFont val="Calibri"/>
        <family val="2"/>
        <scheme val="minor"/>
      </rPr>
      <t xml:space="preserve"> El municipio no cuenta con esta información en tasa. 
</t>
    </r>
    <r>
      <rPr>
        <b/>
        <sz val="10"/>
        <color theme="1"/>
        <rFont val="Calibri"/>
        <family val="2"/>
        <scheme val="minor"/>
      </rPr>
      <t>Alcaldía Buenavista:</t>
    </r>
    <r>
      <rPr>
        <sz val="10"/>
        <color theme="1"/>
        <rFont val="Calibri"/>
        <family val="2"/>
        <scheme val="minor"/>
      </rPr>
      <t xml:space="preserve"> No cuenta con reportes de trabajo infantil, no obstante se realizan campañas para prevenir esta problemática.
</t>
    </r>
    <r>
      <rPr>
        <b/>
        <sz val="10"/>
        <color theme="1"/>
        <rFont val="Calibri"/>
        <family val="2"/>
        <scheme val="minor"/>
      </rPr>
      <t xml:space="preserve">Alcaldía Montenegro: </t>
    </r>
    <r>
      <rPr>
        <sz val="10"/>
        <color theme="1"/>
        <rFont val="Calibri"/>
        <family val="2"/>
        <scheme val="minor"/>
      </rPr>
      <t xml:space="preserve">Campañas en las instituciones educativas y en la poblacion en general con el fin de disminuir la taza de trabajo infantil.
</t>
    </r>
    <r>
      <rPr>
        <b/>
        <sz val="10"/>
        <color theme="1"/>
        <rFont val="Calibri"/>
        <family val="2"/>
        <scheme val="minor"/>
      </rPr>
      <t xml:space="preserve">Alcaldía Salento: </t>
    </r>
    <r>
      <rPr>
        <sz val="10"/>
        <color theme="1"/>
        <rFont val="Calibri"/>
        <family val="2"/>
        <scheme val="minor"/>
      </rPr>
      <t xml:space="preserve">Campañas de sensibilización entorno a la prevención del trabajo infantil en los establecimientos de servicios turísticos.
</t>
    </r>
    <r>
      <rPr>
        <b/>
        <sz val="10"/>
        <color theme="1"/>
        <rFont val="Calibri"/>
        <family val="2"/>
        <scheme val="minor"/>
      </rPr>
      <t>Alcaldía de Pijao</t>
    </r>
    <r>
      <rPr>
        <sz val="10"/>
        <color theme="1"/>
        <rFont val="Calibri"/>
        <family val="2"/>
        <scheme val="minor"/>
      </rPr>
      <t xml:space="preserve">: Comité de radicación del trabajo infantil implementado  bajo el decreto 021 de 01/08/2016. No se presentan casos.
</t>
    </r>
    <r>
      <rPr>
        <b/>
        <sz val="10"/>
        <color theme="1"/>
        <rFont val="Calibri"/>
        <family val="2"/>
        <scheme val="minor"/>
      </rPr>
      <t>Alcaldia Armenia:</t>
    </r>
    <r>
      <rPr>
        <sz val="10"/>
        <color theme="1"/>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color theme="1"/>
        <rFont val="Calibri"/>
        <family val="2"/>
        <scheme val="minor"/>
      </rPr>
      <t xml:space="preserve">Ministerio del Trabajo: </t>
    </r>
    <r>
      <rPr>
        <sz val="10"/>
        <color theme="1"/>
        <rFont val="Calibri"/>
        <family val="2"/>
        <scheme val="minor"/>
      </rPr>
      <t xml:space="preserve">Reporta Matriz sin información.
</t>
    </r>
    <r>
      <rPr>
        <b/>
        <sz val="10"/>
        <color theme="1"/>
        <rFont val="Calibri"/>
        <family val="2"/>
        <scheme val="minor"/>
      </rPr>
      <t>Alcaldia Calarca:</t>
    </r>
    <r>
      <rPr>
        <sz val="10"/>
        <color theme="1"/>
        <rFont val="Calibri"/>
        <family val="2"/>
        <scheme val="minor"/>
      </rPr>
      <t xml:space="preserve"> se realizan escuelas de padres en las instituciones educativas del municipio con el fin de implementar estrategias de erradicacion del trabajo infantil.
</t>
    </r>
    <r>
      <rPr>
        <b/>
        <sz val="10"/>
        <color theme="1"/>
        <rFont val="Calibri"/>
        <family val="2"/>
        <scheme val="minor"/>
      </rPr>
      <t>ICBF: *</t>
    </r>
    <r>
      <rPr>
        <sz val="10"/>
        <color theme="1"/>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</si>
  <si>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Desarrollo Rural y Medio Ambiente Departamental: </t>
    </r>
    <r>
      <rPr>
        <sz val="10"/>
        <color theme="1"/>
        <rFont val="Calibri"/>
        <family val="2"/>
        <scheme val="minor"/>
      </rPr>
      <t xml:space="preserve">Se apoyó en la estructuración y acompañamiento de 16 perfiles de proyectos dentro de la convocatoria del MADR Alianzas Productivas, donde se benefician 45 jóvenes.
</t>
    </r>
  </si>
  <si>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r>
      <rPr>
        <b/>
        <sz val="10"/>
        <color theme="1"/>
        <rFont val="Calibri"/>
        <family val="2"/>
        <scheme val="minor"/>
      </rPr>
      <t xml:space="preserve">Universidad Alexander Von Humbolt: </t>
    </r>
    <r>
      <rPr>
        <sz val="10"/>
        <color theme="1"/>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Secretaría de Turismo Industria y Comercio: </t>
    </r>
    <r>
      <rPr>
        <sz val="10"/>
        <color theme="1"/>
        <rFont val="Calibri"/>
        <family val="2"/>
        <scheme val="minor"/>
      </rPr>
      <t>Para la promoción de emprendimiento de jóvenes de origen rural o étnico, se realizaron las siguientes acciones: 
Se realizaron  acercamiento con el gobernador de la comunidad Embera Chamí y el representante de la comunidad AFRO Consejo comunitario del municipio de Córdoba Quindío identificando lo siguiente:
 El dìa 12 de septirmbre del 2023, se establece comunicaciòn telèfònica con el lìder del Consejo comunitario la primavera, comnunidad afro, En la llamada telefónica, se buscaba obtener información relacionada con: 
1.        Población general: 
2.        Jóvenes entre 18 a 28 años: 
3.        Mujeres: 
4.        Hombres: 
5.        Población en situación de discapacidad: 
6.        Madres cabeza de hogar: 
7.        Emprendimientos identificados: 
8.        Emprendimientos requeridos: 
9.        Situación problema de la comunidad afro: 
2. El dìa 27 de septiembre del 2023 de manera reiterativa le solicited al señor JAIME MARIN programar la posible fecha y hora de vista a la comunidad que el representa.
3. El dìa 27 de septiembre del 2023, vìa llamada telefònica y WhatsApp tratè de establecer comunicaciòn con el Gobernador de la comunida Embera Chamì, pero fue dificil. Se espara que en el IV trimestre de la vigencia en curso se establezca algùn tipo de comuniciòn con el representante mencionad</t>
    </r>
    <r>
      <rPr>
        <b/>
        <sz val="10"/>
        <color theme="1"/>
        <rFont val="Calibri"/>
        <family val="2"/>
        <scheme val="minor"/>
      </rPr>
      <t>o. 
Secretaría de Agricultura:</t>
    </r>
    <r>
      <rPr>
        <sz val="10"/>
        <color theme="1"/>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color theme="1"/>
        <rFont val="Calibri"/>
        <family val="2"/>
        <scheme val="minor"/>
      </rPr>
      <t xml:space="preserve">Secretaría de Educación: </t>
    </r>
    <r>
      <rPr>
        <sz val="10"/>
        <color theme="1"/>
        <rFont val="Calibri"/>
        <family val="2"/>
        <scheme val="minor"/>
      </rPr>
      <t xml:space="preserve">Ejecución de etapa productiva de programas técnicos articulados con el SENA, a través del desarrollo de proyectos productivos mediante ruta del emprendimiento.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</si>
  <si>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 xml:space="preserve">
Secretaría de Turismo Industria y Comercio:</t>
    </r>
    <r>
      <rPr>
        <sz val="10"/>
        <color theme="1"/>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color theme="1"/>
        <rFont val="Calibri"/>
        <family val="2"/>
        <scheme val="minor"/>
      </rPr>
      <t xml:space="preserve">
Secretaría de Agricultura:</t>
    </r>
    <r>
      <rPr>
        <sz val="10"/>
        <color theme="1"/>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</si>
  <si>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rPr>
        <b/>
        <sz val="10"/>
        <color theme="1"/>
        <rFont val="Calibri"/>
        <family val="2"/>
        <scheme val="minor"/>
      </rPr>
      <t xml:space="preserve">Secretaría de familia: </t>
    </r>
    <r>
      <rPr>
        <sz val="10"/>
        <color theme="1"/>
        <rFont val="Calibri"/>
        <family val="2"/>
        <scheme val="minor"/>
      </rPr>
      <t>La información reportada por los actores responsables no es la adecuada para medir el indicador en porcentaje.</t>
    </r>
    <r>
      <rPr>
        <b/>
        <sz val="10"/>
        <color theme="1"/>
        <rFont val="Calibri"/>
        <family val="2"/>
        <scheme val="minor"/>
      </rPr>
      <t xml:space="preserve">
Sena:</t>
    </r>
    <r>
      <rPr>
        <sz val="10"/>
        <color theme="1"/>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color theme="1"/>
        <rFont val="Calibri"/>
        <family val="2"/>
        <scheme val="minor"/>
      </rPr>
      <t>Secretaría de Turismo Industria y Comercio:</t>
    </r>
    <r>
      <rPr>
        <sz val="10"/>
        <color theme="1"/>
        <rFont val="Calibri"/>
        <family val="2"/>
        <scheme val="minor"/>
      </rPr>
      <t xml:space="preserve">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*Industria de alimentos Arepas el Quindiano 
*Pagoda By Tuk Tuk 
*Anonima Cocina.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1
</t>
    </r>
    <r>
      <rPr>
        <b/>
        <sz val="10"/>
        <color theme="1"/>
        <rFont val="Calibri"/>
        <family val="2"/>
        <scheme val="minor"/>
      </rPr>
      <t>Universidad San Buenaventura:</t>
    </r>
    <r>
      <rPr>
        <sz val="10"/>
        <color theme="1"/>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color theme="1"/>
        <rFont val="Calibri"/>
        <family val="2"/>
        <scheme val="minor"/>
      </rPr>
      <t>Universidad Vom Humbolt:</t>
    </r>
    <r>
      <rPr>
        <sz val="10"/>
        <color theme="1"/>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No hay actividades planeadas sobre el tema para mención para este periodo de tiempo.
</t>
    </r>
  </si>
  <si>
    <r>
      <t xml:space="preserve">Secretaría de Turismo Industria y Comercio: </t>
    </r>
    <r>
      <rPr>
        <sz val="10"/>
        <color theme="1"/>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color theme="1"/>
        <rFont val="Calibri"/>
        <family val="2"/>
        <scheme val="minor"/>
      </rPr>
      <t xml:space="preserve">
</t>
    </r>
  </si>
  <si>
    <r>
      <t xml:space="preserve">
Secretaría de Turismo Industria y Comercio: </t>
    </r>
    <r>
      <rPr>
        <sz val="10"/>
        <color theme="1"/>
        <rFont val="Calibri"/>
        <family val="2"/>
        <scheme val="minor"/>
      </rPr>
      <t xml:space="preserve"> Se llevó a cabo el  Comité de Red Departamental de Emprendimiento,  pero pese a que hubo convocatoria a todas la entidades que tienen asciento en esta instancia, entre ellas un representante de los jovenes, los mismos no asistieron.</t>
    </r>
  </si>
  <si>
    <r>
      <rPr>
        <b/>
        <sz val="10"/>
        <color theme="1"/>
        <rFont val="Calibri"/>
        <family val="2"/>
        <scheme val="minor"/>
      </rPr>
      <t xml:space="preserve">Secretaría de Educación: </t>
    </r>
    <r>
      <rPr>
        <sz val="10"/>
        <color theme="1"/>
        <rFont val="Calibri"/>
        <family val="2"/>
        <scheme val="minor"/>
      </rPr>
      <t>Para el cuarto trimestre del 2021  se alcanzó una tasa neta en básica secundaria del 76,09%</t>
    </r>
  </si>
  <si>
    <r>
      <rPr>
        <b/>
        <sz val="10"/>
        <color theme="1"/>
        <rFont val="Calibri"/>
        <family val="2"/>
        <scheme val="minor"/>
      </rPr>
      <t xml:space="preserve">Secretaría de familia: </t>
    </r>
    <r>
      <rPr>
        <sz val="10"/>
        <color theme="1"/>
        <rFont val="Calibri"/>
        <family val="2"/>
        <scheme val="minor"/>
      </rPr>
      <t xml:space="preserve">La tasa de cobertura básica secundaria reportadda por el ministerio de educación (2022) corresponde al 63,34 %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Desde las I.E se realiza la oferta a los 11 municipios no certificados y es aprobada por la Secretaria Departamental  y el MEN 
</t>
    </r>
    <r>
      <rPr>
        <b/>
        <sz val="10"/>
        <color theme="1"/>
        <rFont val="Calibri"/>
        <family val="2"/>
        <scheme val="minor"/>
      </rPr>
      <t>Alcaldía Córdoba:</t>
    </r>
    <r>
      <rPr>
        <sz val="10"/>
        <color theme="1"/>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color theme="1"/>
        <rFont val="Calibri"/>
        <family val="2"/>
        <scheme val="minor"/>
      </rPr>
      <t>Alcaldia Armenia:</t>
    </r>
    <r>
      <rPr>
        <sz val="10"/>
        <color theme="1"/>
        <rFont val="Calibri"/>
        <family val="2"/>
        <scheme val="minor"/>
      </rPr>
      <t xml:space="preserve"> instituciones educativas en jornada única (Número de instituciones)14904 niños, niñas, jóvenes y adultos.
</t>
    </r>
    <r>
      <rPr>
        <b/>
        <sz val="10"/>
        <color theme="1"/>
        <rFont val="Calibri"/>
        <family val="2"/>
        <scheme val="minor"/>
      </rPr>
      <t xml:space="preserve">Alcaldía Filandia: </t>
    </r>
    <r>
      <rPr>
        <sz val="10"/>
        <color theme="1"/>
        <rFont val="Calibri"/>
        <family val="2"/>
        <scheme val="minor"/>
      </rPr>
      <t>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t>
    </r>
  </si>
  <si>
    <r>
      <t xml:space="preserve">
</t>
    </r>
    <r>
      <rPr>
        <b/>
        <sz val="10"/>
        <color theme="1"/>
        <rFont val="Calibri"/>
        <family val="2"/>
        <scheme val="minor"/>
      </rPr>
      <t xml:space="preserve">Secretaría de Educación: </t>
    </r>
    <r>
      <rPr>
        <sz val="10"/>
        <color theme="1"/>
        <rFont val="Calibri"/>
        <family val="2"/>
        <scheme val="minor"/>
      </rPr>
      <t xml:space="preserve">Para el cuarto trimestre del 2021  se alcanzó una tasa neta en el nivel de media del 41,54%
</t>
    </r>
  </si>
  <si>
    <r>
      <rPr>
        <b/>
        <sz val="10"/>
        <color theme="1"/>
        <rFont val="Calibri"/>
        <family val="2"/>
        <scheme val="minor"/>
      </rPr>
      <t xml:space="preserve">Secretaría de familia: </t>
    </r>
    <r>
      <rPr>
        <sz val="10"/>
        <color theme="1"/>
        <rFont val="Calibri"/>
        <family val="2"/>
        <scheme val="minor"/>
      </rPr>
      <t>La tasa de cobertura neta media vocacional reportada por el ministerio de educación (2022) corresponde al 63,34 %</t>
    </r>
    <r>
      <rPr>
        <b/>
        <sz val="10"/>
        <color theme="1"/>
        <rFont val="Calibri"/>
        <family val="2"/>
        <scheme val="minor"/>
      </rPr>
      <t xml:space="preserve">
Alcaldía de Buenavista</t>
    </r>
    <r>
      <rPr>
        <sz val="10"/>
        <color theme="1"/>
        <rFont val="Calibri"/>
        <family val="2"/>
        <scheme val="minor"/>
      </rPr>
      <t xml:space="preserve">: Cuenta con la cobertura integral en básica secundaria, no tenemos reportes de jóvenes que esten desescolarizados.
</t>
    </r>
    <r>
      <rPr>
        <b/>
        <sz val="10"/>
        <color theme="1"/>
        <rFont val="Calibri"/>
        <family val="2"/>
        <scheme val="minor"/>
      </rPr>
      <t xml:space="preserve">Secretaría de Educación: </t>
    </r>
    <r>
      <rPr>
        <sz val="10"/>
        <color theme="1"/>
        <rFont val="Calibri"/>
        <family val="2"/>
        <scheme val="minor"/>
      </rPr>
      <t xml:space="preserve">Durante este trimeste la profesional de área continua  realizando actividades relacionadas con Oferta de Grados para media  a través de la plataforma Simat.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color theme="1"/>
        <rFont val="Calibri"/>
        <family val="2"/>
        <scheme val="minor"/>
      </rPr>
      <t xml:space="preserve">Alcaldía de Armenia: </t>
    </r>
    <r>
      <rPr>
        <sz val="10"/>
        <color theme="1"/>
        <rFont val="Calibri"/>
        <family val="2"/>
        <scheme val="minor"/>
      </rPr>
      <t xml:space="preserve">INúmero de Instituciones educativas vinculadas al proyecto de TECNOACADEMIA 12 I.E  36500 niños, niñas, jóvenes y adultos.
</t>
    </r>
    <r>
      <rPr>
        <b/>
        <sz val="10"/>
        <color theme="1"/>
        <rFont val="Calibri"/>
        <family val="2"/>
        <scheme val="minor"/>
      </rPr>
      <t>Alcaldía Filandia:</t>
    </r>
    <r>
      <rPr>
        <sz val="10"/>
        <color theme="1"/>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color theme="1"/>
        <rFont val="Calibri"/>
        <family val="2"/>
        <scheme val="minor"/>
      </rPr>
      <t>Alcaldía de Calarcá:</t>
    </r>
    <r>
      <rPr>
        <sz val="10"/>
        <color theme="1"/>
        <rFont val="Calibri"/>
        <family val="2"/>
        <scheme val="minor"/>
      </rPr>
      <t xml:space="preserve"> Se brinda apoyo a las instituciones educativas con el pago de los servicios públicos, para el beneficio de los estudiantes de basica secundaria y media vocacional en el municipio de calarcá´.
</t>
    </r>
  </si>
  <si>
    <r>
      <t>Observación:</t>
    </r>
    <r>
      <rPr>
        <sz val="10"/>
        <color theme="1"/>
        <rFont val="Calibri"/>
        <family val="2"/>
        <scheme val="minor"/>
      </rPr>
      <t xml:space="preserve"> Se verifica en la página del Ministerio de Educación Nacional ocho (8) metodologías flexibles.  </t>
    </r>
  </si>
  <si>
    <r>
      <rPr>
        <b/>
        <sz val="10"/>
        <color theme="1"/>
        <rFont val="Calibri"/>
        <family val="2"/>
        <scheme val="minor"/>
      </rPr>
      <t>Observación: SEGÚN REPORTE DE SEC. EDUCACIÓN SE IMPLEMENTAN 4 METODOLOGÍAS.</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color theme="1"/>
        <rFont val="Calibri"/>
        <family val="2"/>
        <scheme val="minor"/>
      </rPr>
      <t>Alcaldia Buenavista:</t>
    </r>
    <r>
      <rPr>
        <sz val="10"/>
        <color theme="1"/>
        <rFont val="Calibri"/>
        <family val="2"/>
        <scheme val="minor"/>
      </rPr>
      <t xml:space="preserve"> desde la institución educativa se cuenta con un programa de estudio los días sabados que permite a los jovenes con extra edad, terminar su bachillerato.
</t>
    </r>
    <r>
      <rPr>
        <b/>
        <sz val="10"/>
        <color theme="1"/>
        <rFont val="Calibri"/>
        <family val="2"/>
        <scheme val="minor"/>
      </rPr>
      <t>Alcaldía de Pijao:</t>
    </r>
    <r>
      <rPr>
        <sz val="10"/>
        <color theme="1"/>
        <rFont val="Calibri"/>
        <family val="2"/>
        <scheme val="minor"/>
      </rPr>
      <t xml:space="preserve"> no cuenta con metodologias flexibles implementadas
</t>
    </r>
    <r>
      <rPr>
        <b/>
        <sz val="10"/>
        <color theme="1"/>
        <rFont val="Calibri"/>
        <family val="2"/>
        <scheme val="minor"/>
      </rPr>
      <t xml:space="preserve">Alcaldía Armenia: </t>
    </r>
    <r>
      <rPr>
        <sz val="10"/>
        <color theme="1"/>
        <rFont val="Calibri"/>
        <family val="2"/>
        <scheme val="minor"/>
      </rPr>
      <t xml:space="preserve">731 jóvenes y adultos atendido a través de modelo flexibles.
</t>
    </r>
    <r>
      <rPr>
        <b/>
        <sz val="10"/>
        <color theme="1"/>
        <rFont val="Calibri"/>
        <family val="2"/>
        <scheme val="minor"/>
      </rPr>
      <t>Alcaldia Cordoba:</t>
    </r>
    <r>
      <rPr>
        <sz val="10"/>
        <color theme="1"/>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</si>
  <si>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Universidad San Buenaventura: </t>
    </r>
    <r>
      <rPr>
        <sz val="10"/>
        <color theme="1"/>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color theme="1"/>
        <rFont val="Calibri"/>
        <family val="2"/>
        <scheme val="minor"/>
      </rPr>
      <t>EAM:</t>
    </r>
    <r>
      <rPr>
        <sz val="10"/>
        <color theme="1"/>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color theme="1"/>
        <rFont val="Calibri"/>
        <family val="2"/>
        <scheme val="minor"/>
      </rPr>
      <t>Universidad del Quindio:</t>
    </r>
    <r>
      <rPr>
        <sz val="10"/>
        <color theme="1"/>
        <rFont val="Calibri"/>
        <family val="2"/>
        <scheme val="minor"/>
      </rPr>
      <t xml:space="preserve"> Datos correspondientes al año 2021 segundo semestre, ya que el II semestre del 2021 dió inicio finalizando el mes de agosto de 2021.
</t>
    </r>
    <r>
      <rPr>
        <b/>
        <sz val="10"/>
        <color theme="1"/>
        <rFont val="Calibri"/>
        <family val="2"/>
        <scheme val="minor"/>
      </rPr>
      <t>Corporación Universitaria Alexander von Humboldt:</t>
    </r>
    <r>
      <rPr>
        <sz val="10"/>
        <color theme="1"/>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</si>
  <si>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(2022) y la tasa de absorcion de bachilleres es del 47,3% (2022). 
</t>
    </r>
    <r>
      <rPr>
        <b/>
        <sz val="10"/>
        <color theme="1"/>
        <rFont val="Calibri"/>
        <family val="2"/>
        <scheme val="minor"/>
      </rPr>
      <t xml:space="preserve">Alcaldía de Buenavista: </t>
    </r>
    <r>
      <rPr>
        <sz val="10"/>
        <color theme="1"/>
        <rFont val="Calibri"/>
        <family val="2"/>
        <scheme val="minor"/>
      </rPr>
      <t xml:space="preserve">desde la Institución Educativa se cuenta con un programa de estudio los días sábados que permite a los jóvenes con extra edad, terminar su bachillerato.
</t>
    </r>
    <r>
      <rPr>
        <b/>
        <sz val="10"/>
        <color theme="1"/>
        <rFont val="Calibri"/>
        <family val="2"/>
        <scheme val="minor"/>
      </rPr>
      <t>Alcaldía de Filandia:</t>
    </r>
    <r>
      <rPr>
        <sz val="10"/>
        <color theme="1"/>
        <rFont val="Calibri"/>
        <family val="2"/>
        <scheme val="minor"/>
      </rPr>
      <t xml:space="preserve">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color theme="1"/>
        <rFont val="Calibri"/>
        <family val="2"/>
        <scheme val="minor"/>
      </rPr>
      <t>Alcaldía de Montenegro:</t>
    </r>
    <r>
      <rPr>
        <sz val="10"/>
        <color theme="1"/>
        <rFont val="Calibri"/>
        <family val="2"/>
        <scheme val="minor"/>
      </rPr>
      <t xml:space="preserve"> al momento desde la subsecretaria de desarrollo social y ecucativo no se cuenta con esos datos para el primer trimestre del año.
</t>
    </r>
    <r>
      <rPr>
        <b/>
        <sz val="10"/>
        <color theme="1"/>
        <rFont val="Calibri"/>
        <family val="2"/>
        <scheme val="minor"/>
      </rPr>
      <t>Alcaldía de Calarcá: S</t>
    </r>
    <r>
      <rPr>
        <sz val="10"/>
        <color theme="1"/>
        <rFont val="Calibri"/>
        <family val="2"/>
        <scheme val="minor"/>
      </rPr>
      <t xml:space="preserve">e garantiza la alimentación escolar en las 14 instituciones educativas del Municipio. Además se cuenta con gratuidad de matrícula y cobertura del seguro escolar. 
</t>
    </r>
    <r>
      <rPr>
        <b/>
        <sz val="10"/>
        <color theme="1"/>
        <rFont val="Calibri"/>
        <family val="2"/>
        <scheme val="minor"/>
      </rPr>
      <t xml:space="preserve">Secretaría de educación: </t>
    </r>
    <r>
      <rPr>
        <sz val="10"/>
        <color theme="1"/>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color theme="1"/>
        <rFont val="Calibri"/>
        <family val="2"/>
        <scheme val="minor"/>
      </rPr>
      <t xml:space="preserve">Alcaldia Armenia: </t>
    </r>
    <r>
      <rPr>
        <sz val="10"/>
        <color theme="1"/>
        <rFont val="Calibri"/>
        <family val="2"/>
        <scheme val="minor"/>
      </rPr>
      <t xml:space="preserve">Tasa bruta de cobertura bruta en preescolar, básica primaria, secundaria y media es de 107,28%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</si>
  <si>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(2022) y la tasa de absorcion de bachilleres es del 47,3% (2022). 
</t>
    </r>
    <r>
      <rPr>
        <b/>
        <sz val="10"/>
        <color theme="1"/>
        <rFont val="Calibri"/>
        <family val="2"/>
        <scheme val="minor"/>
      </rPr>
      <t xml:space="preserve">Alcaldía de Buenavista: </t>
    </r>
    <r>
      <rPr>
        <sz val="10"/>
        <color theme="1"/>
        <rFont val="Calibri"/>
        <family val="2"/>
        <scheme val="minor"/>
      </rPr>
      <t xml:space="preserve">desde la Institución Educativa se cuenta con un programa de estudio los días sábados que permite a los jóvenes con extra edad, terminar su bachillerato.
</t>
    </r>
    <r>
      <rPr>
        <b/>
        <sz val="10"/>
        <color theme="1"/>
        <rFont val="Calibri"/>
        <family val="2"/>
        <scheme val="minor"/>
      </rPr>
      <t>Alcaldía de Filandia:</t>
    </r>
    <r>
      <rPr>
        <sz val="10"/>
        <color theme="1"/>
        <rFont val="Calibri"/>
        <family val="2"/>
        <scheme val="minor"/>
      </rPr>
      <t xml:space="preserve">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color theme="1"/>
        <rFont val="Calibri"/>
        <family val="2"/>
        <scheme val="minor"/>
      </rPr>
      <t>Alcaldía de Montenegro:</t>
    </r>
    <r>
      <rPr>
        <sz val="10"/>
        <color theme="1"/>
        <rFont val="Calibri"/>
        <family val="2"/>
        <scheme val="minor"/>
      </rPr>
      <t xml:space="preserve"> al momento desde la subsecretaria de desarrollo social y ecucativo no se cuenta con esos datos para el primer trimestre del año.
</t>
    </r>
    <r>
      <rPr>
        <b/>
        <sz val="10"/>
        <color theme="1"/>
        <rFont val="Calibri"/>
        <family val="2"/>
        <scheme val="minor"/>
      </rPr>
      <t>Alcaldía de Calarcá: S</t>
    </r>
    <r>
      <rPr>
        <sz val="10"/>
        <color theme="1"/>
        <rFont val="Calibri"/>
        <family val="2"/>
        <scheme val="minor"/>
      </rPr>
      <t xml:space="preserve">e garantiza la alimentación escolar en las 14 instituciones educativas del Municipio. Además se cuenta con gratuidad de matrícula y cobertura del seguro escolar. 
</t>
    </r>
    <r>
      <rPr>
        <b/>
        <sz val="10"/>
        <color theme="1"/>
        <rFont val="Calibri"/>
        <family val="2"/>
        <scheme val="minor"/>
      </rPr>
      <t xml:space="preserve">Secretaría de educación: </t>
    </r>
    <r>
      <rPr>
        <sz val="10"/>
        <color theme="1"/>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color theme="1"/>
        <rFont val="Calibri"/>
        <family val="2"/>
        <scheme val="minor"/>
      </rPr>
      <t xml:space="preserve">Alcaldia Armenia: </t>
    </r>
    <r>
      <rPr>
        <sz val="10"/>
        <color theme="1"/>
        <rFont val="Calibri"/>
        <family val="2"/>
        <scheme val="minor"/>
      </rPr>
      <t xml:space="preserve">Tasa bruta de cobertura bruta en preescolar, básica primaria, secundaria y media es de 107,28%
</t>
    </r>
    <r>
      <rPr>
        <b/>
        <sz val="10"/>
        <color theme="1"/>
        <rFont val="Calibri"/>
        <family val="2"/>
        <scheme val="minor"/>
      </rPr>
      <t xml:space="preserve">Alcaldía de Circasia: </t>
    </r>
    <r>
      <rPr>
        <sz val="10"/>
        <color theme="1"/>
        <rFont val="Calibri"/>
        <family val="2"/>
        <scheme val="minor"/>
      </rPr>
      <t>Beca a mejores estudiantes con rendimiento academico y pruebas saber. 6 beneficiados cada año. Acuerdo 021.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t>
    </r>
  </si>
  <si>
    <r>
      <rPr>
        <b/>
        <sz val="10"/>
        <color theme="1"/>
        <rFont val="Calibri"/>
        <family val="2"/>
        <scheme val="minor"/>
      </rPr>
      <t>Observación:</t>
    </r>
    <r>
      <rPr>
        <sz val="10"/>
        <color theme="1"/>
        <rFont val="Calibri"/>
        <family val="2"/>
        <scheme val="minor"/>
      </rPr>
      <t xml:space="preserve"> Se verificó en la página del Ministerio de Educación y se encuentran datos correspondientes al año 2019, los cuales están por encima de la meta establecida.
</t>
    </r>
    <r>
      <rPr>
        <b/>
        <sz val="10"/>
        <color theme="1"/>
        <rFont val="Calibri"/>
        <family val="2"/>
        <scheme val="minor"/>
      </rPr>
      <t xml:space="preserve">Institución Universitaria EAM: </t>
    </r>
    <r>
      <rPr>
        <sz val="10"/>
        <color theme="1"/>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color theme="1"/>
        <rFont val="Calibri"/>
        <family val="2"/>
        <scheme val="minor"/>
      </rPr>
      <t xml:space="preserve">
Secretaría de Educación: </t>
    </r>
    <r>
      <rPr>
        <sz val="10"/>
        <color theme="1"/>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</si>
  <si>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color theme="1"/>
        <rFont val="Calibri"/>
        <family val="2"/>
        <scheme val="minor"/>
      </rPr>
      <t xml:space="preserve">
Universidad San Buenaventura: </t>
    </r>
    <r>
      <rPr>
        <sz val="10"/>
        <color theme="1"/>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color theme="1"/>
        <rFont val="Calibri"/>
        <family val="2"/>
        <scheme val="minor"/>
      </rPr>
      <t xml:space="preserve">Institución Universitaria EAM: </t>
    </r>
    <r>
      <rPr>
        <sz val="10"/>
        <color theme="1"/>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color theme="1"/>
        <rFont val="Calibri"/>
        <family val="2"/>
        <scheme val="minor"/>
      </rPr>
      <t xml:space="preserve">Corporación Universitaria Alexander von Humboldt: </t>
    </r>
    <r>
      <rPr>
        <sz val="10"/>
        <color theme="1"/>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 xml:space="preserve">Universidad del Quindio: </t>
    </r>
    <r>
      <rPr>
        <sz val="10"/>
        <color theme="1"/>
        <rFont val="Calibri"/>
        <family val="2"/>
        <scheme val="minor"/>
      </rPr>
      <t>Datos correspondiente al año 2021 segundo semestre, ya que el II semestre del 2021 dio inicio finalizando el mes de agosto de 2021.</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</si>
  <si>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(2022).
</t>
    </r>
    <r>
      <rPr>
        <b/>
        <sz val="10"/>
        <color theme="1"/>
        <rFont val="Calibri"/>
        <family val="2"/>
        <scheme val="minor"/>
      </rPr>
      <t>Alcaldía de Buenavista</t>
    </r>
    <r>
      <rPr>
        <sz val="10"/>
        <color theme="1"/>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color theme="1"/>
        <rFont val="Calibri"/>
        <family val="2"/>
        <scheme val="minor"/>
      </rPr>
      <t>Alcaldía de Filandia:</t>
    </r>
    <r>
      <rPr>
        <sz val="10"/>
        <color theme="1"/>
        <rFont val="Calibri"/>
        <family val="2"/>
        <scheme val="minor"/>
      </rPr>
      <t xml:space="preserve"> 40% de los estudiantes desertan de la Universidad a lo largo de su carrera, ya sea para cambiar de carrera o abandonar el sistema Universitario (15% a largo plazo).
</t>
    </r>
    <r>
      <rPr>
        <b/>
        <sz val="10"/>
        <color theme="1"/>
        <rFont val="Calibri"/>
        <family val="2"/>
        <scheme val="minor"/>
      </rPr>
      <t>Alcaldía de Pijao:</t>
    </r>
    <r>
      <rPr>
        <sz val="10"/>
        <color theme="1"/>
        <rFont val="Calibri"/>
        <family val="2"/>
        <scheme val="minor"/>
      </rPr>
      <t xml:space="preserve"> Se cuenta con la posada estudiantil en Armenia.
</t>
    </r>
    <r>
      <rPr>
        <b/>
        <sz val="10"/>
        <color theme="1"/>
        <rFont val="Calibri"/>
        <family val="2"/>
        <scheme val="minor"/>
      </rPr>
      <t>Alcaldía Armenia</t>
    </r>
    <r>
      <rPr>
        <sz val="10"/>
        <color theme="1"/>
        <rFont val="Calibri"/>
        <family val="2"/>
        <scheme val="minor"/>
      </rPr>
      <t xml:space="preserve">: Población víctimas del conflicto, vulnerables, jóvenes y adultos con estrategias de apoyo educativo  y seguimiento al ausentismo escolar.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Avance en la propuesta de reestablecimiento de los subsidios de transporte para estudiantes universitarios residentes en el municipio.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Se realizan</t>
    </r>
    <r>
      <rPr>
        <b/>
        <sz val="10"/>
        <color theme="1"/>
        <rFont val="Calibri"/>
        <family val="2"/>
        <scheme val="minor"/>
      </rPr>
      <t xml:space="preserve"> </t>
    </r>
    <r>
      <rPr>
        <sz val="10"/>
        <color theme="1"/>
        <rFont val="Calibri"/>
        <family val="2"/>
        <scheme val="minor"/>
      </rPr>
      <t xml:space="preserve">sensibilizaciones de fortalecimiento familiar, con el fin de que los padres acompañen adecuadamente a sus hijos en el proceso educativo.
</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</si>
  <si>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(2022).
</t>
    </r>
    <r>
      <rPr>
        <b/>
        <sz val="10"/>
        <color theme="1"/>
        <rFont val="Calibri"/>
        <family val="2"/>
        <scheme val="minor"/>
      </rPr>
      <t>Alcaldía de Buenavista</t>
    </r>
    <r>
      <rPr>
        <sz val="10"/>
        <color theme="1"/>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color theme="1"/>
        <rFont val="Calibri"/>
        <family val="2"/>
        <scheme val="minor"/>
      </rPr>
      <t>Alcaldía de Circasia:</t>
    </r>
    <r>
      <rPr>
        <sz val="10"/>
        <color theme="1"/>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color theme="1"/>
        <rFont val="Calibri"/>
        <family val="2"/>
        <scheme val="minor"/>
      </rPr>
      <t>Alcaldía de Filandia:</t>
    </r>
    <r>
      <rPr>
        <sz val="10"/>
        <color theme="1"/>
        <rFont val="Calibri"/>
        <family val="2"/>
        <scheme val="minor"/>
      </rPr>
      <t xml:space="preserve"> 40% de los estudiantes desertan de la Universidad a lo largo de su carrera, ya sea para cambiar de carrera o abandonar el sistema Universitario (15% a largo plazo).
</t>
    </r>
    <r>
      <rPr>
        <b/>
        <sz val="10"/>
        <color theme="1"/>
        <rFont val="Calibri"/>
        <family val="2"/>
        <scheme val="minor"/>
      </rPr>
      <t>Alcaldía de Pijao:</t>
    </r>
    <r>
      <rPr>
        <sz val="10"/>
        <color theme="1"/>
        <rFont val="Calibri"/>
        <family val="2"/>
        <scheme val="minor"/>
      </rPr>
      <t xml:space="preserve"> Se cuenta con la posada estudiantil en Armenia.
</t>
    </r>
    <r>
      <rPr>
        <b/>
        <sz val="10"/>
        <color theme="1"/>
        <rFont val="Calibri"/>
        <family val="2"/>
        <scheme val="minor"/>
      </rPr>
      <t>Alcaldía Armenia</t>
    </r>
    <r>
      <rPr>
        <sz val="10"/>
        <color theme="1"/>
        <rFont val="Calibri"/>
        <family val="2"/>
        <scheme val="minor"/>
      </rPr>
      <t xml:space="preserve">: Población víctimas del conflicto, vulnerables, jóvenes y adultos con estrategias de apoyo educativo  y seguimiento al ausentismo escolar.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Avance en la propuesta de reestablecimiento de los subsidios de transporte para estudiantes universitarios residentes en el municipio.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Se realizan</t>
    </r>
    <r>
      <rPr>
        <b/>
        <sz val="10"/>
        <color theme="1"/>
        <rFont val="Calibri"/>
        <family val="2"/>
        <scheme val="minor"/>
      </rPr>
      <t xml:space="preserve"> </t>
    </r>
    <r>
      <rPr>
        <sz val="10"/>
        <color theme="1"/>
        <rFont val="Calibri"/>
        <family val="2"/>
        <scheme val="minor"/>
      </rPr>
      <t xml:space="preserve">sensibilizaciones de fortalecimiento familiar, con el fin de que los padres acompañen adecuadamente a sus hijos en el proceso educativo.
</t>
    </r>
  </si>
  <si>
    <r>
      <rPr>
        <b/>
        <sz val="10"/>
        <color theme="1"/>
        <rFont val="Calibri"/>
        <family val="2"/>
        <scheme val="minor"/>
      </rPr>
      <t xml:space="preserve">Universidad San Buenaventura: </t>
    </r>
    <r>
      <rPr>
        <sz val="10"/>
        <color theme="1"/>
        <rFont val="Calibri"/>
        <family val="2"/>
        <scheme val="minor"/>
      </rPr>
      <t>No reportó Información.</t>
    </r>
    <r>
      <rPr>
        <b/>
        <sz val="10"/>
        <color theme="1"/>
        <rFont val="Calibri"/>
        <family val="2"/>
        <scheme val="minor"/>
      </rPr>
      <t xml:space="preserve">
Secretaría de Educación: </t>
    </r>
    <r>
      <rPr>
        <sz val="10"/>
        <color theme="1"/>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color theme="1"/>
        <rFont val="Calibri"/>
        <family val="2"/>
        <scheme val="minor"/>
      </rPr>
      <t xml:space="preserve">Corporación Universitaria Alexander von Humboldt: </t>
    </r>
    <r>
      <rPr>
        <sz val="10"/>
        <color theme="1"/>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color theme="1"/>
        <rFont val="Calibri"/>
        <family val="2"/>
        <scheme val="minor"/>
      </rPr>
      <t>Universidad del Quindio:</t>
    </r>
    <r>
      <rPr>
        <sz val="10"/>
        <color theme="1"/>
        <rFont val="Calibri"/>
        <family val="2"/>
        <scheme val="minor"/>
      </rPr>
      <t xml:space="preserve"> Datos correspondientes al año 2021 segundo semestre, ya que el II semestre del 2021 dio inicio finalizando el mes de agosto de 2021.
</t>
    </r>
    <r>
      <rPr>
        <b/>
        <sz val="10"/>
        <color theme="1"/>
        <rFont val="Calibri"/>
        <family val="2"/>
        <scheme val="minor"/>
      </rPr>
      <t>Observación</t>
    </r>
    <r>
      <rPr>
        <sz val="10"/>
        <color theme="1"/>
        <rFont val="Calibri"/>
        <family val="2"/>
        <scheme val="minor"/>
      </rPr>
      <t xml:space="preserve">: Se verifica en la página SNIES y se encuentran datos correspondientes al 2019.  </t>
    </r>
    <r>
      <rPr>
        <b/>
        <sz val="10"/>
        <color theme="1"/>
        <rFont val="Calibri"/>
        <family val="2"/>
        <scheme val="minor"/>
      </rPr>
      <t xml:space="preserve">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</si>
  <si>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(2022).
</t>
    </r>
  </si>
  <si>
    <r>
      <t>Alcaldía de Salento:</t>
    </r>
    <r>
      <rPr>
        <sz val="10"/>
        <color theme="1"/>
        <rFont val="Calibri"/>
        <family val="2"/>
        <scheme val="minor"/>
      </rPr>
      <t xml:space="preserve"> El Hospital San Vicente de Paul continúa con el proceso de atención a los jóvenes, a través del programa de Servicios Amigables.
</t>
    </r>
    <r>
      <rPr>
        <b/>
        <sz val="10"/>
        <color theme="1"/>
        <rFont val="Calibri"/>
        <family val="2"/>
        <scheme val="minor"/>
      </rPr>
      <t>Alcaldía de Quimbaya:</t>
    </r>
    <r>
      <rPr>
        <sz val="10"/>
        <color theme="1"/>
        <rFont val="Calibri"/>
        <family val="2"/>
        <scheme val="minor"/>
      </rPr>
      <t xml:space="preserve"> Hospital Sagrado Corazón De Jesús: Proceso de atención  a los jóvenes del programa de adulto joven y planificación familiar a  través del programa Servicios Amigables
</t>
    </r>
    <r>
      <rPr>
        <b/>
        <sz val="10"/>
        <color theme="1"/>
        <rFont val="Calibri"/>
        <family val="2"/>
        <scheme val="minor"/>
      </rPr>
      <t>Alcaldía de Montenegro:</t>
    </r>
    <r>
      <rPr>
        <sz val="10"/>
        <color theme="1"/>
        <rFont val="Calibri"/>
        <family val="2"/>
        <scheme val="minor"/>
      </rPr>
      <t xml:space="preserve"> No se presta este servicio en el municipio, ya que la prestación de servicios amigables corresponde a ciudades capitales.
</t>
    </r>
    <r>
      <rPr>
        <b/>
        <sz val="10"/>
        <color theme="1"/>
        <rFont val="Calibri"/>
        <family val="2"/>
        <scheme val="minor"/>
      </rPr>
      <t>Alcaldia de la Tebaida:</t>
    </r>
    <r>
      <rPr>
        <sz val="10"/>
        <color theme="1"/>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color theme="1"/>
        <rFont val="Calibri"/>
        <family val="2"/>
        <scheme val="minor"/>
      </rPr>
      <t xml:space="preserve">Alcaldía Calarcá: </t>
    </r>
    <r>
      <rPr>
        <sz val="10"/>
        <color theme="1"/>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color theme="1"/>
        <rFont val="Calibri"/>
        <family val="2"/>
        <scheme val="minor"/>
      </rPr>
      <t>Alcaldía Buenavista:</t>
    </r>
    <r>
      <rPr>
        <sz val="10"/>
        <color theme="1"/>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color theme="1"/>
        <rFont val="Calibri"/>
        <family val="2"/>
        <scheme val="minor"/>
      </rPr>
      <t xml:space="preserve">Alcaldía de Córdoba: </t>
    </r>
    <r>
      <rPr>
        <sz val="10"/>
        <color theme="1"/>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color theme="1"/>
        <rFont val="Calibri"/>
        <family val="2"/>
        <scheme val="minor"/>
      </rPr>
      <t>Alcaldía de Filandia:</t>
    </r>
    <r>
      <rPr>
        <sz val="10"/>
        <color theme="1"/>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color theme="1"/>
        <rFont val="Calibri"/>
        <family val="2"/>
        <scheme val="minor"/>
      </rPr>
      <t xml:space="preserve">Secretaría de Salud: </t>
    </r>
    <r>
      <rPr>
        <sz val="10"/>
        <color theme="1"/>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</si>
  <si>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t xml:space="preserve">
</t>
    </r>
    <r>
      <rPr>
        <b/>
        <sz val="10"/>
        <color theme="1"/>
        <rFont val="Calibri"/>
        <family val="2"/>
        <scheme val="minor"/>
      </rPr>
      <t xml:space="preserve">Secretaría de Salud: </t>
    </r>
    <r>
      <rPr>
        <sz val="10"/>
        <color theme="1"/>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</si>
  <si>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 xml:space="preserve">Alcaldía de La Tebaida: </t>
    </r>
    <r>
      <rPr>
        <sz val="10"/>
        <color theme="1"/>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color theme="1"/>
        <rFont val="Calibri"/>
        <family val="2"/>
        <scheme val="minor"/>
      </rPr>
      <t xml:space="preserve">Nota: </t>
    </r>
    <r>
      <rPr>
        <sz val="10"/>
        <color theme="1"/>
        <rFont val="Calibri"/>
        <family val="2"/>
        <scheme val="minor"/>
      </rPr>
      <t xml:space="preserve">total de 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Alcaldía de Pijao</t>
    </r>
    <r>
      <rPr>
        <sz val="10"/>
        <color theme="1"/>
        <rFont val="Calibri"/>
        <family val="2"/>
        <scheme val="minor"/>
      </rPr>
      <t xml:space="preserve">: Los representantes de los jóvenes son miembros activos y participan en el Comité de Salud Municipal.
</t>
    </r>
    <r>
      <rPr>
        <b/>
        <sz val="10"/>
        <color theme="1"/>
        <rFont val="Calibri"/>
        <family val="2"/>
        <scheme val="minor"/>
      </rPr>
      <t>Alcaldía Calarcá:</t>
    </r>
    <r>
      <rPr>
        <sz val="10"/>
        <color theme="1"/>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</si>
  <si>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color theme="1"/>
        <rFont val="Calibri"/>
        <family val="2"/>
        <scheme val="minor"/>
      </rPr>
      <t>Alcaldía Tebaida:</t>
    </r>
    <r>
      <rPr>
        <sz val="10"/>
        <color theme="1"/>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</si>
  <si>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color theme="1"/>
        <rFont val="Calibri"/>
        <family val="2"/>
        <scheme val="minor"/>
      </rPr>
      <t>Alcaldía Tebaida:</t>
    </r>
    <r>
      <rPr>
        <sz val="10"/>
        <color theme="1"/>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</si>
  <si>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 xml:space="preserve">Fortalecimiento y apoyo a las Escuelas de Formación Deportiva, reactivación de torneos de fútbol, fútbol de salón. </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color theme="1"/>
        <rFont val="Calibri"/>
        <family val="2"/>
        <scheme val="minor"/>
      </rPr>
      <t xml:space="preserve">
Alcaldía de Armenia: </t>
    </r>
    <r>
      <rPr>
        <sz val="10"/>
        <color theme="1"/>
        <rFont val="Calibri"/>
        <family val="2"/>
        <scheme val="minor"/>
      </rPr>
      <t>Promoción, apoyo logístico, ejecución y dotación  de programas de Hábitos y Estilos de Vida Saludable y Actividad Física.</t>
    </r>
    <r>
      <rPr>
        <b/>
        <sz val="10"/>
        <color theme="1"/>
        <rFont val="Calibri"/>
        <family val="2"/>
        <scheme val="minor"/>
      </rPr>
      <t xml:space="preserve">       
Alcaldía de Montenegro: S</t>
    </r>
    <r>
      <rPr>
        <sz val="10"/>
        <color theme="1"/>
        <rFont val="Calibri"/>
        <family val="2"/>
        <scheme val="minor"/>
      </rPr>
      <t xml:space="preserve">e ha fortalecido la oferta institucional frente a la actividad física al igual que los grupos de formación deportiva, se hace promoción y seguimiento de eventos y actividades
</t>
    </r>
    <r>
      <rPr>
        <b/>
        <sz val="10"/>
        <color theme="1"/>
        <rFont val="Calibri"/>
        <family val="2"/>
        <scheme val="minor"/>
      </rPr>
      <t>Alcaldía de Pijao:</t>
    </r>
    <r>
      <rPr>
        <sz val="10"/>
        <color theme="1"/>
        <rFont val="Calibri"/>
        <family val="2"/>
        <scheme val="minor"/>
      </rPr>
      <t xml:space="preserve"> Entrenamientos permanentes con las escuelas deportivas, actividades recreativas con el colegio la mariela (rural), apoyo actividades eninstituciones educativas urbanas en los interclases.</t>
    </r>
    <r>
      <rPr>
        <b/>
        <sz val="10"/>
        <color theme="1"/>
        <rFont val="Calibri"/>
        <family val="2"/>
        <scheme val="minor"/>
      </rPr>
      <t xml:space="preserve">
Alcaldía de Calarcá: </t>
    </r>
    <r>
      <rPr>
        <sz val="10"/>
        <color theme="1"/>
        <rFont val="Calibri"/>
        <family val="2"/>
        <scheme val="minor"/>
      </rPr>
      <t xml:space="preserve">Desde la Subsecretaría de Cultura se realizó el evento "Caciques más fuertes" y "Color fest".
</t>
    </r>
    <r>
      <rPr>
        <b/>
        <sz val="10"/>
        <color theme="1"/>
        <rFont val="Calibri"/>
        <family val="2"/>
        <scheme val="minor"/>
      </rPr>
      <t>Alcaldía Córdoba:</t>
    </r>
    <r>
      <rPr>
        <sz val="10"/>
        <color theme="1"/>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INDEPORTES: 1325  jóvenes atendidos con el Servicio de promoción de la actividad física, la recreación y el deporte, mediante Hábitos y Estilos de Vida Saludable, Acompañamiento a Grupos de Campistas Juveniles y recreación.
</t>
    </r>
    <r>
      <rPr>
        <b/>
        <sz val="10"/>
        <color theme="1"/>
        <rFont val="Calibri"/>
        <family val="2"/>
        <scheme val="minor"/>
      </rPr>
      <t xml:space="preserve">Alcaldía salento: </t>
    </r>
    <r>
      <rPr>
        <sz val="10"/>
        <color theme="1"/>
        <rFont val="Calibri"/>
        <family val="2"/>
        <scheme val="minor"/>
      </rPr>
      <t xml:space="preserve">177 jóvenes que pertenecen a escuelas deportivas.
</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</si>
  <si>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color theme="1"/>
        <rFont val="Calibri"/>
        <family val="2"/>
        <scheme val="minor"/>
      </rPr>
      <t xml:space="preserve">
Alcaldía de Armenia: </t>
    </r>
    <r>
      <rPr>
        <sz val="10"/>
        <color theme="1"/>
        <rFont val="Calibri"/>
        <family val="2"/>
        <scheme val="minor"/>
      </rPr>
      <t>Promoción, apoyo logístico, ejecución y dotación  de programas de Hábitos y Estilos de Vida Saludable y Actividad Física.</t>
    </r>
    <r>
      <rPr>
        <b/>
        <sz val="10"/>
        <color theme="1"/>
        <rFont val="Calibri"/>
        <family val="2"/>
        <scheme val="minor"/>
      </rPr>
      <t xml:space="preserve">       
Alcaldía de Montenegro: S</t>
    </r>
    <r>
      <rPr>
        <sz val="10"/>
        <color theme="1"/>
        <rFont val="Calibri"/>
        <family val="2"/>
        <scheme val="minor"/>
      </rPr>
      <t xml:space="preserve">e ha fortalecido la oferta institucional frente a la actividad física al igual que los grupos de formación deportiva, se hace promoción y seguimiento de eventos y actividades
</t>
    </r>
    <r>
      <rPr>
        <b/>
        <sz val="10"/>
        <color theme="1"/>
        <rFont val="Calibri"/>
        <family val="2"/>
        <scheme val="minor"/>
      </rPr>
      <t>Alcaldía de Pijao:</t>
    </r>
    <r>
      <rPr>
        <sz val="10"/>
        <color theme="1"/>
        <rFont val="Calibri"/>
        <family val="2"/>
        <scheme val="minor"/>
      </rPr>
      <t xml:space="preserve"> Entrenamientos permanentes con las escuelas deportivas, actividades recreativas con el colegio la mariela (rural), apoyo actividades eninstituciones educativas urbanas en los interclases.</t>
    </r>
    <r>
      <rPr>
        <b/>
        <sz val="10"/>
        <color theme="1"/>
        <rFont val="Calibri"/>
        <family val="2"/>
        <scheme val="minor"/>
      </rPr>
      <t xml:space="preserve">
Alcaldía de Calarcá: </t>
    </r>
    <r>
      <rPr>
        <sz val="10"/>
        <color theme="1"/>
        <rFont val="Calibri"/>
        <family val="2"/>
        <scheme val="minor"/>
      </rPr>
      <t xml:space="preserve">Desde la Subsecretaría de Cultura se realizó el evento "Caciques más fuertes" y "Color fest".
</t>
    </r>
    <r>
      <rPr>
        <b/>
        <sz val="10"/>
        <color theme="1"/>
        <rFont val="Calibri"/>
        <family val="2"/>
        <scheme val="minor"/>
      </rPr>
      <t xml:space="preserve">Alcaldía Salento: </t>
    </r>
    <r>
      <rPr>
        <sz val="10"/>
        <color theme="1"/>
        <rFont val="Calibri"/>
        <family val="2"/>
        <scheme val="minor"/>
      </rPr>
      <t xml:space="preserve">Se han realizado 2 torneos de microfútbol, 1 de baloncesto, en atletismo se ha realizado la carrera de la mujer. Durante trimestre, los días jueves se desarrollaron rumba terapias dirigidas a toda la comunidad.
</t>
    </r>
    <r>
      <rPr>
        <b/>
        <sz val="10"/>
        <color theme="1"/>
        <rFont val="Calibri"/>
        <family val="2"/>
        <scheme val="minor"/>
      </rPr>
      <t xml:space="preserve">INDEPORTES: </t>
    </r>
    <r>
      <rPr>
        <sz val="10"/>
        <color theme="1"/>
        <rFont val="Calibri"/>
        <family val="2"/>
        <scheme val="minor"/>
      </rPr>
      <t xml:space="preserve">Durante el periodo entre ENERO Y JUNIO se han atendido en los diferentes programas de INDEPORTES QUINDIO a 997 jóvenes entre los 14 y 28 años. La distribución es la siguiente:
Deporte Asociado: 351 jóvenes
Escuelas Deportivas: 353 jóvenes
Actividad fisica y recreación: 293 jóvenes.
</t>
    </r>
    <r>
      <rPr>
        <b/>
        <sz val="10"/>
        <color theme="1"/>
        <rFont val="Calibri"/>
        <family val="2"/>
        <scheme val="minor"/>
      </rPr>
      <t xml:space="preserve">Alcaldía salento: </t>
    </r>
    <r>
      <rPr>
        <sz val="10"/>
        <color theme="1"/>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color theme="1"/>
        <rFont val="Calibri"/>
        <family val="2"/>
        <scheme val="minor"/>
      </rPr>
      <t xml:space="preserve">Alcaldía de Circasia: </t>
    </r>
    <r>
      <rPr>
        <sz val="10"/>
        <color theme="1"/>
        <rFont val="Calibri"/>
        <family val="2"/>
        <scheme val="minor"/>
      </rPr>
      <t xml:space="preserve">En el municipio se ha realizado varias actividades dentro de ellas la escuelas de formación (6 escuelas de formacion 350 jovenes beneficiados)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</si>
  <si>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</si>
  <si>
    <r>
      <rPr>
        <b/>
        <sz val="10"/>
        <color theme="1"/>
        <rFont val="Calibri"/>
        <family val="2"/>
        <scheme val="minor"/>
      </rPr>
      <t xml:space="preserve">Secretaría de Salud:  </t>
    </r>
    <r>
      <rPr>
        <sz val="10"/>
        <color theme="1"/>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</si>
  <si>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color theme="1"/>
        <rFont val="Calibri"/>
        <family val="2"/>
        <scheme val="minor"/>
      </rPr>
      <t xml:space="preserve">Secretaría de Salud: </t>
    </r>
    <r>
      <rPr>
        <sz val="10"/>
        <color theme="1"/>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</si>
  <si>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t>$ 1,000,000
$ 2,855,000</t>
  </si>
  <si>
    <r>
      <rPr>
        <b/>
        <sz val="10"/>
        <color theme="1"/>
        <rFont val="Calibri"/>
        <family val="2"/>
        <scheme val="minor"/>
      </rPr>
      <t>Secretaría del Interior:</t>
    </r>
    <r>
      <rPr>
        <sz val="10"/>
        <color theme="1"/>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</si>
  <si>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t xml:space="preserve">
</t>
    </r>
    <r>
      <rPr>
        <b/>
        <sz val="10"/>
        <color theme="1"/>
        <rFont val="Calibri"/>
        <family val="2"/>
        <scheme val="minor"/>
      </rPr>
      <t xml:space="preserve">Secretaría del Interior: </t>
    </r>
    <r>
      <rPr>
        <sz val="10"/>
        <color theme="1"/>
        <rFont val="Calibri"/>
        <family val="2"/>
        <scheme val="minor"/>
      </rPr>
      <t xml:space="preserve">Acompañamiento y seguimiento en los municipios de Filandia, Córdoba, Montenegro y Quimbaya
</t>
    </r>
    <r>
      <rPr>
        <b/>
        <sz val="10"/>
        <color theme="1"/>
        <rFont val="Calibri"/>
        <family val="2"/>
        <scheme val="minor"/>
      </rPr>
      <t>Policía Nacional:</t>
    </r>
    <r>
      <rPr>
        <sz val="10"/>
        <color theme="1"/>
        <rFont val="Calibri"/>
        <family val="2"/>
        <scheme val="minor"/>
      </rPr>
      <t xml:space="preserve"> El Grupo de protección a la infancia y adolescencia, durante el periodo comprometido de julio a septiembre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theme="1"/>
        <rFont val="Calibri"/>
        <family val="2"/>
        <scheme val="minor"/>
      </rPr>
      <t>ICBF:</t>
    </r>
    <r>
      <rPr>
        <sz val="10"/>
        <color theme="1"/>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color theme="1"/>
        <rFont val="Calibri"/>
        <family val="2"/>
        <scheme val="minor"/>
      </rPr>
      <t xml:space="preserve">
Secretaría de Salud: </t>
    </r>
    <r>
      <rPr>
        <sz val="10"/>
        <color theme="1"/>
        <rFont val="Calibri"/>
        <family val="2"/>
        <scheme val="minor"/>
      </rPr>
      <t>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</si>
  <si>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rPr>
        <b/>
        <sz val="10"/>
        <color theme="1"/>
        <rFont val="Calibri"/>
        <family val="2"/>
        <scheme val="minor"/>
      </rPr>
      <t xml:space="preserve">Instituto de Medicina Legal: </t>
    </r>
    <r>
      <rPr>
        <sz val="10"/>
        <color theme="1"/>
        <rFont val="Calibri"/>
        <family val="2"/>
        <scheme val="minor"/>
      </rPr>
      <t>El Instituto Nacional de Medicina Legal y Ciencias Forenses no tiene dentro de sus funciones realizar programas de convivencia escolar ni programas de convivencia ciudadana.</t>
    </r>
    <r>
      <rPr>
        <b/>
        <sz val="10"/>
        <color theme="1"/>
        <rFont val="Calibri"/>
        <family val="2"/>
        <scheme val="minor"/>
      </rPr>
      <t xml:space="preserve">
Fiscalía:</t>
    </r>
    <r>
      <rPr>
        <sz val="10"/>
        <color theme="1"/>
        <rFont val="Calibri"/>
        <family val="2"/>
        <scheme val="minor"/>
      </rPr>
      <t xml:space="preserve"> el programa futuro colombia  de la fiscalía general de la nación  tiene  como finalidad incorporar estrategias de prevención intergral de los distintos fenómenos delincuanciales haciendo especial énfasis en aquellas  violencias en las las mujeres niños , niñas y adolescentes que  son víctimas. 
8 municipios intervenidos: circasia-calarcá-quimbaya-filandia-armenia-montenegro-génova-barcelona. Este trabajo se ralizó en el trimestre de abril a junio de 2024.
Población a la cual se intervino por medio de  talleres, estudios de casos,  dictados  para estudiantes-escuela de padres y formador de formadores para los docentes.
Población  intervenida durtante el periodo comprendido entre abril a junio de 2024  total intervención 5839.  
</t>
    </r>
    <r>
      <rPr>
        <b/>
        <sz val="10"/>
        <color theme="1"/>
        <rFont val="Calibri"/>
        <family val="2"/>
        <scheme val="minor"/>
      </rPr>
      <t xml:space="preserve">Secretaría del Interior: </t>
    </r>
    <r>
      <rPr>
        <sz val="10"/>
        <color theme="1"/>
        <rFont val="Calibri"/>
        <family val="2"/>
        <scheme val="minor"/>
      </rPr>
      <t xml:space="preserve">En este segundo trimestre del año 2024, la Secretaría de Interior desde su dirección de desarrollo comunitario, seguridad, convivencia y participación ciudadana elaboró el PISCC, con la participación de los jóvenes en sus mesas de trabajo
</t>
    </r>
    <r>
      <rPr>
        <b/>
        <sz val="10"/>
        <color theme="1"/>
        <rFont val="Calibri"/>
        <family val="2"/>
        <scheme val="minor"/>
      </rPr>
      <t>Policía Nacional:</t>
    </r>
    <r>
      <rPr>
        <sz val="10"/>
        <color theme="1"/>
        <rFont val="Calibri"/>
        <family val="2"/>
        <scheme val="minor"/>
      </rPr>
      <t xml:space="preserve"> 107 acciones desarrolladas, para el 2do trimestre 2024. (ABRE TUS OJOS - PREVENCION VIOLENCIA ESCOLAR - LEGISLACION NACIONAL).
</t>
    </r>
    <r>
      <rPr>
        <b/>
        <sz val="10"/>
        <color theme="1"/>
        <rFont val="Calibri"/>
        <family val="2"/>
        <scheme val="minor"/>
      </rPr>
      <t>ICBF:</t>
    </r>
    <r>
      <rPr>
        <sz val="10"/>
        <color theme="1"/>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color theme="1"/>
        <rFont val="Calibri"/>
        <family val="2"/>
        <scheme val="minor"/>
      </rPr>
      <t xml:space="preserve">
Secretaría de Salud: </t>
    </r>
    <r>
      <rPr>
        <sz val="10"/>
        <color theme="1"/>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color theme="1"/>
        <rFont val="Calibri"/>
        <family val="2"/>
        <scheme val="minor"/>
      </rPr>
      <t xml:space="preserve">Comisaría de Familia de Calarcá: </t>
    </r>
    <r>
      <rPr>
        <sz val="10"/>
        <color theme="1"/>
        <rFont val="Calibri"/>
        <family val="2"/>
        <scheme val="minor"/>
      </rPr>
      <t xml:space="preserve">Pendiente por ejecución, a partir de la aprobación del nuevo plan de desarrollo municipal  se llevará a cabo las actividades para el cumplimiento de estas  metas.
</t>
    </r>
    <r>
      <rPr>
        <b/>
        <sz val="10"/>
        <color theme="1"/>
        <rFont val="Calibri"/>
        <family val="2"/>
        <scheme val="minor"/>
      </rPr>
      <t>Comisaría de Familia de Buenavista</t>
    </r>
    <r>
      <rPr>
        <sz val="10"/>
        <color theme="1"/>
        <rFont val="Calibri"/>
        <family val="2"/>
        <scheme val="minor"/>
      </rPr>
      <t>: El día 14 de junio de 2024, Se realiza un  comité de consejo de seguridad y convivenvia.</t>
    </r>
    <r>
      <rPr>
        <b/>
        <sz val="10"/>
        <color theme="1"/>
        <rFont val="Calibri"/>
        <family val="2"/>
        <scheme val="minor"/>
      </rPr>
      <t xml:space="preserve">
Comisaría de Famila de Tebaida: </t>
    </r>
    <r>
      <rPr>
        <sz val="10"/>
        <color theme="1"/>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</si>
  <si>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t>$ 2,131,000
$ 57,630,000
$ 9,905,167
$ 6,447,50</t>
  </si>
  <si>
    <r>
      <rPr>
        <b/>
        <sz val="10"/>
        <color theme="1"/>
        <rFont val="Calibri"/>
        <family val="2"/>
        <scheme val="minor"/>
      </rPr>
      <t xml:space="preserve">Secretaría del Interior: </t>
    </r>
    <r>
      <rPr>
        <sz val="10"/>
        <color theme="1"/>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color theme="1"/>
        <rFont val="Calibri"/>
        <family val="2"/>
        <scheme val="minor"/>
      </rPr>
      <t xml:space="preserve">
Secretaría de educación:</t>
    </r>
    <r>
      <rPr>
        <sz val="10"/>
        <color theme="1"/>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</si>
  <si>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 </t>
    </r>
    <r>
      <rPr>
        <sz val="10"/>
        <color theme="1"/>
        <rFont val="Calibri"/>
        <family val="2"/>
        <scheme val="minor"/>
      </rPr>
      <t xml:space="preserve">La tasa actual es de  682 por cada 100 mil  jovenes según informe de página JUACO, 2019
</t>
    </r>
    <r>
      <rPr>
        <b/>
        <sz val="10"/>
        <color theme="1"/>
        <rFont val="Calibri"/>
        <family val="2"/>
        <scheme val="minor"/>
      </rPr>
      <t xml:space="preserve">Comisaria de Familia Buenavista: </t>
    </r>
    <r>
      <rPr>
        <sz val="10"/>
        <color theme="1"/>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color theme="1"/>
        <rFont val="Calibri"/>
        <family val="2"/>
        <scheme val="minor"/>
      </rPr>
      <t xml:space="preserve">
Comisaría de Familia La Tebaida: </t>
    </r>
    <r>
      <rPr>
        <sz val="10"/>
        <color theme="1"/>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Comisaría de Familia Córdoba:</t>
    </r>
    <r>
      <rPr>
        <sz val="10"/>
        <color theme="1"/>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 xml:space="preserve">ICBF: </t>
    </r>
    <r>
      <rPr>
        <sz val="10"/>
        <color theme="1"/>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color theme="1"/>
        <rFont val="Calibri"/>
        <family val="2"/>
        <scheme val="minor"/>
      </rPr>
      <t>Alcaldía Montenegro:</t>
    </r>
    <r>
      <rPr>
        <sz val="10"/>
        <color theme="1"/>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color theme="1"/>
        <rFont val="Calibri"/>
        <family val="2"/>
        <scheme val="minor"/>
      </rPr>
      <t>Alcaldía Buenavista:</t>
    </r>
    <r>
      <rPr>
        <sz val="10"/>
        <color theme="1"/>
        <rFont val="Calibri"/>
        <family val="2"/>
        <scheme val="minor"/>
      </rPr>
      <t xml:space="preserve"> interpersonal se realizan campañas lideradas por comisaria de familia y se apoyan de manera interinstitucional.
</t>
    </r>
    <r>
      <rPr>
        <b/>
        <sz val="10"/>
        <color theme="1"/>
        <rFont val="Calibri"/>
        <family val="2"/>
        <scheme val="minor"/>
      </rPr>
      <t>Alcaldía Calarcá:</t>
    </r>
    <r>
      <rPr>
        <sz val="10"/>
        <color theme="1"/>
        <rFont val="Calibri"/>
        <family val="2"/>
        <scheme val="minor"/>
      </rPr>
      <t xml:space="preserve"> desde los programas de salud mental, discapacidad y juventudes se realizan talleres en instituciones educativas con el fin  de fortalecer la convivencia escolar en estas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Alcaldía de Cordoba:</t>
    </r>
    <r>
      <rPr>
        <sz val="10"/>
        <color theme="1"/>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</si>
  <si>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 </t>
    </r>
    <r>
      <rPr>
        <sz val="10"/>
        <color theme="1"/>
        <rFont val="Calibri"/>
        <family val="2"/>
        <scheme val="minor"/>
      </rPr>
      <t xml:space="preserve">Desde la secretaría se han realizado 20 capacitaciones en torno a la protección de la sana convivencia en familia y social, estas se han llevado desarrollado en los municipios de Montenegro, Armenia, Calarcá, La Tebaida, Quimbaya y Circasia.
</t>
    </r>
    <r>
      <rPr>
        <b/>
        <sz val="10"/>
        <color theme="1"/>
        <rFont val="Calibri"/>
        <family val="2"/>
        <scheme val="minor"/>
      </rPr>
      <t xml:space="preserve">Comisaria de Familia Buenavista: </t>
    </r>
    <r>
      <rPr>
        <sz val="10"/>
        <color theme="1"/>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color theme="1"/>
        <rFont val="Calibri"/>
        <family val="2"/>
        <scheme val="minor"/>
      </rPr>
      <t xml:space="preserve">
Comisaría de Familia La Tebaida: </t>
    </r>
    <r>
      <rPr>
        <sz val="10"/>
        <color theme="1"/>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Comisaría de Familia Córdoba:</t>
    </r>
    <r>
      <rPr>
        <sz val="10"/>
        <color theme="1"/>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color theme="1"/>
        <rFont val="Calibri"/>
        <family val="2"/>
        <scheme val="minor"/>
      </rPr>
      <t xml:space="preserve">Alcaldía de Salento: </t>
    </r>
    <r>
      <rPr>
        <sz val="10"/>
        <color theme="1"/>
        <rFont val="Calibri"/>
        <family val="2"/>
        <scheme val="minor"/>
      </rPr>
      <t xml:space="preserve">Se ha reallizado una sesión del comité de convivencia escolar donde se tratan temas de interés 
</t>
    </r>
    <r>
      <rPr>
        <b/>
        <sz val="10"/>
        <color theme="1"/>
        <rFont val="Calibri"/>
        <family val="2"/>
        <scheme val="minor"/>
      </rPr>
      <t xml:space="preserve">ICBF: </t>
    </r>
    <r>
      <rPr>
        <sz val="10"/>
        <color theme="1"/>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color theme="1"/>
        <rFont val="Calibri"/>
        <family val="2"/>
        <scheme val="minor"/>
      </rPr>
      <t>Alcaldía Montenegro:</t>
    </r>
    <r>
      <rPr>
        <sz val="10"/>
        <color theme="1"/>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color theme="1"/>
        <rFont val="Calibri"/>
        <family val="2"/>
        <scheme val="minor"/>
      </rPr>
      <t>Alcaldía Buenavista:</t>
    </r>
    <r>
      <rPr>
        <sz val="10"/>
        <color theme="1"/>
        <rFont val="Calibri"/>
        <family val="2"/>
        <scheme val="minor"/>
      </rPr>
      <t xml:space="preserve"> interpersonal se realizan campañas lideradas por comisaria de familia y se apoyan de manera interinstitucional.
</t>
    </r>
    <r>
      <rPr>
        <b/>
        <sz val="10"/>
        <color theme="1"/>
        <rFont val="Calibri"/>
        <family val="2"/>
        <scheme val="minor"/>
      </rPr>
      <t>Alcaldía Calarcá:</t>
    </r>
    <r>
      <rPr>
        <sz val="10"/>
        <color theme="1"/>
        <rFont val="Calibri"/>
        <family val="2"/>
        <scheme val="minor"/>
      </rPr>
      <t xml:space="preserve"> desde los programas de salud mental, discapacidad y juventudes se realizan talleres en instituciones educativas con el fin  de fortalecer la convivencia escolar en estas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Alcaldía de Salento:</t>
    </r>
    <r>
      <rPr>
        <sz val="10"/>
        <color theme="1"/>
        <rFont val="Calibri"/>
        <family val="2"/>
        <scheme val="minor"/>
      </rPr>
      <t xml:space="preserve"> Se han realizado dos sesiones del comité de convivencia escolar donde se tratan temas de interés </t>
    </r>
  </si>
  <si>
    <r>
      <rPr>
        <b/>
        <sz val="10"/>
        <color theme="1"/>
        <rFont val="Calibri"/>
        <family val="2"/>
        <scheme val="minor"/>
      </rPr>
      <t>Secretaría del Interior:</t>
    </r>
    <r>
      <rPr>
        <sz val="10"/>
        <color theme="1"/>
        <rFont val="Calibri"/>
        <family val="2"/>
        <scheme val="minor"/>
      </rPr>
      <t xml:space="preserve"> No reportó información correspondiente a este indicador en este trimestre.</t>
    </r>
  </si>
  <si>
    <r>
      <t xml:space="preserve">
 No se encuentra definida la tasa nacional
</t>
    </r>
    <r>
      <rPr>
        <b/>
        <sz val="10"/>
        <color theme="1"/>
        <rFont val="Calibri"/>
        <family val="2"/>
        <scheme val="minor"/>
      </rPr>
      <t xml:space="preserve">Alcaldía Montenegro: </t>
    </r>
    <r>
      <rPr>
        <sz val="10"/>
        <color theme="1"/>
        <rFont val="Calibri"/>
        <family val="2"/>
        <scheme val="minor"/>
      </rPr>
      <t xml:space="preserve">se han realizado campañas y talleres en las instituciones educativas sobre prevención al sexting, convivencia ciudadana y demás
</t>
    </r>
    <r>
      <rPr>
        <b/>
        <sz val="10"/>
        <color theme="1"/>
        <rFont val="Calibri"/>
        <family val="2"/>
        <scheme val="minor"/>
      </rPr>
      <t>Alcaldía de Córdoba:</t>
    </r>
    <r>
      <rPr>
        <sz val="10"/>
        <color theme="1"/>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color theme="1"/>
        <rFont val="Calibri"/>
        <family val="2"/>
        <scheme val="minor"/>
      </rPr>
      <t xml:space="preserve">Alcaldía de Pijao: </t>
    </r>
    <r>
      <rPr>
        <sz val="10"/>
        <color theme="1"/>
        <rFont val="Calibri"/>
        <family val="2"/>
        <scheme val="minor"/>
      </rPr>
      <t xml:space="preserve">No cuenta con casos, no se adelanta ninguna acción.
</t>
    </r>
    <r>
      <rPr>
        <b/>
        <sz val="10"/>
        <color theme="1"/>
        <rFont val="Calibri"/>
        <family val="2"/>
        <scheme val="minor"/>
      </rPr>
      <t xml:space="preserve">Secretaría de Familia: </t>
    </r>
    <r>
      <rPr>
        <sz val="10"/>
        <color theme="1"/>
        <rFont val="Calibri"/>
        <family val="2"/>
        <scheme val="minor"/>
      </rPr>
      <t xml:space="preserve">Desde la Jefatura de Juventud, se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</si>
  <si>
    <r>
      <t xml:space="preserve">
</t>
    </r>
    <r>
      <rPr>
        <b/>
        <sz val="10"/>
        <color theme="1"/>
        <rFont val="Calibri"/>
        <family val="2"/>
        <scheme val="minor"/>
      </rPr>
      <t xml:space="preserve"> Nota: </t>
    </r>
    <r>
      <rPr>
        <sz val="10"/>
        <color theme="1"/>
        <rFont val="Calibri"/>
        <family val="2"/>
        <scheme val="minor"/>
      </rPr>
      <t xml:space="preserve">No se encuentra definida la tasa nacional
</t>
    </r>
    <r>
      <rPr>
        <b/>
        <sz val="10"/>
        <color theme="1"/>
        <rFont val="Calibri"/>
        <family val="2"/>
        <scheme val="minor"/>
      </rPr>
      <t xml:space="preserve">Alcaldía Montenegro: </t>
    </r>
    <r>
      <rPr>
        <sz val="10"/>
        <color theme="1"/>
        <rFont val="Calibri"/>
        <family val="2"/>
        <scheme val="minor"/>
      </rPr>
      <t xml:space="preserve">se han realizado campañas y talleres en las instituciones educativas sobre prevención al sexting, convivencia ciudadana y demás
</t>
    </r>
    <r>
      <rPr>
        <b/>
        <sz val="10"/>
        <color theme="1"/>
        <rFont val="Calibri"/>
        <family val="2"/>
        <scheme val="minor"/>
      </rPr>
      <t>Alcaldía de Circasia:</t>
    </r>
    <r>
      <rPr>
        <sz val="10"/>
        <color theme="1"/>
        <rFont val="Calibri"/>
        <family val="2"/>
        <scheme val="minor"/>
      </rPr>
      <t xml:space="preserve"> En el municipio de Circasia, con los consejos de seguridad adelantados como estrategia, hemos logrado mitigar y alcanzar 0 homicidios a la fecha en nuestro municipio.
</t>
    </r>
    <r>
      <rPr>
        <b/>
        <sz val="10"/>
        <color theme="1"/>
        <rFont val="Calibri"/>
        <family val="2"/>
        <scheme val="minor"/>
      </rPr>
      <t>Alcaldía de Salento:</t>
    </r>
    <r>
      <rPr>
        <sz val="10"/>
        <color theme="1"/>
        <rFont val="Calibri"/>
        <family val="2"/>
        <scheme val="minor"/>
      </rPr>
      <t xml:space="preserve"> Se han realizado cuatro campañas referentes a este tema, en las instituciones de educación.
</t>
    </r>
    <r>
      <rPr>
        <b/>
        <sz val="10"/>
        <color theme="1"/>
        <rFont val="Calibri"/>
        <family val="2"/>
        <scheme val="minor"/>
      </rPr>
      <t xml:space="preserve">Alcaldía de Pijao: </t>
    </r>
    <r>
      <rPr>
        <sz val="10"/>
        <color theme="1"/>
        <rFont val="Calibri"/>
        <family val="2"/>
        <scheme val="minor"/>
      </rPr>
      <t>No cuenta con casos, no se adelanta ninguna acción.
Secretaría de Familia:</t>
    </r>
    <r>
      <rPr>
        <b/>
        <sz val="10"/>
        <color theme="1"/>
        <rFont val="Calibri"/>
        <family val="2"/>
        <scheme val="minor"/>
      </rPr>
      <t xml:space="preserve"> </t>
    </r>
    <r>
      <rPr>
        <sz val="10"/>
        <color theme="1"/>
        <rFont val="Calibri"/>
        <family val="2"/>
        <scheme val="minor"/>
      </rPr>
      <t xml:space="preserve">Desde la Jefatura de Juventud, se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 xml:space="preserve">Secretaría del Interior: </t>
    </r>
    <r>
      <rPr>
        <sz val="10"/>
        <color theme="1"/>
        <rFont val="Calibri"/>
        <family val="2"/>
        <scheme val="minor"/>
      </rPr>
      <t xml:space="preserve">Desde la secretaría se han realizado 20 capacitaciones en torno a la protección de la sana convivencia en familia y social, estas se han llevado desarrollado en los munucipios de Montenegro, Armenia, Calarcá, La Tebaida, Quimbaya y Circasia.  
</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</si>
  <si>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b/>
        <sz val="10"/>
        <color theme="1"/>
        <rFont val="Calibri"/>
        <family val="2"/>
        <scheme val="minor"/>
      </rPr>
      <t xml:space="preserve">Secretaría de Tránsito y Transporte de Armenia: </t>
    </r>
    <r>
      <rPr>
        <sz val="10"/>
        <color theme="1"/>
        <rFont val="Calibri"/>
        <family val="2"/>
        <scheme val="minor"/>
      </rPr>
      <t xml:space="preserve">No Reporta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</si>
  <si>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131 según fuente de verificación, sin embargo la tasa nacional no fue encontrada en esta fuente.
</t>
    </r>
    <r>
      <rPr>
        <b/>
        <sz val="10"/>
        <color theme="1"/>
        <rFont val="Calibri"/>
        <family val="2"/>
        <scheme val="minor"/>
      </rPr>
      <t>Alcaldía de Armenia:</t>
    </r>
    <r>
      <rPr>
        <sz val="10"/>
        <color theme="1"/>
        <rFont val="Calibri"/>
        <family val="2"/>
        <scheme val="minor"/>
      </rPr>
      <t xml:space="preserve"> Realización de educación a personas en todos los cursos de vida en la prevención del accidente de tránsito 301.
</t>
    </r>
    <r>
      <rPr>
        <b/>
        <sz val="10"/>
        <color theme="1"/>
        <rFont val="Calibri"/>
        <family val="2"/>
        <scheme val="minor"/>
      </rPr>
      <t>Alcaldía Salento:</t>
    </r>
    <r>
      <rPr>
        <sz val="10"/>
        <color theme="1"/>
        <rFont val="Calibri"/>
        <family val="2"/>
        <scheme val="minor"/>
      </rPr>
      <t xml:space="preserve"> En ejecución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Jornadas de capacitación en las 17 Instituciones Educativas del Municipio.
</t>
    </r>
    <r>
      <rPr>
        <b/>
        <sz val="10"/>
        <color theme="1"/>
        <rFont val="Calibri"/>
        <family val="2"/>
        <scheme val="minor"/>
      </rPr>
      <t>Alcaldía de Pijao</t>
    </r>
    <r>
      <rPr>
        <sz val="10"/>
        <color theme="1"/>
        <rFont val="Calibri"/>
        <family val="2"/>
        <scheme val="minor"/>
      </rPr>
      <t xml:space="preserve">: No cuenta con casos, no se adelanta ninguna acción.
</t>
    </r>
    <r>
      <rPr>
        <b/>
        <sz val="10"/>
        <color theme="1"/>
        <rFont val="Calibri"/>
        <family val="2"/>
        <scheme val="minor"/>
      </rPr>
      <t>IDTQ:</t>
    </r>
    <r>
      <rPr>
        <sz val="10"/>
        <color theme="1"/>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color theme="1"/>
        <rFont val="Calibri"/>
        <family val="2"/>
        <scheme val="minor"/>
      </rPr>
      <t>Alcaldía de Montenegro:</t>
    </r>
    <r>
      <rPr>
        <sz val="10"/>
        <color theme="1"/>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</si>
  <si>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131 según fuente de verificación, sin embargo la tasa nacional no fue encontrada en esta fuente.
</t>
    </r>
    <r>
      <rPr>
        <b/>
        <sz val="10"/>
        <color theme="1"/>
        <rFont val="Calibri"/>
        <family val="2"/>
        <scheme val="minor"/>
      </rPr>
      <t>Alcaldía de Armenia:</t>
    </r>
    <r>
      <rPr>
        <sz val="10"/>
        <color theme="1"/>
        <rFont val="Calibri"/>
        <family val="2"/>
        <scheme val="minor"/>
      </rPr>
      <t xml:space="preserve"> Realización de educación a personas en todos los cursos de vida en la prevención del accidente de tránsito 301.
</t>
    </r>
    <r>
      <rPr>
        <b/>
        <sz val="10"/>
        <color theme="1"/>
        <rFont val="Calibri"/>
        <family val="2"/>
        <scheme val="minor"/>
      </rPr>
      <t>Alcaldía Salento:</t>
    </r>
    <r>
      <rPr>
        <sz val="10"/>
        <color theme="1"/>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color theme="1"/>
        <rFont val="Calibri"/>
        <family val="2"/>
        <scheme val="minor"/>
      </rPr>
      <t>Alcaldía de Calarcá</t>
    </r>
    <r>
      <rPr>
        <sz val="10"/>
        <color theme="1"/>
        <rFont val="Calibri"/>
        <family val="2"/>
        <scheme val="minor"/>
      </rPr>
      <t xml:space="preserve">: campañas de sensibilización y cultura vial con los diferentes actores viales- Jornadas de Capacitación en las 17 Instituciones Educativas del Municipio
</t>
    </r>
    <r>
      <rPr>
        <b/>
        <sz val="10"/>
        <color theme="1"/>
        <rFont val="Calibri"/>
        <family val="2"/>
        <scheme val="minor"/>
      </rPr>
      <t>Alcaldía de Pijao</t>
    </r>
    <r>
      <rPr>
        <sz val="10"/>
        <color theme="1"/>
        <rFont val="Calibri"/>
        <family val="2"/>
        <scheme val="minor"/>
      </rPr>
      <t xml:space="preserve">: No cuenta con casos, no se adelanta ninguna acción.
</t>
    </r>
    <r>
      <rPr>
        <b/>
        <sz val="10"/>
        <color theme="1"/>
        <rFont val="Calibri"/>
        <family val="2"/>
        <scheme val="minor"/>
      </rPr>
      <t>IDTQ:</t>
    </r>
    <r>
      <rPr>
        <sz val="10"/>
        <color theme="1"/>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color theme="1"/>
        <rFont val="Calibri"/>
        <family val="2"/>
        <scheme val="minor"/>
      </rPr>
      <t>Alcaldía de Montenegro:</t>
    </r>
    <r>
      <rPr>
        <sz val="10"/>
        <color theme="1"/>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color theme="1"/>
        <rFont val="Calibri"/>
        <family val="2"/>
        <scheme val="minor"/>
      </rPr>
      <t>Alcaldía de Circasia:</t>
    </r>
    <r>
      <rPr>
        <sz val="10"/>
        <color theme="1"/>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r>
      <rPr>
        <b/>
        <sz val="10"/>
        <color theme="1"/>
        <rFont val="Calibri"/>
        <family val="2"/>
        <scheme val="minor"/>
      </rPr>
      <t xml:space="preserve">Alcaldía de Salento: </t>
    </r>
    <r>
      <rPr>
        <sz val="10"/>
        <color theme="1"/>
        <rFont val="Calibri"/>
        <family val="2"/>
        <scheme val="minor"/>
      </rPr>
      <t>en articulación con el instituto de departamental de transito  del quindio desarrollan operativos en el area urbana y rural co el objetivo de impactar en términos de educacion en los actores viales del muicipio, hablamos de peatones, de vehiculos, de transporte público, de transpote especial y disminuir los índices de accidentabilidad.</t>
    </r>
  </si>
  <si>
    <r>
      <rPr>
        <b/>
        <sz val="10"/>
        <color theme="1"/>
        <rFont val="Calibri"/>
        <family val="2"/>
        <scheme val="minor"/>
      </rPr>
      <t>Secretaría del Interior</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En la página de Forensis de medicina legal se reportan datos solamente hasta el 2019.  
</t>
    </r>
    <r>
      <rPr>
        <b/>
        <sz val="10"/>
        <color theme="1"/>
        <rFont val="Calibri"/>
        <family val="2"/>
        <scheme val="minor"/>
      </rPr>
      <t>Secretaría de Familia:</t>
    </r>
    <r>
      <rPr>
        <sz val="10"/>
        <color theme="1"/>
        <rFont val="Calibri"/>
        <family val="2"/>
        <scheme val="minor"/>
      </rPr>
      <t xml:space="preserve"> Reporta la realización de actividades dirigidas al fortalecimiento de los entornos protectores a través del aprovechamiento del tiempo libre y la promoción del Barrismo social.</t>
    </r>
    <r>
      <rPr>
        <b/>
        <sz val="10"/>
        <color theme="1"/>
        <rFont val="Calibri"/>
        <family val="2"/>
        <scheme val="minor"/>
      </rPr>
      <t xml:space="preserve">
</t>
    </r>
  </si>
  <si>
    <r>
      <rPr>
        <b/>
        <sz val="10"/>
        <color theme="1"/>
        <rFont val="Calibri"/>
        <family val="2"/>
        <scheme val="minor"/>
      </rPr>
      <t>Observación</t>
    </r>
    <r>
      <rPr>
        <sz val="10"/>
        <color theme="1"/>
        <rFont val="Calibri"/>
        <family val="2"/>
        <scheme val="minor"/>
      </rPr>
      <t xml:space="preserve">: No se encuentra definida la tasa nacional
</t>
    </r>
    <r>
      <rPr>
        <b/>
        <sz val="10"/>
        <color theme="1"/>
        <rFont val="Calibri"/>
        <family val="2"/>
        <scheme val="minor"/>
      </rPr>
      <t xml:space="preserve">Secretaría de Familia: </t>
    </r>
    <r>
      <rPr>
        <sz val="10"/>
        <color theme="1"/>
        <rFont val="Calibri"/>
        <family val="2"/>
        <scheme val="minor"/>
      </rPr>
      <t>la tasa de suicidios x 100 mil jóvenes es 7,2 según fuente de verificación, sin embargo la tasa nacional no fue encontrada en esta fuente.</t>
    </r>
    <r>
      <rPr>
        <b/>
        <sz val="10"/>
        <color theme="1"/>
        <rFont val="Calibri"/>
        <family val="2"/>
        <scheme val="minor"/>
      </rPr>
      <t xml:space="preserve">
Secretaría de Salud:</t>
    </r>
    <r>
      <rPr>
        <sz val="10"/>
        <color theme="1"/>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Población cubierta con acciones de promoción de factores protectores frente a la conducta suicida, 5000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 xml:space="preserve">Alcaldía de Pijao: </t>
    </r>
    <r>
      <rPr>
        <sz val="10"/>
        <color theme="1"/>
        <rFont val="Calibri"/>
        <family val="2"/>
        <scheme val="minor"/>
      </rPr>
      <t xml:space="preserve">1 capacitación sobre prevención al suicidio y rutas de atención, en la Institución Educativa Santa Teresita.
</t>
    </r>
    <r>
      <rPr>
        <b/>
        <sz val="10"/>
        <color theme="1"/>
        <rFont val="Calibri"/>
        <family val="2"/>
        <scheme val="minor"/>
      </rPr>
      <t xml:space="preserve">Alcaldía de Calarcá: </t>
    </r>
    <r>
      <rPr>
        <sz val="10"/>
        <color theme="1"/>
        <rFont val="Calibri"/>
        <family val="2"/>
        <scheme val="minor"/>
      </rPr>
      <t xml:space="preserve">Se han realizado talleres de prevencion del suicidio, manejo de emociones y habilidades para la vida en diferentes instituciones del municipio de Calarcá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</si>
  <si>
    <r>
      <rPr>
        <b/>
        <sz val="10"/>
        <color theme="1"/>
        <rFont val="Calibri"/>
        <family val="2"/>
        <scheme val="minor"/>
      </rPr>
      <t>Observación</t>
    </r>
    <r>
      <rPr>
        <sz val="10"/>
        <color theme="1"/>
        <rFont val="Calibri"/>
        <family val="2"/>
        <scheme val="minor"/>
      </rPr>
      <t xml:space="preserve">: No se encuentra definida la tasa nacional
</t>
    </r>
    <r>
      <rPr>
        <b/>
        <sz val="10"/>
        <color theme="1"/>
        <rFont val="Calibri"/>
        <family val="2"/>
        <scheme val="minor"/>
      </rPr>
      <t xml:space="preserve">Secretaría de Familia: </t>
    </r>
    <r>
      <rPr>
        <sz val="10"/>
        <color theme="1"/>
        <rFont val="Calibri"/>
        <family val="2"/>
        <scheme val="minor"/>
      </rPr>
      <t>la tasa de suicidios x 100 mil jóvenes es 7,2 según fuente de verificación, sin embargo la tasa nacional no fue encontrada en esta fuente.</t>
    </r>
    <r>
      <rPr>
        <b/>
        <sz val="10"/>
        <color theme="1"/>
        <rFont val="Calibri"/>
        <family val="2"/>
        <scheme val="minor"/>
      </rPr>
      <t xml:space="preserve">
Secretaría de Salud:</t>
    </r>
    <r>
      <rPr>
        <sz val="10"/>
        <color theme="1"/>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Población cubierta con acciones de promoción de factores protectores frente a la conducta suicida, 5000 jóvenes 
</t>
    </r>
    <r>
      <rPr>
        <b/>
        <sz val="10"/>
        <color theme="1"/>
        <rFont val="Calibri"/>
        <family val="2"/>
        <scheme val="minor"/>
      </rPr>
      <t>Alcaldía de Salento</t>
    </r>
    <r>
      <rPr>
        <sz val="10"/>
        <color theme="1"/>
        <rFont val="Calibri"/>
        <family val="2"/>
        <scheme val="minor"/>
      </rPr>
      <t xml:space="preserve">: Se cuenta con cuatro profesionales del área de salud mental 
</t>
    </r>
    <r>
      <rPr>
        <b/>
        <sz val="10"/>
        <color theme="1"/>
        <rFont val="Calibri"/>
        <family val="2"/>
        <scheme val="minor"/>
      </rPr>
      <t>Alcaldía de Salento</t>
    </r>
    <r>
      <rPr>
        <sz val="10"/>
        <color theme="1"/>
        <rFont val="Calibri"/>
        <family val="2"/>
        <scheme val="minor"/>
      </rPr>
      <t xml:space="preserve">: Se cuenta con cuatro profesionales en el área de salud mental.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 xml:space="preserve">Alcaldía de Pijao: </t>
    </r>
    <r>
      <rPr>
        <sz val="10"/>
        <color theme="1"/>
        <rFont val="Calibri"/>
        <family val="2"/>
        <scheme val="minor"/>
      </rPr>
      <t xml:space="preserve">1 capacitación sobre prevención al suicidio y rutas de atención, en la Institución Educativa Santa Teresita.
</t>
    </r>
    <r>
      <rPr>
        <b/>
        <sz val="10"/>
        <color theme="1"/>
        <rFont val="Calibri"/>
        <family val="2"/>
        <scheme val="minor"/>
      </rPr>
      <t xml:space="preserve">Alcaldía de Calarcá: </t>
    </r>
    <r>
      <rPr>
        <sz val="10"/>
        <color theme="1"/>
        <rFont val="Calibri"/>
        <family val="2"/>
        <scheme val="minor"/>
      </rPr>
      <t xml:space="preserve">Se han realizado talleres de prevencion del suicidio, manejo de emociones y habilidades para la vida en diferentes instituciones del municipio de Calarcá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theme="1"/>
        <rFont val="Calibri"/>
        <family val="2"/>
        <scheme val="minor"/>
      </rPr>
      <t xml:space="preserve">Alcaldía de Circasia: </t>
    </r>
    <r>
      <rPr>
        <sz val="10"/>
        <color theme="1"/>
        <rFont val="Calibri"/>
        <family val="2"/>
        <scheme val="minor"/>
      </rPr>
      <t xml:space="preserve">Se ha realizado un plan de acción para el seguimiento de rutas en compañía del ICBF, instituciones educativas, Policía Nacional y comisarías.
</t>
    </r>
    <r>
      <rPr>
        <b/>
        <sz val="10"/>
        <color theme="1"/>
        <rFont val="Calibri"/>
        <family val="2"/>
        <scheme val="minor"/>
      </rPr>
      <t>Alcaldía de Montenegro:</t>
    </r>
    <r>
      <rPr>
        <sz val="10"/>
        <color theme="1"/>
        <rFont val="Calibri"/>
        <family val="2"/>
        <scheme val="minor"/>
      </rPr>
      <t xml:space="preserve"> Minimizar los riesgos de suicidio y alto riesgo de consumo articulando las actividades con Fundación Hogares Claret.</t>
    </r>
  </si>
  <si>
    <r>
      <rPr>
        <b/>
        <sz val="10"/>
        <color theme="1"/>
        <rFont val="Calibri"/>
        <family val="2"/>
        <scheme val="minor"/>
      </rPr>
      <t>Instituto Regional de Bienestar de Familiar regional Quindío (ICBF)</t>
    </r>
    <r>
      <rPr>
        <sz val="10"/>
        <color theme="1"/>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</si>
  <si>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 xml:space="preserve">Se ejecutó el seguimiento a la ejecución de los planes de acción en un 100%.   </t>
    </r>
    <r>
      <rPr>
        <b/>
        <sz val="10"/>
        <color theme="1"/>
        <rFont val="Calibri"/>
        <family val="2"/>
        <scheme val="minor"/>
      </rPr>
      <t xml:space="preserve">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</si>
  <si>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t xml:space="preserve">Se ejecutó el seguimiento a la ejecución de los planes de acción en un 100%.   </t>
    </r>
    <r>
      <rPr>
        <b/>
        <sz val="10"/>
        <color theme="1"/>
        <rFont val="Calibri"/>
        <family val="2"/>
        <scheme val="minor"/>
      </rPr>
      <t xml:space="preserve">                                              
Secretaría del Interior: </t>
    </r>
    <r>
      <rPr>
        <sz val="10"/>
        <color theme="1"/>
        <rFont val="Calibri"/>
        <family val="2"/>
        <scheme val="minor"/>
      </rPr>
      <t xml:space="preserve">En razón de la finalización de la política HAZ PAZ, la secretaría de interior dictó 1 taller de identificación de violencias y construcción de paz positiva en los colegios del departamento. 
</t>
    </r>
  </si>
  <si>
    <r>
      <t>Secretaría del Interior:</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Se verifica en Forensis que el indicador está por debajo de la media nacional, por tanto el indicador se cumple.
</t>
    </r>
    <r>
      <rPr>
        <b/>
        <sz val="10"/>
        <color theme="1"/>
        <rFont val="Calibri"/>
        <family val="2"/>
        <scheme val="minor"/>
      </rPr>
      <t>Secretaría Familia:</t>
    </r>
    <r>
      <rPr>
        <sz val="10"/>
        <color theme="1"/>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</si>
  <si>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t>
    </r>
    <r>
      <rPr>
        <sz val="10"/>
        <color theme="1"/>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sin embargo la tasa nacional no fue encontrada en esta fuente.
</t>
    </r>
    <r>
      <rPr>
        <b/>
        <sz val="10"/>
        <color theme="1"/>
        <rFont val="Calibri"/>
        <family val="2"/>
        <scheme val="minor"/>
      </rPr>
      <t xml:space="preserve">Secretaria de Salud: </t>
    </r>
    <r>
      <rPr>
        <sz val="10"/>
        <color theme="1"/>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</si>
  <si>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rPr>
        <b/>
        <sz val="10"/>
        <color theme="1"/>
        <rFont val="Calibri"/>
        <family val="2"/>
        <scheme val="minor"/>
      </rPr>
      <t xml:space="preserve">Observación: </t>
    </r>
    <r>
      <rPr>
        <sz val="10"/>
        <color theme="1"/>
        <rFont val="Calibri"/>
        <family val="2"/>
        <scheme val="minor"/>
      </rPr>
      <t>No se encuentra definida la tasa nacional</t>
    </r>
    <r>
      <rPr>
        <b/>
        <sz val="10"/>
        <color theme="1"/>
        <rFont val="Calibri"/>
        <family val="2"/>
        <scheme val="minor"/>
      </rPr>
      <t xml:space="preserve">
Secretaría del Interior:</t>
    </r>
    <r>
      <rPr>
        <sz val="10"/>
        <color theme="1"/>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color theme="1"/>
        <rFont val="Calibri"/>
        <family val="2"/>
        <scheme val="minor"/>
      </rPr>
      <t xml:space="preserve">Alcaldía de Salento: </t>
    </r>
    <r>
      <rPr>
        <sz val="10"/>
        <color theme="1"/>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color theme="1"/>
        <rFont val="Calibri"/>
        <family val="2"/>
        <scheme val="minor"/>
      </rPr>
      <t xml:space="preserve">Alcaldía de Calarcá: </t>
    </r>
    <r>
      <rPr>
        <sz val="10"/>
        <color theme="1"/>
        <rFont val="Calibri"/>
        <family val="2"/>
        <scheme val="minor"/>
      </rPr>
      <t xml:space="preserve">Pendiente por ejecución, a partir de la aprobación del nuevo plan de desarrollo municipal  se llevará a cabo las actividades para el cumplimiento de estas  metas.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sin embargo la tasa nacional no fue encontrada en esta fuente.
</t>
    </r>
    <r>
      <rPr>
        <b/>
        <sz val="10"/>
        <color theme="1"/>
        <rFont val="Calibri"/>
        <family val="2"/>
        <scheme val="minor"/>
      </rPr>
      <t xml:space="preserve">Secretaria de Salud: </t>
    </r>
    <r>
      <rPr>
        <sz val="10"/>
        <color theme="1"/>
        <rFont val="Calibri"/>
        <family val="2"/>
        <scheme val="minor"/>
      </rPr>
      <t xml:space="preserve">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color theme="1"/>
        <rFont val="Calibri"/>
        <family val="2"/>
        <scheme val="minor"/>
      </rPr>
      <t>Alcaldía de Salento:</t>
    </r>
    <r>
      <rPr>
        <sz val="10"/>
        <color theme="1"/>
        <rFont val="Calibri"/>
        <family val="2"/>
        <scheme val="minor"/>
      </rPr>
      <t xml:space="preserve"> se han realizado 2 campañas frente a la prevención de violencia intrafamiliar dando a conocer las rutas de atención integral y como denunciar. </t>
    </r>
  </si>
  <si>
    <r>
      <t>Secretaría del Interior:</t>
    </r>
    <r>
      <rPr>
        <sz val="10"/>
        <color theme="1"/>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color theme="1"/>
        <rFont val="Calibri"/>
        <family val="2"/>
        <scheme val="minor"/>
      </rPr>
      <t xml:space="preserve">
 </t>
    </r>
  </si>
  <si>
    <r>
      <t xml:space="preserve">Secretaría del Interior: </t>
    </r>
    <r>
      <rPr>
        <sz val="10"/>
        <color theme="1"/>
        <rFont val="Calibri"/>
        <family val="2"/>
        <scheme val="minor"/>
      </rPr>
      <t xml:space="preserve">En fuentes oficiales no se tiene registro de información referente al reclutamiento de jóvenes víctimas del conflicto armado. Para la prevención se han realizado jornadas de sensibilización, prevención y socialización del reclutamiento y forzado y jornada de sensibilización sobre trata de personas.
</t>
    </r>
    <r>
      <rPr>
        <b/>
        <sz val="10"/>
        <color theme="1"/>
        <rFont val="Calibri"/>
        <family val="2"/>
        <scheme val="minor"/>
      </rPr>
      <t>Policía Nacional:</t>
    </r>
    <r>
      <rPr>
        <sz val="10"/>
        <color theme="1"/>
        <rFont val="Calibri"/>
        <family val="2"/>
        <scheme val="minor"/>
      </rPr>
      <t xml:space="preserve"> El Grupo de Protección a la Infancia y Adolescencia realizó durante el periodo comprendido de julio a septiembre realizó en los 12 municipios del departamento, mas de 32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 </t>
    </r>
  </si>
  <si>
    <r>
      <t>Secretaría del Interior:</t>
    </r>
    <r>
      <rPr>
        <sz val="10"/>
        <color theme="1"/>
        <rFont val="Calibri"/>
        <family val="2"/>
        <scheme val="minor"/>
      </rPr>
      <t xml:space="preserve"> La secretaría de interior no evidencia casos de jóvenes víctimas de reclutamiento. Sin embargo, se realizó 1 taller de prevención de reclutamiento forzado en el municipio de pijao con impacto en 22 menores de edad y una socialización de la alerta temprana 001 de 2024 sobre reclutamiento forzado de NNJA en el colegio Ciudadela del Sur, impactando a 15 menores.
</t>
    </r>
    <r>
      <rPr>
        <b/>
        <sz val="10"/>
        <color theme="1"/>
        <rFont val="Calibri"/>
        <family val="2"/>
        <scheme val="minor"/>
      </rPr>
      <t>Policía Nacional:</t>
    </r>
    <r>
      <rPr>
        <sz val="10"/>
        <color theme="1"/>
        <rFont val="Calibri"/>
        <family val="2"/>
        <scheme val="minor"/>
      </rPr>
      <t xml:space="preserve"> 45 acciones desarrolladas en el 2do trimestre 2024. (ABRE TUS OJOS - PREVENCION AL RECLUTAMIENTO)</t>
    </r>
  </si>
  <si>
    <r>
      <rPr>
        <b/>
        <sz val="10"/>
        <color theme="1"/>
        <rFont val="Calibri"/>
        <family val="2"/>
        <scheme val="minor"/>
      </rPr>
      <t xml:space="preserve">Secretaría de Educación: </t>
    </r>
    <r>
      <rPr>
        <sz val="10"/>
        <color theme="1"/>
        <rFont val="Calibri"/>
        <family val="2"/>
        <scheme val="minor"/>
      </rPr>
      <t>Las instituciones educativas continúan ejecutando los proyectos  transversales de educación sexual y construcción de ciudadania dentro de los 5 macrotemas de enseñanza obligatoria.</t>
    </r>
    <r>
      <rPr>
        <b/>
        <sz val="10"/>
        <color theme="1"/>
        <rFont val="Calibri"/>
        <family val="2"/>
        <scheme val="minor"/>
      </rPr>
      <t xml:space="preserve">
Secretaría de Salud: </t>
    </r>
    <r>
      <rPr>
        <sz val="10"/>
        <color theme="1"/>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</si>
  <si>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t xml:space="preserve">
</t>
    </r>
    <r>
      <rPr>
        <b/>
        <sz val="10"/>
        <color theme="1"/>
        <rFont val="Calibri"/>
        <family val="2"/>
        <scheme val="minor"/>
      </rPr>
      <t>Alcaldía Quimbaya:</t>
    </r>
    <r>
      <rPr>
        <sz val="10"/>
        <color theme="1"/>
        <rFont val="Calibri"/>
        <family val="2"/>
        <scheme val="minor"/>
      </rPr>
      <t xml:space="preserve"> Actualmente las siete (7) instituciones educativas cuentan con las Zonas de Orientación Escolar, donde se trabaja el PESCC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color theme="1"/>
        <rFont val="Calibri"/>
        <family val="2"/>
        <scheme val="minor"/>
      </rPr>
      <t xml:space="preserve">Alcaldía de Montenegro: </t>
    </r>
    <r>
      <rPr>
        <sz val="10"/>
        <color theme="1"/>
        <rFont val="Calibri"/>
        <family val="2"/>
        <scheme val="minor"/>
      </rPr>
      <t xml:space="preserve">se han realizado talleres enfocados en el autoestima al igual que talleres sobre la promoción del respeto y la garantía de los derechos sexuales y la igualdad entre hombres y mujeres.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de Calarcá: </t>
    </r>
    <r>
      <rPr>
        <sz val="10"/>
        <color theme="1"/>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(410 participantes).
A</t>
    </r>
    <r>
      <rPr>
        <b/>
        <sz val="10"/>
        <color theme="1"/>
        <rFont val="Calibri"/>
        <family val="2"/>
        <scheme val="minor"/>
      </rPr>
      <t>lcaldia Buenavista: L</t>
    </r>
    <r>
      <rPr>
        <sz val="10"/>
        <color theme="1"/>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color theme="1"/>
        <rFont val="Calibri"/>
        <family val="2"/>
        <scheme val="minor"/>
      </rPr>
      <t xml:space="preserve">Secretaría de Educación: </t>
    </r>
    <r>
      <rPr>
        <sz val="10"/>
        <color theme="1"/>
        <rFont val="Calibri"/>
        <family val="2"/>
        <scheme val="minor"/>
      </rPr>
      <t xml:space="preserve">Acompañamiento a 48 instituciones educativas con proyectos de educación sexual y construcción de ciudadanía  </t>
    </r>
  </si>
  <si>
    <r>
      <rPr>
        <b/>
        <sz val="10"/>
        <color theme="1"/>
        <rFont val="Calibri"/>
        <family val="2"/>
        <scheme val="minor"/>
      </rPr>
      <t xml:space="preserve">Secretaría de Educación: </t>
    </r>
    <r>
      <rPr>
        <sz val="10"/>
        <color theme="1"/>
        <rFont val="Calibri"/>
        <family val="2"/>
        <scheme val="minor"/>
      </rPr>
      <t xml:space="preserve">Acompañamiento a 48 instituciones educativas con proyectos de educación sexual y construcción de ciudadanía  
</t>
    </r>
    <r>
      <rPr>
        <b/>
        <sz val="10"/>
        <color theme="1"/>
        <rFont val="Calibri"/>
        <family val="2"/>
        <scheme val="minor"/>
      </rPr>
      <t>Alcaldía Quimbaya:</t>
    </r>
    <r>
      <rPr>
        <sz val="10"/>
        <color theme="1"/>
        <rFont val="Calibri"/>
        <family val="2"/>
        <scheme val="minor"/>
      </rPr>
      <t xml:space="preserve"> Actualmente las siete (7) instituciones educativas cuentan con las Zonas de Orientación Escolar, donde se trabaja el PESCC
</t>
    </r>
    <r>
      <rPr>
        <b/>
        <sz val="10"/>
        <color theme="1"/>
        <rFont val="Calibri"/>
        <family val="2"/>
        <scheme val="minor"/>
      </rPr>
      <t>Alcaldía Salento:</t>
    </r>
    <r>
      <rPr>
        <sz val="10"/>
        <color theme="1"/>
        <rFont val="Calibri"/>
        <family val="2"/>
        <scheme val="minor"/>
      </rPr>
      <t xml:space="preserve"> Se han realizado dos comités de salud sexual y reproductiva 
</t>
    </r>
    <r>
      <rPr>
        <b/>
        <sz val="10"/>
        <color theme="1"/>
        <rFont val="Calibri"/>
        <family val="2"/>
        <scheme val="minor"/>
      </rPr>
      <t>Alcaldía de Córdoba:</t>
    </r>
    <r>
      <rPr>
        <sz val="10"/>
        <color theme="1"/>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color theme="1"/>
        <rFont val="Calibri"/>
        <family val="2"/>
        <scheme val="minor"/>
      </rPr>
      <t>Alcaldía de Montenegro</t>
    </r>
    <r>
      <rPr>
        <sz val="10"/>
        <color theme="1"/>
        <rFont val="Calibri"/>
        <family val="2"/>
        <scheme val="minor"/>
      </rPr>
      <t xml:space="preserve">: Articulación con el Plan de Intervención Colectiva para promover los estilos de vida saludable y la sana  educación sexual en los adolescentes y jóvenes del Municipio de Montengro Quindio.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de Calarcá: </t>
    </r>
    <r>
      <rPr>
        <sz val="10"/>
        <color theme="1"/>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(410 participantes).
A</t>
    </r>
    <r>
      <rPr>
        <b/>
        <sz val="10"/>
        <color theme="1"/>
        <rFont val="Calibri"/>
        <family val="2"/>
        <scheme val="minor"/>
      </rPr>
      <t>lcaldia Buenavista: L</t>
    </r>
    <r>
      <rPr>
        <sz val="10"/>
        <color theme="1"/>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</si>
  <si>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color theme="1"/>
        <rFont val="Calibri"/>
        <family val="2"/>
        <scheme val="minor"/>
      </rPr>
      <t>Observación:</t>
    </r>
    <r>
      <rPr>
        <sz val="10"/>
        <color theme="1"/>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</si>
  <si>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color theme="1"/>
        <rFont val="Calibri"/>
        <family val="2"/>
        <scheme val="minor"/>
      </rPr>
      <t>Secretaría del Interior</t>
    </r>
    <r>
      <rPr>
        <sz val="10"/>
        <color theme="1"/>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color theme="1"/>
        <rFont val="Calibri"/>
        <family val="2"/>
        <scheme val="minor"/>
      </rPr>
      <t>Secretaría de Familia</t>
    </r>
    <r>
      <rPr>
        <sz val="10"/>
        <color theme="1"/>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color theme="1"/>
        <rFont val="Calibri"/>
        <family val="2"/>
        <scheme val="minor"/>
      </rPr>
      <t>Secretaría de Educación</t>
    </r>
    <r>
      <rPr>
        <sz val="10"/>
        <color theme="1"/>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color theme="1"/>
        <rFont val="Calibri"/>
        <family val="2"/>
        <scheme val="minor"/>
      </rPr>
      <t>Secretaría del Interior:</t>
    </r>
    <r>
      <rPr>
        <sz val="10"/>
        <color theme="1"/>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color theme="1"/>
        <rFont val="Calibri"/>
        <family val="2"/>
        <scheme val="minor"/>
      </rPr>
      <t>Alcaldia Armenia:</t>
    </r>
    <r>
      <rPr>
        <sz val="10"/>
        <color theme="1"/>
        <rFont val="Calibri"/>
        <family val="2"/>
        <scheme val="minor"/>
      </rPr>
      <t>Población cubierta con acciones educativas para el fortalecimiento de habilidades psicosociales, difusión de riesgos relacionados a la salud mental 4419 jóvenes beneficiados.
A</t>
    </r>
    <r>
      <rPr>
        <b/>
        <sz val="10"/>
        <color theme="1"/>
        <rFont val="Calibri"/>
        <family val="2"/>
        <scheme val="minor"/>
      </rPr>
      <t>lcaldia Montenegro:</t>
    </r>
    <r>
      <rPr>
        <sz val="10"/>
        <color theme="1"/>
        <rFont val="Calibri"/>
        <family val="2"/>
        <scheme val="minor"/>
      </rPr>
      <t xml:space="preserve"> se han realizado talleres en los colegios sobre prevención al consumo de spa y salud mental al igual que intervenciones para activación de rutas en salud mental
</t>
    </r>
    <r>
      <rPr>
        <b/>
        <sz val="10"/>
        <color theme="1"/>
        <rFont val="Calibri"/>
        <family val="2"/>
        <scheme val="minor"/>
      </rPr>
      <t>Alcaldia Calarcá:</t>
    </r>
    <r>
      <rPr>
        <sz val="10"/>
        <color theme="1"/>
        <rFont val="Calibri"/>
        <family val="2"/>
        <scheme val="minor"/>
      </rPr>
      <t xml:space="preserve"> se realizó una jornada ppedagogica en articulación con la subsecretaria de cultura en la fundacion familiar FARO, sede san gabriel del municipio de calarcá 
</t>
    </r>
    <r>
      <rPr>
        <b/>
        <sz val="10"/>
        <color theme="1"/>
        <rFont val="Calibri"/>
        <family val="2"/>
        <scheme val="minor"/>
      </rPr>
      <t>Alcaldia Buenavista:</t>
    </r>
    <r>
      <rPr>
        <sz val="10"/>
        <color theme="1"/>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color theme="1"/>
        <rFont val="Calibri"/>
        <family val="2"/>
        <scheme val="minor"/>
      </rPr>
      <t xml:space="preserve">Alcaldía de Pijao: </t>
    </r>
    <r>
      <rPr>
        <sz val="10"/>
        <color theme="1"/>
        <rFont val="Calibri"/>
        <family val="2"/>
        <scheme val="minor"/>
      </rPr>
      <t xml:space="preserve">Se llevó a cabo la proyección de la dimensión de salud mental y convivencia social.
</t>
    </r>
    <r>
      <rPr>
        <b/>
        <sz val="10"/>
        <color theme="1"/>
        <rFont val="Calibri"/>
        <family val="2"/>
        <scheme val="minor"/>
      </rPr>
      <t>Alcaldia Quimbaya:</t>
    </r>
    <r>
      <rPr>
        <sz val="10"/>
        <color theme="1"/>
        <rFont val="Calibri"/>
        <family val="2"/>
        <scheme val="minor"/>
      </rPr>
      <t xml:space="preserve"> Este indicador no es claro en su medición. El municipio realiza campañas en entornos escolares para prevenir el consumo de sustencias psicoactivas.
</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</si>
  <si>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color theme="1"/>
        <rFont val="Calibri"/>
        <family val="2"/>
        <scheme val="minor"/>
      </rPr>
      <t>Secretaría del Interior</t>
    </r>
    <r>
      <rPr>
        <sz val="10"/>
        <color theme="1"/>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color theme="1"/>
        <rFont val="Calibri"/>
        <family val="2"/>
        <scheme val="minor"/>
      </rPr>
      <t>Secretaría de Familia</t>
    </r>
    <r>
      <rPr>
        <sz val="10"/>
        <color theme="1"/>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color theme="1"/>
        <rFont val="Calibri"/>
        <family val="2"/>
        <scheme val="minor"/>
      </rPr>
      <t>Secretaría de Educación</t>
    </r>
    <r>
      <rPr>
        <sz val="10"/>
        <color theme="1"/>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color theme="1"/>
        <rFont val="Calibri"/>
        <family val="2"/>
        <scheme val="minor"/>
      </rPr>
      <t>Secretaría del Interior:</t>
    </r>
    <r>
      <rPr>
        <sz val="10"/>
        <color theme="1"/>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color theme="1"/>
        <rFont val="Calibri"/>
        <family val="2"/>
        <scheme val="minor"/>
      </rPr>
      <t xml:space="preserve">Alcaldía de Salento: </t>
    </r>
    <r>
      <rPr>
        <sz val="10"/>
        <color theme="1"/>
        <rFont val="Calibri"/>
        <family val="2"/>
        <scheme val="minor"/>
      </rPr>
      <t xml:space="preserve">Se han realizado seis intervenciones de servicio social con estas temáticas
</t>
    </r>
    <r>
      <rPr>
        <b/>
        <sz val="10"/>
        <color theme="1"/>
        <rFont val="Calibri"/>
        <family val="2"/>
        <scheme val="minor"/>
      </rPr>
      <t>Alcaldia Armenia:</t>
    </r>
    <r>
      <rPr>
        <sz val="10"/>
        <color theme="1"/>
        <rFont val="Calibri"/>
        <family val="2"/>
        <scheme val="minor"/>
      </rPr>
      <t>Población cubierta con acciones educativas para el fortalecimiento de habilidades psicosociales, difusión de riesgos relacionados a la salud mental 4419 jóvenes beneficiados.
A</t>
    </r>
    <r>
      <rPr>
        <b/>
        <sz val="10"/>
        <color theme="1"/>
        <rFont val="Calibri"/>
        <family val="2"/>
        <scheme val="minor"/>
      </rPr>
      <t>lcaldia Montenegro:</t>
    </r>
    <r>
      <rPr>
        <sz val="10"/>
        <color theme="1"/>
        <rFont val="Calibri"/>
        <family val="2"/>
        <scheme val="minor"/>
      </rPr>
      <t xml:space="preserve"> Coordinar las actividades con el Sistema de Responsabilidad Penal (SRPA) y restablecimiento de derechos del menor para reducir,  el alto riesgo de consumo y suicidio como daño anti jurídico. 
</t>
    </r>
    <r>
      <rPr>
        <b/>
        <sz val="10"/>
        <color theme="1"/>
        <rFont val="Calibri"/>
        <family val="2"/>
        <scheme val="minor"/>
      </rPr>
      <t>Alcaldia Calarcá:</t>
    </r>
    <r>
      <rPr>
        <sz val="10"/>
        <color theme="1"/>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
</t>
    </r>
    <r>
      <rPr>
        <b/>
        <sz val="10"/>
        <color theme="1"/>
        <rFont val="Calibri"/>
        <family val="2"/>
        <scheme val="minor"/>
      </rPr>
      <t>Alcaldia Buenavista:</t>
    </r>
    <r>
      <rPr>
        <sz val="10"/>
        <color theme="1"/>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color theme="1"/>
        <rFont val="Calibri"/>
        <family val="2"/>
        <scheme val="minor"/>
      </rPr>
      <t xml:space="preserve">Alcaldía de Pijao: </t>
    </r>
    <r>
      <rPr>
        <sz val="10"/>
        <color theme="1"/>
        <rFont val="Calibri"/>
        <family val="2"/>
        <scheme val="minor"/>
      </rPr>
      <t xml:space="preserve">Se llevó a cabo la proyección de la dimensión de salud mental y convivencia social.
</t>
    </r>
    <r>
      <rPr>
        <b/>
        <sz val="10"/>
        <color theme="1"/>
        <rFont val="Calibri"/>
        <family val="2"/>
        <scheme val="minor"/>
      </rPr>
      <t>Alcaldia Quimbaya:</t>
    </r>
    <r>
      <rPr>
        <sz val="10"/>
        <color theme="1"/>
        <rFont val="Calibri"/>
        <family val="2"/>
        <scheme val="minor"/>
      </rPr>
      <t xml:space="preserve"> Este indicador no es claro en su medición. El municipio realiza campañas en entornos escolares para prevenir el consumo de sustencias psicoactivas.
</t>
    </r>
    <r>
      <rPr>
        <b/>
        <sz val="10"/>
        <color theme="1"/>
        <rFont val="Calibri"/>
        <family val="2"/>
        <scheme val="minor"/>
      </rPr>
      <t>Alcaldía de Córdoba:</t>
    </r>
    <r>
      <rPr>
        <sz val="10"/>
        <color theme="1"/>
        <rFont val="Calibri"/>
        <family val="2"/>
        <scheme val="minor"/>
      </rPr>
      <t xml:space="preserve"> Se han realizado dos comités de consumo de sustancias psicoactivas  y dos campañas de interés en las instituciones educativas.
</t>
    </r>
  </si>
  <si>
    <r>
      <t xml:space="preserve">
Observación: </t>
    </r>
    <r>
      <rPr>
        <sz val="10"/>
        <color theme="1"/>
        <rFont val="Calibri"/>
        <family val="2"/>
        <scheme val="minor"/>
      </rPr>
      <t>Se verifica en la plataforma JUACO los datos correspondientes al año 2017 y se observa al Quindío por debajo de la media nacional.</t>
    </r>
    <r>
      <rPr>
        <b/>
        <sz val="10"/>
        <color theme="1"/>
        <rFont val="Calibri"/>
        <family val="2"/>
        <scheme val="minor"/>
      </rPr>
      <t xml:space="preserve">
Secretaría de Salud: </t>
    </r>
    <r>
      <rPr>
        <sz val="10"/>
        <color theme="1"/>
        <rFont val="Calibri"/>
        <family val="2"/>
        <scheme val="minor"/>
      </rPr>
      <t>No Reporta</t>
    </r>
  </si>
  <si>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 xml:space="preserve">Secretaría de Salud: </t>
    </r>
    <r>
      <rPr>
        <sz val="10"/>
        <color theme="1"/>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color theme="1"/>
        <rFont val="Calibri"/>
        <family val="2"/>
        <scheme val="minor"/>
      </rPr>
      <t>Alcaldía Buenavista:</t>
    </r>
    <r>
      <rPr>
        <sz val="10"/>
        <color theme="1"/>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color theme="1"/>
        <rFont val="Calibri"/>
        <family val="2"/>
        <scheme val="minor"/>
      </rPr>
      <t xml:space="preserve">Alcaldía Armenia: </t>
    </r>
    <r>
      <rPr>
        <sz val="10"/>
        <color theme="1"/>
        <rFont val="Calibri"/>
        <family val="2"/>
        <scheme val="minor"/>
      </rPr>
      <t xml:space="preserve">Adolescentes de las comunas más afectadas por embarazo no deseado cubiertos con estrategia del Servicio Amigable Itinerante, 2469 jóvenes impactados.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al momento se registran 51 embarazos en adolescentes menores de 20 años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color theme="1"/>
        <rFont val="Calibri"/>
        <family val="2"/>
        <scheme val="minor"/>
      </rPr>
      <t>Alcaldia Calarca:</t>
    </r>
    <r>
      <rPr>
        <sz val="10"/>
        <color theme="1"/>
        <rFont val="Calibri"/>
        <family val="2"/>
        <scheme val="minor"/>
      </rPr>
      <t xml:space="preserve"> Seguimiento a casos de interés en salud pública, embarazos en adolescentes, celebración de la Semana Andina, conversatorio para la prevención del embarazo y salud sexual en adolescentes.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Córdoba: </t>
    </r>
    <r>
      <rPr>
        <sz val="10"/>
        <color theme="1"/>
        <rFont val="Calibri"/>
        <family val="2"/>
        <scheme val="minor"/>
      </rPr>
      <t xml:space="preserve">en el municipio de Córdoba Quindío se encuentra un total de 5 jóvenes en embarazo mayores de 14 y menores de 20.
</t>
    </r>
  </si>
  <si>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</si>
  <si>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r>
      <rPr>
        <b/>
        <sz val="10"/>
        <color theme="1"/>
        <rFont val="Calibri"/>
        <family val="2"/>
        <scheme val="minor"/>
      </rPr>
      <t xml:space="preserve">Secretaria de Familia: </t>
    </r>
    <r>
      <rPr>
        <sz val="10"/>
        <color theme="1"/>
        <rFont val="Calibri"/>
        <family val="2"/>
        <scheme val="minor"/>
      </rPr>
      <t xml:space="preserve"> Los datos corresponden a la suma de los tres trimestres 2023.</t>
    </r>
    <r>
      <rPr>
        <b/>
        <sz val="10"/>
        <color theme="1"/>
        <rFont val="Calibri"/>
        <family val="2"/>
        <scheme val="minor"/>
      </rPr>
      <t xml:space="preserve">
Indeportes:</t>
    </r>
    <r>
      <rPr>
        <sz val="10"/>
        <color theme="1"/>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2023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color theme="1"/>
        <rFont val="Calibri"/>
        <family val="2"/>
        <scheme val="minor"/>
      </rPr>
      <t xml:space="preserve">
Alcaldía de Filandia:</t>
    </r>
    <r>
      <rPr>
        <sz val="10"/>
        <color theme="1"/>
        <rFont val="Calibri"/>
        <family val="2"/>
        <scheme val="minor"/>
      </rPr>
      <t xml:space="preserve"> 1 joven.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r>
      <rPr>
        <b/>
        <sz val="10"/>
        <color theme="1"/>
        <rFont val="Calibri"/>
        <family val="2"/>
        <scheme val="minor"/>
      </rPr>
      <t>Alcaldía Córdoba:</t>
    </r>
    <r>
      <rPr>
        <sz val="10"/>
        <color theme="1"/>
        <rFont val="Calibri"/>
        <family val="2"/>
        <scheme val="minor"/>
      </rPr>
      <t xml:space="preserve"> El municipio cuanta con las escuelas de formación deportiva y el centro de alto rendimiento gimnasio, en donde los jóvenes realizan la actividad física. 
</t>
    </r>
    <r>
      <rPr>
        <b/>
        <sz val="10"/>
        <color theme="1"/>
        <rFont val="Calibri"/>
        <family val="2"/>
        <scheme val="minor"/>
      </rPr>
      <t xml:space="preserve">Alcaldía Salento: </t>
    </r>
    <r>
      <rPr>
        <sz val="10"/>
        <color theme="1"/>
        <rFont val="Calibri"/>
        <family val="2"/>
        <scheme val="minor"/>
      </rPr>
      <t xml:space="preserve">Sostenimiento de los programas de atención psicosocial establecidos en el municipio.
</t>
    </r>
    <r>
      <rPr>
        <b/>
        <sz val="10"/>
        <color theme="1"/>
        <rFont val="Calibri"/>
        <family val="2"/>
        <scheme val="minor"/>
      </rPr>
      <t xml:space="preserve">Alcaldía de pijao: </t>
    </r>
    <r>
      <rPr>
        <sz val="10"/>
        <color theme="1"/>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color theme="1"/>
        <rFont val="Calibri"/>
        <family val="2"/>
        <scheme val="minor"/>
      </rPr>
      <t>Alcaldia Armenia:</t>
    </r>
    <r>
      <rPr>
        <sz val="10"/>
        <color theme="1"/>
        <rFont val="Calibri"/>
        <family val="2"/>
        <scheme val="minor"/>
      </rPr>
      <t xml:space="preserve"> apoyo  a deportistas, clubes deportivos, ligas deportivas y organizaciones afines al deporte. 23 escuelas  
</t>
    </r>
    <r>
      <rPr>
        <b/>
        <sz val="10"/>
        <color theme="1"/>
        <rFont val="Calibri"/>
        <family val="2"/>
        <scheme val="minor"/>
      </rPr>
      <t>Alcaldia Montenegro:</t>
    </r>
    <r>
      <rPr>
        <sz val="10"/>
        <color theme="1"/>
        <rFont val="Calibri"/>
        <family val="2"/>
        <scheme val="minor"/>
      </rPr>
      <t xml:space="preserve"> Se participó en campeonato internacional de hiphop españa</t>
    </r>
  </si>
  <si>
    <r>
      <rPr>
        <b/>
        <sz val="10"/>
        <color theme="1"/>
        <rFont val="Calibri"/>
        <family val="2"/>
        <scheme val="minor"/>
      </rPr>
      <t xml:space="preserve">Secretaria de Familia: </t>
    </r>
    <r>
      <rPr>
        <sz val="10"/>
        <color theme="1"/>
        <rFont val="Calibri"/>
        <family val="2"/>
        <scheme val="minor"/>
      </rPr>
      <t xml:space="preserve"> Los datos corresponden a la suma realizada hasta el segundo trimestre 2024.</t>
    </r>
    <r>
      <rPr>
        <b/>
        <sz val="10"/>
        <color theme="1"/>
        <rFont val="Calibri"/>
        <family val="2"/>
        <scheme val="minor"/>
      </rPr>
      <t xml:space="preserve">
Indeportes:</t>
    </r>
    <r>
      <rPr>
        <sz val="10"/>
        <color theme="1"/>
        <rFont val="Calibri"/>
        <family val="2"/>
        <scheme val="minor"/>
      </rPr>
      <t xml:space="preserve"> Durante el segundo trimestre del 2024 la cantidad deportistas jóvenes que participaron en eventos internacionales es de 37. Participaron en las disciplinas de: Hapkido, Levantamiento de Pesas, tenis, triatlon, ciclismo de ruta, badminton, ciclismo BMX y patinaje</t>
    </r>
    <r>
      <rPr>
        <b/>
        <sz val="10"/>
        <color theme="1"/>
        <rFont val="Calibri"/>
        <family val="2"/>
        <scheme val="minor"/>
      </rPr>
      <t xml:space="preserve">
Alcaldía Salento:</t>
    </r>
    <r>
      <rPr>
        <sz val="10"/>
        <color theme="1"/>
        <rFont val="Calibri"/>
        <family val="2"/>
        <scheme val="minor"/>
      </rPr>
      <t xml:space="preserve"> Se han realizado 2 torneos de microfútbol, 1 de baloncesto, en atletismo se ha realizado la carrera de la mujer. Durante trimestre, los días jueves se desarrollaron rumba terapias dirigidas a toda la comunidad. 
</t>
    </r>
  </si>
  <si>
    <r>
      <rPr>
        <b/>
        <sz val="10"/>
        <color theme="1"/>
        <rFont val="Calibri"/>
        <family val="2"/>
        <scheme val="minor"/>
      </rPr>
      <t>Alcaldía de Montenegro:</t>
    </r>
    <r>
      <rPr>
        <sz val="10"/>
        <color theme="1"/>
        <rFont val="Calibri"/>
        <family val="2"/>
        <scheme val="minor"/>
      </rPr>
      <t xml:space="preserve"> Reporta 63 deportistas participantes en juegos nacionales. 
</t>
    </r>
    <r>
      <rPr>
        <b/>
        <sz val="10"/>
        <color theme="1"/>
        <rFont val="Calibri"/>
        <family val="2"/>
        <scheme val="minor"/>
      </rPr>
      <t xml:space="preserve">Alcaldía de La Tebaida: </t>
    </r>
    <r>
      <rPr>
        <sz val="10"/>
        <color theme="1"/>
        <rFont val="Calibri"/>
        <family val="2"/>
        <scheme val="minor"/>
      </rPr>
      <t xml:space="preserve"> torneo regional de baloncesto en el mes de fecbrero
</t>
    </r>
    <r>
      <rPr>
        <b/>
        <sz val="10"/>
        <color theme="1"/>
        <rFont val="Calibri"/>
        <family val="2"/>
        <scheme val="minor"/>
      </rPr>
      <t>Alcaldía Buenavista:</t>
    </r>
    <r>
      <rPr>
        <sz val="10"/>
        <color theme="1"/>
        <rFont val="Calibri"/>
        <family val="2"/>
        <scheme val="minor"/>
      </rPr>
      <t xml:space="preserve"> 6 deportistas destacados, 3 de ellos en participación nacional.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Alcaldía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elaboración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Alcaldía Filandia:</t>
    </r>
    <r>
      <rPr>
        <sz val="10"/>
        <color theme="1"/>
        <rFont val="Calibri"/>
        <family val="2"/>
        <scheme val="minor"/>
      </rPr>
      <t xml:space="preserve"> Se ha promovido el apoyo con transporte a deportistas de alto rendimiento
</t>
    </r>
    <r>
      <rPr>
        <b/>
        <sz val="10"/>
        <color theme="1"/>
        <rFont val="Calibri"/>
        <family val="2"/>
        <scheme val="minor"/>
      </rPr>
      <t>Alcaldía Quimbaya:</t>
    </r>
    <r>
      <rPr>
        <sz val="10"/>
        <color theme="1"/>
        <rFont val="Calibri"/>
        <family val="2"/>
        <scheme val="minor"/>
      </rPr>
      <t xml:space="preserve"> Está en proceso de compra de implementos para deportistas de alto rendimiento que se encuentran preparándose para encuentro nacionales 2023 
</t>
    </r>
    <r>
      <rPr>
        <b/>
        <sz val="10"/>
        <color theme="1"/>
        <rFont val="Calibri"/>
        <family val="2"/>
        <scheme val="minor"/>
      </rPr>
      <t>Alcaldía de Armenia:</t>
    </r>
    <r>
      <rPr>
        <sz val="10"/>
        <color theme="1"/>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color theme="1"/>
        <rFont val="Calibri"/>
        <family val="2"/>
        <scheme val="minor"/>
      </rPr>
      <t xml:space="preserve">Alcaldia de Calarcá: </t>
    </r>
    <r>
      <rPr>
        <sz val="10"/>
        <color theme="1"/>
        <rFont val="Calibri"/>
        <family val="2"/>
        <scheme val="minor"/>
      </rPr>
      <t xml:space="preserve">Se premió a los deportistas de alto rendimiento más destacados </t>
    </r>
  </si>
  <si>
    <r>
      <rPr>
        <b/>
        <sz val="10"/>
        <color theme="1"/>
        <rFont val="Calibri"/>
        <family val="2"/>
        <scheme val="minor"/>
      </rPr>
      <t xml:space="preserve">Indeportes: </t>
    </r>
    <r>
      <rPr>
        <sz val="10"/>
        <color theme="1"/>
        <rFont val="Calibri"/>
        <family val="2"/>
        <scheme val="minor"/>
      </rPr>
      <t>115 deportistas jóvenes quindianos de alto rendimiento apoyados en la preparación para Juegos Nacionales y Paranacionales 2023.</t>
    </r>
  </si>
  <si>
    <r>
      <rPr>
        <b/>
        <sz val="10"/>
        <color theme="1"/>
        <rFont val="Calibri"/>
        <family val="2"/>
        <scheme val="minor"/>
      </rPr>
      <t xml:space="preserve">Indeportes: </t>
    </r>
    <r>
      <rPr>
        <sz val="10"/>
        <color theme="1"/>
        <rFont val="Calibri"/>
        <family val="2"/>
        <scheme val="minor"/>
      </rPr>
      <t xml:space="preserve">Durante el segundo trimestre del 2024 la cantidad de deportistas jóvenes que participaron en eventos nacionales es de 213 en las disciplinas de: Boxeo, Paratletismo, Fútbol de Salon, Paranatación, Atletismo, Tenis en silla de Ruedas, Parkour, Gimnasia Ritmica, Gimnasia Artistica, Bowling, Badminton, Ciclismo BMX, Ciclismo de Ruta, Ciclismo MTB, Patinaje, Ajedrez, Squash y Natación
</t>
    </r>
    <r>
      <rPr>
        <b/>
        <sz val="10"/>
        <color theme="1"/>
        <rFont val="Calibri"/>
        <family val="2"/>
        <scheme val="minor"/>
      </rPr>
      <t>Alcaldía Salento:</t>
    </r>
    <r>
      <rPr>
        <sz val="10"/>
        <color theme="1"/>
        <rFont val="Calibri"/>
        <family val="2"/>
        <scheme val="minor"/>
      </rPr>
      <t xml:space="preserve"> Ninguno
</t>
    </r>
    <r>
      <rPr>
        <b/>
        <sz val="10"/>
        <color theme="1"/>
        <rFont val="Calibri"/>
        <family val="2"/>
        <scheme val="minor"/>
      </rPr>
      <t>Alcaldía de Salento:</t>
    </r>
    <r>
      <rPr>
        <sz val="10"/>
        <color theme="1"/>
        <rFont val="Calibri"/>
        <family val="2"/>
        <scheme val="minor"/>
      </rPr>
      <t xml:space="preserve"> Hay cuatro jovenes quindianos que participan en juegos nacionales. </t>
    </r>
  </si>
  <si>
    <r>
      <rPr>
        <b/>
        <sz val="10"/>
        <color theme="1"/>
        <rFont val="Calibri"/>
        <family val="2"/>
        <scheme val="minor"/>
      </rPr>
      <t>Indeportes:</t>
    </r>
    <r>
      <rPr>
        <sz val="10"/>
        <color theme="1"/>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</si>
  <si>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r>
      <rPr>
        <b/>
        <sz val="10"/>
        <color theme="1"/>
        <rFont val="Calibri"/>
        <family val="2"/>
        <scheme val="minor"/>
      </rPr>
      <t>Indeportes:</t>
    </r>
    <r>
      <rPr>
        <sz val="10"/>
        <color theme="1"/>
        <rFont val="Calibri"/>
        <family val="2"/>
        <scheme val="minor"/>
      </rPr>
      <t xml:space="preserve"> 20 deportistas jóvenes de alto rendimiento apoyados económicamente de manera mensual</t>
    </r>
  </si>
  <si>
    <r>
      <rPr>
        <b/>
        <sz val="10"/>
        <color theme="1"/>
        <rFont val="Calibri"/>
        <family val="2"/>
        <scheme val="minor"/>
      </rPr>
      <t>Indeportes:</t>
    </r>
    <r>
      <rPr>
        <sz val="10"/>
        <color theme="1"/>
        <rFont val="Calibri"/>
        <family val="2"/>
        <scheme val="minor"/>
      </rPr>
      <t xml:space="preserve"> Entre el periodo de enero a junio del 2024 se han apoyado a 78 deportistas jóvenes convencionales
</t>
    </r>
    <r>
      <rPr>
        <b/>
        <sz val="10"/>
        <color theme="1"/>
        <rFont val="Calibri"/>
        <family val="2"/>
        <scheme val="minor"/>
      </rPr>
      <t>Alcaldía Salento:</t>
    </r>
    <r>
      <rPr>
        <sz val="10"/>
        <color theme="1"/>
        <rFont val="Calibri"/>
        <family val="2"/>
        <scheme val="minor"/>
      </rPr>
      <t xml:space="preserve"> Ninguno</t>
    </r>
  </si>
  <si>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Buenavista: </t>
    </r>
    <r>
      <rPr>
        <sz val="10"/>
        <color theme="1"/>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color theme="1"/>
        <rFont val="Calibri"/>
        <family val="2"/>
        <scheme val="minor"/>
      </rPr>
      <t>Alcaldía Córdoba:</t>
    </r>
    <r>
      <rPr>
        <sz val="10"/>
        <color theme="1"/>
        <rFont val="Calibri"/>
        <family val="2"/>
        <scheme val="minor"/>
      </rPr>
      <t xml:space="preserve"> Por medio de las escuelas de formacion deportiva participan en las actividades fisicas un total de 223.
</t>
    </r>
    <r>
      <rPr>
        <b/>
        <sz val="10"/>
        <color theme="1"/>
        <rFont val="Calibri"/>
        <family val="2"/>
        <scheme val="minor"/>
      </rPr>
      <t>Alcaldia Calarca:</t>
    </r>
    <r>
      <rPr>
        <sz val="10"/>
        <color theme="1"/>
        <rFont val="Calibri"/>
        <family val="2"/>
        <scheme val="minor"/>
      </rPr>
      <t xml:space="preserve"> Desde la Subsecretaría de educación, recreación y deporte se ofrecen los programas de atletismo, fútbol urbano, fútbol rural, patinaje, voleibol, baloncesto, fútbol de salón, fitnes kits.
</t>
    </r>
    <r>
      <rPr>
        <b/>
        <sz val="10"/>
        <color theme="1"/>
        <rFont val="Calibri"/>
        <family val="2"/>
        <scheme val="minor"/>
      </rPr>
      <t>Alcaldía de la Tebaida:</t>
    </r>
    <r>
      <rPr>
        <sz val="10"/>
        <color theme="1"/>
        <rFont val="Calibri"/>
        <family val="2"/>
        <scheme val="minor"/>
      </rPr>
      <t xml:space="preserve">  177 jóvenes reportados por las escuelas deportivas.
</t>
    </r>
    <r>
      <rPr>
        <b/>
        <sz val="10"/>
        <color theme="1"/>
        <rFont val="Calibri"/>
        <family val="2"/>
        <scheme val="minor"/>
      </rPr>
      <t>Alcaldía Génova:</t>
    </r>
    <r>
      <rPr>
        <sz val="10"/>
        <color theme="1"/>
        <rFont val="Calibri"/>
        <family val="2"/>
        <scheme val="minor"/>
      </rPr>
      <t xml:space="preserve"> Contratación de  monitor de recreación,  apoyo a Instituciones y entidades con actividades recreativas,  programas y actividades recreativas en los barrios y en veredas del Municipio.
</t>
    </r>
    <r>
      <rPr>
        <b/>
        <sz val="10"/>
        <color theme="1"/>
        <rFont val="Calibri"/>
        <family val="2"/>
        <scheme val="minor"/>
      </rPr>
      <t>Alcaldía Armenia:</t>
    </r>
    <r>
      <rPr>
        <sz val="10"/>
        <color theme="1"/>
        <rFont val="Calibri"/>
        <family val="2"/>
        <scheme val="minor"/>
      </rPr>
      <t xml:space="preserve"> Promoción, apoyo logístico, ejecución y dotación  de programas de Hábitos y Estilos de Vida Saludable y Actividad Física 64 escuelas 
</t>
    </r>
    <r>
      <rPr>
        <b/>
        <sz val="10"/>
        <color theme="1"/>
        <rFont val="Calibri"/>
        <family val="2"/>
        <scheme val="minor"/>
      </rPr>
      <t>Alcaldía de Montenegro:</t>
    </r>
    <r>
      <rPr>
        <sz val="10"/>
        <color theme="1"/>
        <rFont val="Calibri"/>
        <family val="2"/>
        <scheme val="minor"/>
      </rPr>
      <t xml:space="preserve"> vías activas y saludables, festivales, clases monitoreadas, campeonatos de la categoría 10%
</t>
    </r>
    <r>
      <rPr>
        <b/>
        <sz val="10"/>
        <color theme="1"/>
        <rFont val="Calibri"/>
        <family val="2"/>
        <scheme val="minor"/>
      </rPr>
      <t>Alcaldía Quimbaya:</t>
    </r>
    <r>
      <rPr>
        <sz val="10"/>
        <color theme="1"/>
        <rFont val="Calibri"/>
        <family val="2"/>
        <scheme val="minor"/>
      </rPr>
      <t xml:space="preserve"> A la fecha de corte del presente trimestre no se aportó la información que de cuenta de este indicador. 
</t>
    </r>
    <r>
      <rPr>
        <b/>
        <sz val="10"/>
        <color theme="1"/>
        <rFont val="Calibri"/>
        <family val="2"/>
        <scheme val="minor"/>
      </rPr>
      <t xml:space="preserve">Alcaldía de Filandia: </t>
    </r>
    <r>
      <rPr>
        <sz val="10"/>
        <color theme="1"/>
        <rFont val="Calibri"/>
        <family val="2"/>
        <scheme val="minor"/>
      </rPr>
      <t xml:space="preserve">230 menores.
</t>
    </r>
    <r>
      <rPr>
        <b/>
        <sz val="10"/>
        <color theme="1"/>
        <rFont val="Calibri"/>
        <family val="2"/>
        <scheme val="minor"/>
      </rPr>
      <t xml:space="preserve">Alcaldía de Pijao: </t>
    </r>
    <r>
      <rPr>
        <sz val="10"/>
        <color theme="1"/>
        <rFont val="Calibri"/>
        <family val="2"/>
        <scheme val="minor"/>
      </rPr>
      <t xml:space="preserve"> entrenamiento diarios de escuelas deportivas a nivel urbano y rural.
</t>
    </r>
    <r>
      <rPr>
        <b/>
        <sz val="10"/>
        <color theme="1"/>
        <rFont val="Calibri"/>
        <family val="2"/>
        <scheme val="minor"/>
      </rPr>
      <t>Indeportes:</t>
    </r>
    <r>
      <rPr>
        <sz val="10"/>
        <color theme="1"/>
        <rFont val="Calibri"/>
        <family val="2"/>
        <scheme val="minor"/>
      </rPr>
      <t xml:space="preserve"> 51 deportistas jóvenes que invierten como mínimo 60 minutos diarios en actividad física con intensidad moderada a vigorosa.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color theme="1"/>
        <rFont val="Calibri"/>
        <family val="2"/>
        <scheme val="minor"/>
      </rPr>
      <t xml:space="preserve">Universidad San  Buenaventura: </t>
    </r>
    <r>
      <rPr>
        <sz val="10"/>
        <color theme="1"/>
        <rFont val="Calibri"/>
        <family val="2"/>
        <scheme val="minor"/>
      </rPr>
      <t xml:space="preserve">En la universidad de San Buenaventura,103 de 122 estudiantes, entre las edades de 19 a 27 años, practican actividad física de 60 minutos 
</t>
    </r>
    <r>
      <rPr>
        <b/>
        <sz val="10"/>
        <color theme="1"/>
        <rFont val="Calibri"/>
        <family val="2"/>
        <scheme val="minor"/>
      </rPr>
      <t xml:space="preserve">Universidad EAM: </t>
    </r>
    <r>
      <rPr>
        <sz val="10"/>
        <color theme="1"/>
        <rFont val="Calibri"/>
        <family val="2"/>
        <scheme val="minor"/>
      </rPr>
      <t xml:space="preserve">48 estudiantes en cátedra de deporte formativo (programas de pregrado)
9 estudiantes en promedio por mes en actividad física en centro de acondicionamiento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color theme="1"/>
        <rFont val="Calibri"/>
        <family val="2"/>
        <scheme val="minor"/>
      </rPr>
      <t xml:space="preserve">Indeportes: </t>
    </r>
    <r>
      <rPr>
        <sz val="10"/>
        <color theme="1"/>
        <rFont val="Calibri"/>
        <family val="2"/>
        <scheme val="minor"/>
      </rPr>
      <t xml:space="preserve">115 menores de edad que invierten como mínimo 60 minutos diarios en actividad fisica con intensidad moderada a vigorosa.
</t>
    </r>
    <r>
      <rPr>
        <b/>
        <sz val="10"/>
        <color theme="1"/>
        <rFont val="Calibri"/>
        <family val="2"/>
        <scheme val="minor"/>
      </rPr>
      <t xml:space="preserve">Universidad Von Humbolt: </t>
    </r>
    <r>
      <rPr>
        <sz val="10"/>
        <color theme="1"/>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</si>
  <si>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color theme="1"/>
        <rFont val="Calibri"/>
        <family val="2"/>
        <scheme val="minor"/>
      </rPr>
      <t xml:space="preserve">Nota: </t>
    </r>
    <r>
      <rPr>
        <sz val="10"/>
        <color theme="1"/>
        <rFont val="Calibri"/>
        <family val="2"/>
        <scheme val="minor"/>
      </rPr>
      <t xml:space="preserve">Se beneficiaron en total 7592 jóvenes
</t>
    </r>
    <r>
      <rPr>
        <b/>
        <sz val="10"/>
        <color theme="1"/>
        <rFont val="Calibri"/>
        <family val="2"/>
        <scheme val="minor"/>
      </rPr>
      <t>Alcaldía Salento:</t>
    </r>
    <r>
      <rPr>
        <sz val="10"/>
        <color theme="1"/>
        <rFont val="Calibri"/>
        <family val="2"/>
        <scheme val="minor"/>
      </rPr>
      <t xml:space="preserve">  Alrededor de 200 alumnos que invierten como mínimo 60 minutos diarios en actividades físicas de  intensidad moderada y vigorosa
</t>
    </r>
    <r>
      <rPr>
        <b/>
        <sz val="10"/>
        <color theme="1"/>
        <rFont val="Calibri"/>
        <family val="2"/>
        <scheme val="minor"/>
      </rPr>
      <t xml:space="preserve">Alcaldía de Buenavista: </t>
    </r>
    <r>
      <rPr>
        <sz val="10"/>
        <color theme="1"/>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color theme="1"/>
        <rFont val="Calibri"/>
        <family val="2"/>
        <scheme val="minor"/>
      </rPr>
      <t>Alcaldía Salento:</t>
    </r>
    <r>
      <rPr>
        <sz val="10"/>
        <color theme="1"/>
        <rFont val="Calibri"/>
        <family val="2"/>
        <scheme val="minor"/>
      </rPr>
      <t xml:space="preserve"> Alrededor de 200 alumnos que invierten como mínimo 60 minutos diarios en actividades fisicas de  intensidad moderada y vigorosa
</t>
    </r>
    <r>
      <rPr>
        <b/>
        <sz val="10"/>
        <color theme="1"/>
        <rFont val="Calibri"/>
        <family val="2"/>
        <scheme val="minor"/>
      </rPr>
      <t>Alcaldia Calarcá:</t>
    </r>
    <r>
      <rPr>
        <sz val="10"/>
        <color theme="1"/>
        <rFont val="Calibri"/>
        <family val="2"/>
        <scheme val="minor"/>
      </rPr>
      <t xml:space="preserve"> Desde la Subsecretaría de educación, recreación y deporte se ofrecen los programas de atletismo, fútbol urbano, fútbol rural, patinaje, voleibol, baloncesto, fútbol de salón, fitnes kits.
</t>
    </r>
    <r>
      <rPr>
        <b/>
        <sz val="10"/>
        <color theme="1"/>
        <rFont val="Calibri"/>
        <family val="2"/>
        <scheme val="minor"/>
      </rPr>
      <t>Alcaldía de la Tebaida:</t>
    </r>
    <r>
      <rPr>
        <sz val="10"/>
        <color theme="1"/>
        <rFont val="Calibri"/>
        <family val="2"/>
        <scheme val="minor"/>
      </rPr>
      <t xml:space="preserve">  177 jóvenes reportados por las escuelas deportivas.
</t>
    </r>
    <r>
      <rPr>
        <b/>
        <sz val="10"/>
        <color theme="1"/>
        <rFont val="Calibri"/>
        <family val="2"/>
        <scheme val="minor"/>
      </rPr>
      <t>Alcaldía Génova:</t>
    </r>
    <r>
      <rPr>
        <sz val="10"/>
        <color theme="1"/>
        <rFont val="Calibri"/>
        <family val="2"/>
        <scheme val="minor"/>
      </rPr>
      <t xml:space="preserve"> Contratación de  monitor de recreación,  apoyo a Instituciones y entidades con actividades recreativas,  programas y actividades recreativas en los barrios y en veredas del Municipio.
</t>
    </r>
    <r>
      <rPr>
        <b/>
        <sz val="10"/>
        <color theme="1"/>
        <rFont val="Calibri"/>
        <family val="2"/>
        <scheme val="minor"/>
      </rPr>
      <t>Alcaldía Armenia:</t>
    </r>
    <r>
      <rPr>
        <sz val="10"/>
        <color theme="1"/>
        <rFont val="Calibri"/>
        <family val="2"/>
        <scheme val="minor"/>
      </rPr>
      <t xml:space="preserve"> Promoción, apoyo logístico, ejecución y dotación  de programas de Hábitos y Estilos de Vida Saludable y Actividad Física 64 escuelas 
</t>
    </r>
    <r>
      <rPr>
        <b/>
        <sz val="10"/>
        <color theme="1"/>
        <rFont val="Calibri"/>
        <family val="2"/>
        <scheme val="minor"/>
      </rPr>
      <t>Alcaldía de Montenegro:</t>
    </r>
    <r>
      <rPr>
        <sz val="10"/>
        <color theme="1"/>
        <rFont val="Calibri"/>
        <family val="2"/>
        <scheme val="minor"/>
      </rPr>
      <t xml:space="preserve"> vías activas y saludables, festivales, clases monitoreadas, campeonatos de la categoría 10%
</t>
    </r>
    <r>
      <rPr>
        <b/>
        <sz val="10"/>
        <color theme="1"/>
        <rFont val="Calibri"/>
        <family val="2"/>
        <scheme val="minor"/>
      </rPr>
      <t>Alcaldía Quimbaya:</t>
    </r>
    <r>
      <rPr>
        <sz val="10"/>
        <color theme="1"/>
        <rFont val="Calibri"/>
        <family val="2"/>
        <scheme val="minor"/>
      </rPr>
      <t xml:space="preserve"> A la fecha de corte del presente trimestre no se aportó la información que de cuenta de este indicador. 
</t>
    </r>
    <r>
      <rPr>
        <b/>
        <sz val="10"/>
        <color theme="1"/>
        <rFont val="Calibri"/>
        <family val="2"/>
        <scheme val="minor"/>
      </rPr>
      <t xml:space="preserve">Alcaldía de Filandia: </t>
    </r>
    <r>
      <rPr>
        <sz val="10"/>
        <color theme="1"/>
        <rFont val="Calibri"/>
        <family val="2"/>
        <scheme val="minor"/>
      </rPr>
      <t xml:space="preserve">230 menores.
</t>
    </r>
    <r>
      <rPr>
        <b/>
        <sz val="10"/>
        <color theme="1"/>
        <rFont val="Calibri"/>
        <family val="2"/>
        <scheme val="minor"/>
      </rPr>
      <t xml:space="preserve">Alcaldía de Pijao: </t>
    </r>
    <r>
      <rPr>
        <sz val="10"/>
        <color theme="1"/>
        <rFont val="Calibri"/>
        <family val="2"/>
        <scheme val="minor"/>
      </rPr>
      <t xml:space="preserve"> entrenamiento diarios de escuelas deportivas a nivel urbano y rural.
</t>
    </r>
    <r>
      <rPr>
        <b/>
        <sz val="10"/>
        <color theme="1"/>
        <rFont val="Calibri"/>
        <family val="2"/>
        <scheme val="minor"/>
      </rPr>
      <t>Indeportes:</t>
    </r>
    <r>
      <rPr>
        <sz val="10"/>
        <color theme="1"/>
        <rFont val="Calibri"/>
        <family val="2"/>
        <scheme val="minor"/>
      </rPr>
      <t xml:space="preserve"> Entre enero y junio del 2024 196 jóvenes menores de edad invirtieron al menos 60 minutos diarios a actividades físicas de intensidad moderada o vigorosa.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color theme="1"/>
        <rFont val="Calibri"/>
        <family val="2"/>
        <scheme val="minor"/>
      </rPr>
      <t xml:space="preserve">Universidad San  Buenaventura: </t>
    </r>
    <r>
      <rPr>
        <sz val="10"/>
        <color theme="1"/>
        <rFont val="Calibri"/>
        <family val="2"/>
        <scheme val="minor"/>
      </rPr>
      <t xml:space="preserve">En la universidad de San Buenaventura,103 de 122 estudiantes, entre las edades de 19 a 27 años, practican actividad física de 60 minutos 
</t>
    </r>
    <r>
      <rPr>
        <b/>
        <sz val="10"/>
        <color theme="1"/>
        <rFont val="Calibri"/>
        <family val="2"/>
        <scheme val="minor"/>
      </rPr>
      <t xml:space="preserve">Universidad EAM: </t>
    </r>
    <r>
      <rPr>
        <sz val="10"/>
        <color theme="1"/>
        <rFont val="Calibri"/>
        <family val="2"/>
        <scheme val="minor"/>
      </rPr>
      <t xml:space="preserve">75 estudiantes en cátedra de deporte formativo (programas de pregrado)
14 estudiantes en promedio por mes en actividad física en centro de acondicionamiento.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color theme="1"/>
        <rFont val="Calibri"/>
        <family val="2"/>
        <scheme val="minor"/>
      </rPr>
      <t xml:space="preserve">Indeportes: </t>
    </r>
    <r>
      <rPr>
        <sz val="10"/>
        <color theme="1"/>
        <rFont val="Calibri"/>
        <family val="2"/>
        <scheme val="minor"/>
      </rPr>
      <t xml:space="preserve">115 menores de edad que invierten como mínimo 60 minutos diarios en actividad fisica con intensidad moderada a vigorosa.
</t>
    </r>
    <r>
      <rPr>
        <b/>
        <sz val="10"/>
        <color theme="1"/>
        <rFont val="Calibri"/>
        <family val="2"/>
        <scheme val="minor"/>
      </rPr>
      <t xml:space="preserve">Universidad Von Humbolt: </t>
    </r>
    <r>
      <rPr>
        <sz val="10"/>
        <color theme="1"/>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</si>
  <si>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color theme="1"/>
        <rFont val="Calibri"/>
        <family val="2"/>
        <scheme val="minor"/>
      </rPr>
      <t xml:space="preserve">
Se beneficiaron: 11693 Personas 79% Por encima de la línea de base de 6500 beneficiados.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Alcaldía de la Tebaida:</t>
    </r>
    <r>
      <rPr>
        <sz val="10"/>
        <color theme="1"/>
        <rFont val="Calibri"/>
        <family val="2"/>
        <scheme val="minor"/>
      </rPr>
      <t xml:space="preserve">  de acuerdo a lo reportado 8 adultos entre 18 a 28 años se benefician de actividad física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color theme="1"/>
        <rFont val="Calibri"/>
        <family val="2"/>
        <scheme val="minor"/>
      </rPr>
      <t xml:space="preserve">
Alcaldía de Salento: </t>
    </r>
    <r>
      <rPr>
        <sz val="10"/>
        <color theme="1"/>
        <rFont val="Calibri"/>
        <family val="2"/>
        <scheme val="minor"/>
      </rPr>
      <t xml:space="preserve">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Programa recreativo para adolescencia y juventud y programa recreativo y fitness.</t>
    </r>
    <r>
      <rPr>
        <b/>
        <sz val="10"/>
        <color theme="1"/>
        <rFont val="Calibri"/>
        <family val="2"/>
        <scheme val="minor"/>
      </rPr>
      <t xml:space="preserve">
Alcaldia Montenegro: </t>
    </r>
    <r>
      <rPr>
        <sz val="10"/>
        <color theme="1"/>
        <rFont val="Calibri"/>
        <family val="2"/>
        <scheme val="minor"/>
      </rPr>
      <t>Se realiza</t>
    </r>
    <r>
      <rPr>
        <b/>
        <sz val="10"/>
        <color theme="1"/>
        <rFont val="Calibri"/>
        <family val="2"/>
        <scheme val="minor"/>
      </rPr>
      <t xml:space="preserve"> </t>
    </r>
    <r>
      <rPr>
        <sz val="10"/>
        <color theme="1"/>
        <rFont val="Calibri"/>
        <family val="2"/>
        <scheme val="minor"/>
      </rPr>
      <t>actividad fisica adulto mayor ,torneos y campeonatos de futlbol para un total de 650 deportistas participando.</t>
    </r>
    <r>
      <rPr>
        <b/>
        <sz val="10"/>
        <color theme="1"/>
        <rFont val="Calibri"/>
        <family val="2"/>
        <scheme val="minor"/>
      </rPr>
      <t xml:space="preserve">
Alcaldía Filandia: </t>
    </r>
    <r>
      <rPr>
        <sz val="10"/>
        <color theme="1"/>
        <rFont val="Calibri"/>
        <family val="2"/>
        <scheme val="minor"/>
      </rPr>
      <t xml:space="preserve">270 adultos
</t>
    </r>
    <r>
      <rPr>
        <b/>
        <sz val="10"/>
        <color theme="1"/>
        <rFont val="Calibri"/>
        <family val="2"/>
        <scheme val="minor"/>
      </rPr>
      <t xml:space="preserve">Alcaldia de pijao:  </t>
    </r>
    <r>
      <rPr>
        <sz val="10"/>
        <color theme="1"/>
        <rFont val="Calibri"/>
        <family val="2"/>
        <scheme val="minor"/>
      </rPr>
      <t>120 adultos en los diferentes equipos participantes</t>
    </r>
    <r>
      <rPr>
        <b/>
        <sz val="10"/>
        <color theme="1"/>
        <rFont val="Calibri"/>
        <family val="2"/>
        <scheme val="minor"/>
      </rPr>
      <t xml:space="preserve">
Alcaldía de Buenavista: </t>
    </r>
    <r>
      <rPr>
        <sz val="10"/>
        <color theme="1"/>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color theme="1"/>
        <rFont val="Calibri"/>
        <family val="2"/>
        <scheme val="minor"/>
      </rPr>
      <t xml:space="preserve">
Alcaldía Córdoba: </t>
    </r>
    <r>
      <rPr>
        <sz val="10"/>
        <color theme="1"/>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color theme="1"/>
        <rFont val="Calibri"/>
        <family val="2"/>
        <scheme val="minor"/>
      </rPr>
      <t>Alcaldía de Armenia:</t>
    </r>
    <r>
      <rPr>
        <sz val="10"/>
        <color theme="1"/>
        <rFont val="Calibri"/>
        <family val="2"/>
        <scheme val="minor"/>
      </rPr>
      <t xml:space="preserve"> Implementar, ejecutar y dotar programas de Hábitos y Estilos de Vida Saludable y Actividad Física
</t>
    </r>
    <r>
      <rPr>
        <b/>
        <sz val="10"/>
        <color theme="1"/>
        <rFont val="Calibri"/>
        <family val="2"/>
        <scheme val="minor"/>
      </rPr>
      <t>Universidad EAM:</t>
    </r>
    <r>
      <rPr>
        <sz val="10"/>
        <color theme="1"/>
        <rFont val="Calibri"/>
        <family val="2"/>
        <scheme val="minor"/>
      </rPr>
      <t xml:space="preserve"> 174 estudiantes en promedio por mes en actividad física en el centro de acondicionamiento físico
2 estudiantes en cátedra de deporte formativo (educación continuada)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Universidad San Buenaventura: </t>
    </r>
    <r>
      <rPr>
        <sz val="10"/>
        <color theme="1"/>
        <rFont val="Calibri"/>
        <family val="2"/>
        <scheme val="minor"/>
      </rPr>
      <t xml:space="preserve">En la Universidad De San Buenaventura, 19 de 122 estudiantes, entre de las edades de 28 a 46 años,  practican entre 150 y 75 minutos de actividad física
</t>
    </r>
    <r>
      <rPr>
        <b/>
        <sz val="10"/>
        <color theme="1"/>
        <rFont val="Calibri"/>
        <family val="2"/>
        <scheme val="minor"/>
      </rPr>
      <t>Universidad Von Humbolt:</t>
    </r>
    <r>
      <rPr>
        <sz val="10"/>
        <color theme="1"/>
        <rFont val="Calibri"/>
        <family val="2"/>
        <scheme val="minor"/>
      </rPr>
      <t xml:space="preserve"> La Facultad no desarrolla este tipo de actividades. Apoya si las actividades de Bienestar Universitario para nuestra comunidad académica.
</t>
    </r>
    <r>
      <rPr>
        <b/>
        <sz val="10"/>
        <color theme="1"/>
        <rFont val="Calibri"/>
        <family val="2"/>
        <scheme val="minor"/>
      </rPr>
      <t>Indeportes:</t>
    </r>
    <r>
      <rPr>
        <sz val="10"/>
        <color theme="1"/>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</si>
  <si>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rPr>
        <b/>
        <sz val="10"/>
        <color theme="1"/>
        <rFont val="Calibri"/>
        <family val="2"/>
        <scheme val="minor"/>
      </rPr>
      <t xml:space="preserve">
Nota: Se beneficiaron: 11693 Personas 79% Por encima de la línea de base de 6500 beneficiados.   
Alcaldía de Circasia:</t>
    </r>
    <r>
      <rPr>
        <sz val="10"/>
        <color theme="1"/>
        <rFont val="Calibri"/>
        <family val="2"/>
        <scheme val="minor"/>
      </rPr>
      <t xml:space="preserve"> Se han abierto espacios de rumba terapia en el centro dia de adulto mayor.
</t>
    </r>
    <r>
      <rPr>
        <b/>
        <sz val="10"/>
        <color theme="1"/>
        <rFont val="Calibri"/>
        <family val="2"/>
        <scheme val="minor"/>
      </rPr>
      <t>Alcaldía de la Tebaida:</t>
    </r>
    <r>
      <rPr>
        <sz val="10"/>
        <color theme="1"/>
        <rFont val="Calibri"/>
        <family val="2"/>
        <scheme val="minor"/>
      </rPr>
      <t xml:space="preserve">  de acuerdo a lo reportado 8 adultos entre 18 a 28 años se benefician de actividad física
</t>
    </r>
    <r>
      <rPr>
        <b/>
        <sz val="10"/>
        <color theme="1"/>
        <rFont val="Calibri"/>
        <family val="2"/>
        <scheme val="minor"/>
      </rPr>
      <t>Universidad del Quindío:</t>
    </r>
    <r>
      <rPr>
        <sz val="10"/>
        <color theme="1"/>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color theme="1"/>
        <rFont val="Calibri"/>
        <family val="2"/>
        <scheme val="minor"/>
      </rPr>
      <t>Alcaldía de Salento:</t>
    </r>
    <r>
      <rPr>
        <sz val="10"/>
        <color theme="1"/>
        <rFont val="Calibri"/>
        <family val="2"/>
        <scheme val="minor"/>
      </rPr>
      <t>150 personas adultas que realizan actividades moderadas y vigorosas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Calarcá: </t>
    </r>
    <r>
      <rPr>
        <sz val="10"/>
        <color theme="1"/>
        <rFont val="Calibri"/>
        <family val="2"/>
        <scheme val="minor"/>
      </rPr>
      <t>Programa recreativo para adolescencia y juventud y programa recreativo y fitness.</t>
    </r>
    <r>
      <rPr>
        <b/>
        <sz val="10"/>
        <color theme="1"/>
        <rFont val="Calibri"/>
        <family val="2"/>
        <scheme val="minor"/>
      </rPr>
      <t xml:space="preserve">
Alcaldia Montenegro: </t>
    </r>
    <r>
      <rPr>
        <sz val="10"/>
        <color theme="1"/>
        <rFont val="Calibri"/>
        <family val="2"/>
        <scheme val="minor"/>
      </rPr>
      <t>Se realiza</t>
    </r>
    <r>
      <rPr>
        <b/>
        <sz val="10"/>
        <color theme="1"/>
        <rFont val="Calibri"/>
        <family val="2"/>
        <scheme val="minor"/>
      </rPr>
      <t xml:space="preserve"> </t>
    </r>
    <r>
      <rPr>
        <sz val="10"/>
        <color theme="1"/>
        <rFont val="Calibri"/>
        <family val="2"/>
        <scheme val="minor"/>
      </rPr>
      <t>actividad fisica adulto mayor ,torneos y campeonatos de futlbol para un total de 650 deportistas participando.</t>
    </r>
    <r>
      <rPr>
        <b/>
        <sz val="10"/>
        <color theme="1"/>
        <rFont val="Calibri"/>
        <family val="2"/>
        <scheme val="minor"/>
      </rPr>
      <t xml:space="preserve">
Alcaldía Filandia: </t>
    </r>
    <r>
      <rPr>
        <sz val="10"/>
        <color theme="1"/>
        <rFont val="Calibri"/>
        <family val="2"/>
        <scheme val="minor"/>
      </rPr>
      <t xml:space="preserve">270 adultos
</t>
    </r>
    <r>
      <rPr>
        <b/>
        <sz val="10"/>
        <color theme="1"/>
        <rFont val="Calibri"/>
        <family val="2"/>
        <scheme val="minor"/>
      </rPr>
      <t xml:space="preserve">Alcaldia de pijao:  </t>
    </r>
    <r>
      <rPr>
        <sz val="10"/>
        <color theme="1"/>
        <rFont val="Calibri"/>
        <family val="2"/>
        <scheme val="minor"/>
      </rPr>
      <t>120 adultos en los diferentes equipos participantes</t>
    </r>
    <r>
      <rPr>
        <b/>
        <sz val="10"/>
        <color theme="1"/>
        <rFont val="Calibri"/>
        <family val="2"/>
        <scheme val="minor"/>
      </rPr>
      <t xml:space="preserve">
Alcaldía de Buenavista: </t>
    </r>
    <r>
      <rPr>
        <sz val="10"/>
        <color theme="1"/>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color theme="1"/>
        <rFont val="Calibri"/>
        <family val="2"/>
        <scheme val="minor"/>
      </rPr>
      <t xml:space="preserve">
Alcaldía Salento: </t>
    </r>
    <r>
      <rPr>
        <sz val="10"/>
        <color theme="1"/>
        <rFont val="Calibri"/>
        <family val="2"/>
        <scheme val="minor"/>
      </rPr>
      <t xml:space="preserve">150 personas adultas que realizan actividades moderadas y vigorosas </t>
    </r>
    <r>
      <rPr>
        <b/>
        <sz val="10"/>
        <color theme="1"/>
        <rFont val="Calibri"/>
        <family val="2"/>
        <scheme val="minor"/>
      </rPr>
      <t xml:space="preserve">
Alcaldía de Armenia:</t>
    </r>
    <r>
      <rPr>
        <sz val="10"/>
        <color theme="1"/>
        <rFont val="Calibri"/>
        <family val="2"/>
        <scheme val="minor"/>
      </rPr>
      <t xml:space="preserve"> Implementar, ejecutar y dotar programas de Hábitos y Estilos de Vida Saludable y Actividad Física
</t>
    </r>
    <r>
      <rPr>
        <b/>
        <sz val="10"/>
        <color theme="1"/>
        <rFont val="Calibri"/>
        <family val="2"/>
        <scheme val="minor"/>
      </rPr>
      <t>Universidad EAM:</t>
    </r>
    <r>
      <rPr>
        <sz val="10"/>
        <color theme="1"/>
        <rFont val="Calibri"/>
        <family val="2"/>
        <scheme val="minor"/>
      </rPr>
      <t xml:space="preserve"> 59 estudiantes en promedio por mes en actividad física en el centro de acondicionamiento físico
30 estudiantes en cátedra de deporte formativo (educación continuada).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Universidad San Buenaventura: </t>
    </r>
    <r>
      <rPr>
        <sz val="10"/>
        <color theme="1"/>
        <rFont val="Calibri"/>
        <family val="2"/>
        <scheme val="minor"/>
      </rPr>
      <t xml:space="preserve">En la Universidad De San Buenaventura, 19 de 122 estudiantes, entre de las edades de 28 a 46 años,  practican entre 150 y 75 minutos de actividad física
</t>
    </r>
    <r>
      <rPr>
        <b/>
        <sz val="10"/>
        <color theme="1"/>
        <rFont val="Calibri"/>
        <family val="2"/>
        <scheme val="minor"/>
      </rPr>
      <t>Universidad Von Humbolt:</t>
    </r>
    <r>
      <rPr>
        <sz val="10"/>
        <color theme="1"/>
        <rFont val="Calibri"/>
        <family val="2"/>
        <scheme val="minor"/>
      </rPr>
      <t xml:space="preserve"> La Facultad no desarrolla este tipo de actividades. Apoya si las actividades de Bienestar Universitario para nuestra comunidad académica.
</t>
    </r>
    <r>
      <rPr>
        <b/>
        <sz val="10"/>
        <color theme="1"/>
        <rFont val="Calibri"/>
        <family val="2"/>
        <scheme val="minor"/>
      </rPr>
      <t>Indeportes:</t>
    </r>
    <r>
      <rPr>
        <sz val="10"/>
        <color theme="1"/>
        <rFont val="Calibri"/>
        <family val="2"/>
        <scheme val="minor"/>
      </rPr>
      <t xml:space="preserve"> Entre enero y junio del 2024 155 adultos jóvenes dedican más de 150 de actividad física de intensidad vigorosa o moderada cada semana.
</t>
    </r>
  </si>
  <si>
    <r>
      <t xml:space="preserve">Indeportes: </t>
    </r>
    <r>
      <rPr>
        <sz val="10"/>
        <color theme="1"/>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color theme="1"/>
        <rFont val="Calibri"/>
        <family val="2"/>
        <scheme val="minor"/>
      </rPr>
      <t xml:space="preserve">
Alcaldía de La Tebaida: </t>
    </r>
    <r>
      <rPr>
        <sz val="10"/>
        <color theme="1"/>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color theme="1"/>
        <rFont val="Calibri"/>
        <family val="2"/>
        <scheme val="minor"/>
      </rPr>
      <t xml:space="preserve">
Alcaldía Buenavista: E</t>
    </r>
    <r>
      <rPr>
        <sz val="10"/>
        <color theme="1"/>
        <rFont val="Calibri"/>
        <family val="2"/>
        <scheme val="minor"/>
      </rPr>
      <t>l municipio cuenta con un grupo de 10 jóvenes que asisten a campamentos juveniles, el cual es liderado por un contratista de la Gobernación del Quindío.</t>
    </r>
    <r>
      <rPr>
        <b/>
        <sz val="10"/>
        <color theme="1"/>
        <rFont val="Calibri"/>
        <family val="2"/>
        <scheme val="minor"/>
      </rPr>
      <t xml:space="preserve">
Alcaldía Quimbaya: </t>
    </r>
    <r>
      <rPr>
        <sz val="10"/>
        <color theme="1"/>
        <rFont val="Calibri"/>
        <family val="2"/>
        <scheme val="minor"/>
      </rPr>
      <t xml:space="preserve">Actualmente se cuenta con escuela formativa de boxeo, tejo y BMX. 
</t>
    </r>
    <r>
      <rPr>
        <b/>
        <sz val="10"/>
        <color theme="1"/>
        <rFont val="Calibri"/>
        <family val="2"/>
        <scheme val="minor"/>
      </rPr>
      <t xml:space="preserve">Alcaldía Montenegro: </t>
    </r>
    <r>
      <rPr>
        <sz val="10"/>
        <color theme="1"/>
        <rFont val="Calibri"/>
        <family val="2"/>
        <scheme val="minor"/>
      </rPr>
      <t>4: skatepark, porrismo, gimnasia y hapkido</t>
    </r>
    <r>
      <rPr>
        <b/>
        <sz val="10"/>
        <color theme="1"/>
        <rFont val="Calibri"/>
        <family val="2"/>
        <scheme val="minor"/>
      </rPr>
      <t xml:space="preserve">
Alcaldia de pijao: </t>
    </r>
    <r>
      <rPr>
        <sz val="10"/>
        <color theme="1"/>
        <rFont val="Calibri"/>
        <family val="2"/>
        <scheme val="minor"/>
      </rPr>
      <t xml:space="preserve">natacion y patinaje.
</t>
    </r>
    <r>
      <rPr>
        <b/>
        <sz val="10"/>
        <color theme="1"/>
        <rFont val="Calibri"/>
        <family val="2"/>
        <scheme val="minor"/>
      </rPr>
      <t>Alcaldía de Córdoba:</t>
    </r>
    <r>
      <rPr>
        <sz val="10"/>
        <color theme="1"/>
        <rFont val="Calibri"/>
        <family val="2"/>
        <scheme val="minor"/>
      </rPr>
      <t xml:space="preserve"> en el municipio de Córdoba Quindío se garantiza el funcionamiento de 6 escuelas de formación como : futbol, fútbol de salón ,ciclismo,  natación, basquetbol y patinaje 
</t>
    </r>
    <r>
      <rPr>
        <b/>
        <sz val="10"/>
        <color theme="1"/>
        <rFont val="Calibri"/>
        <family val="2"/>
        <scheme val="minor"/>
      </rPr>
      <t>Alcaldía Armenia:</t>
    </r>
    <r>
      <rPr>
        <sz val="10"/>
        <color theme="1"/>
        <rFont val="Calibri"/>
        <family val="2"/>
        <scheme val="minor"/>
      </rPr>
      <t xml:space="preserve"> Implementos deportivos recreativos y de actividad física para las actividades de deporte social comunitario, actividades recreativas y de actividad física</t>
    </r>
  </si>
  <si>
    <r>
      <t xml:space="preserve">Indeportes: </t>
    </r>
    <r>
      <rPr>
        <sz val="10"/>
        <color theme="1"/>
        <rFont val="Calibri"/>
        <family val="2"/>
        <scheme val="minor"/>
      </rPr>
      <t>Entre el periodo de enero a junio del 2024 se han apoyado a 10 deportistas jóvenes no convencionales.</t>
    </r>
    <r>
      <rPr>
        <b/>
        <sz val="10"/>
        <color theme="1"/>
        <rFont val="Calibri"/>
        <family val="2"/>
        <scheme val="minor"/>
      </rPr>
      <t xml:space="preserve">
Alcaldía de La Tebaida: </t>
    </r>
    <r>
      <rPr>
        <sz val="10"/>
        <color theme="1"/>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color theme="1"/>
        <rFont val="Calibri"/>
        <family val="2"/>
        <scheme val="minor"/>
      </rPr>
      <t xml:space="preserve">
Alcaldía Buenavista: E</t>
    </r>
    <r>
      <rPr>
        <sz val="10"/>
        <color theme="1"/>
        <rFont val="Calibri"/>
        <family val="2"/>
        <scheme val="minor"/>
      </rPr>
      <t>l municipio cuenta con un grupo de 10 jóvenes que asisten a campamentos juveniles, el cual es liderado por un contratista de la Gobernación del Quindío.</t>
    </r>
    <r>
      <rPr>
        <b/>
        <sz val="10"/>
        <color theme="1"/>
        <rFont val="Calibri"/>
        <family val="2"/>
        <scheme val="minor"/>
      </rPr>
      <t xml:space="preserve">
Alcaldía Quimbaya: </t>
    </r>
    <r>
      <rPr>
        <sz val="10"/>
        <color theme="1"/>
        <rFont val="Calibri"/>
        <family val="2"/>
        <scheme val="minor"/>
      </rPr>
      <t xml:space="preserve">Actualmente se cuenta con escuela formativa de boxeo, tejo y BMX. 
</t>
    </r>
    <r>
      <rPr>
        <b/>
        <sz val="10"/>
        <color theme="1"/>
        <rFont val="Calibri"/>
        <family val="2"/>
        <scheme val="minor"/>
      </rPr>
      <t xml:space="preserve">Alcaldía Montenegro: </t>
    </r>
    <r>
      <rPr>
        <sz val="10"/>
        <color theme="1"/>
        <rFont val="Calibri"/>
        <family val="2"/>
        <scheme val="minor"/>
      </rPr>
      <t>4: skatepark, porrismo, gimnasia y hapkido</t>
    </r>
    <r>
      <rPr>
        <b/>
        <sz val="10"/>
        <color theme="1"/>
        <rFont val="Calibri"/>
        <family val="2"/>
        <scheme val="minor"/>
      </rPr>
      <t xml:space="preserve">
Alcaldia de pijao: </t>
    </r>
    <r>
      <rPr>
        <sz val="10"/>
        <color theme="1"/>
        <rFont val="Calibri"/>
        <family val="2"/>
        <scheme val="minor"/>
      </rPr>
      <t xml:space="preserve">natacion y patinaje.
</t>
    </r>
    <r>
      <rPr>
        <b/>
        <sz val="10"/>
        <color theme="1"/>
        <rFont val="Calibri"/>
        <family val="2"/>
        <scheme val="minor"/>
      </rPr>
      <t>Alcaldía de Córdoba:</t>
    </r>
    <r>
      <rPr>
        <sz val="10"/>
        <color theme="1"/>
        <rFont val="Calibri"/>
        <family val="2"/>
        <scheme val="minor"/>
      </rPr>
      <t xml:space="preserve"> en el municipio de Córdoba Quindío se garantiza el funcionamiento de 6 escuelas de formación como : futbol, fútbol de salón ,ciclismo,  natación, basquetbol y patinaje 
</t>
    </r>
    <r>
      <rPr>
        <b/>
        <sz val="10"/>
        <color theme="1"/>
        <rFont val="Calibri"/>
        <family val="2"/>
        <scheme val="minor"/>
      </rPr>
      <t>Alcaldía Armenia:</t>
    </r>
    <r>
      <rPr>
        <sz val="10"/>
        <color theme="1"/>
        <rFont val="Calibri"/>
        <family val="2"/>
        <scheme val="minor"/>
      </rPr>
      <t xml:space="preserve"> Implementos deportivos recreativos y de actividad física para las actividades de deporte social comunitario, actividades recreativas y de actividad física</t>
    </r>
  </si>
  <si>
    <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b/>
        <sz val="10"/>
        <color theme="1"/>
        <rFont val="Calibri"/>
        <family val="2"/>
        <scheme val="minor"/>
      </rPr>
      <t>Secretaría de Familia</t>
    </r>
    <r>
      <rPr>
        <sz val="10"/>
        <color theme="1"/>
        <rFont val="Calibri"/>
        <family val="2"/>
        <scheme val="minor"/>
      </rPr>
      <t>: Informa la promoción del turismo de naturaleza de aventura a través de la participación de la feria ANATO.</t>
    </r>
  </si>
  <si>
    <r>
      <t>Secretaria de Turismo, Industria y Comercio:</t>
    </r>
    <r>
      <rPr>
        <sz val="10"/>
        <color theme="1"/>
        <rFont val="Calibri"/>
        <family val="2"/>
        <scheme val="minor"/>
      </rPr>
      <t xml:space="preserve">Se llevo acabo un diagnostico y levantamiento de información acerca de las empresas turisticas de naturaleza y de aventura para su identificación y establecer posibles alianzas, de esta manera se visitaron los siguientes parques:
*Parque acuatico y de aventura extrema las bailarinas, cuentan con 40 empleados de las cuales hay 15 jovenes.
*Canopy los caracolies, cuentan con 3 empleados jovenes.
*Granja extrema La tebaida, cuenta con 10 empleados jovenes. 
*Balsaje la tebaida, cuenta con 4 empleados jovenes.
</t>
    </r>
    <r>
      <rPr>
        <b/>
        <sz val="10"/>
        <color theme="1"/>
        <rFont val="Calibri"/>
        <family val="2"/>
        <scheme val="minor"/>
      </rPr>
      <t xml:space="preserve">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Alcaldía Salento:</t>
    </r>
    <r>
      <rPr>
        <sz val="10"/>
        <color theme="1"/>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color theme="1"/>
        <rFont val="Calibri"/>
        <family val="2"/>
        <scheme val="minor"/>
      </rPr>
      <t>Alcaldía de Córdoba:</t>
    </r>
    <r>
      <rPr>
        <sz val="10"/>
        <color theme="1"/>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color theme="1"/>
        <rFont val="Calibri"/>
        <family val="2"/>
        <scheme val="minor"/>
      </rPr>
      <t>Alcaldía de Calarcá:</t>
    </r>
    <r>
      <rPr>
        <sz val="10"/>
        <color theme="1"/>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Alcaldía Buenavista:</t>
    </r>
    <r>
      <rPr>
        <sz val="10"/>
        <color theme="1"/>
        <rFont val="Calibri"/>
        <family val="2"/>
        <scheme val="minor"/>
      </rPr>
      <t xml:space="preserve"> no tiene reportes a la fecha.
</t>
    </r>
    <r>
      <rPr>
        <b/>
        <sz val="10"/>
        <color theme="1"/>
        <rFont val="Calibri"/>
        <family val="2"/>
        <scheme val="minor"/>
      </rPr>
      <t>Alcaldía Quimbaya:</t>
    </r>
    <r>
      <rPr>
        <sz val="10"/>
        <color theme="1"/>
        <rFont val="Calibri"/>
        <family val="2"/>
        <scheme val="minor"/>
      </rPr>
      <t xml:space="preserve"> Esta meta no se encuentra programada para ser ejecutada durante el presente trimestre
</t>
    </r>
    <r>
      <rPr>
        <b/>
        <sz val="10"/>
        <color theme="1"/>
        <rFont val="Calibri"/>
        <family val="2"/>
        <scheme val="minor"/>
      </rPr>
      <t xml:space="preserve">Alcaldia Armenia: </t>
    </r>
    <r>
      <rPr>
        <sz val="10"/>
        <color theme="1"/>
        <rFont val="Calibri"/>
        <family val="2"/>
        <scheme val="minor"/>
      </rPr>
      <t xml:space="preserve">DESARROLLO ECONOMICO NO REPORTA INFORMACION.
</t>
    </r>
    <r>
      <rPr>
        <b/>
        <sz val="10"/>
        <color theme="1"/>
        <rFont val="Calibri"/>
        <family val="2"/>
        <scheme val="minor"/>
      </rPr>
      <t xml:space="preserve">Alcaldia Montengro: </t>
    </r>
    <r>
      <rPr>
        <sz val="10"/>
        <color theme="1"/>
        <rFont val="Calibri"/>
        <family val="2"/>
        <scheme val="minor"/>
      </rPr>
      <t xml:space="preserve">alianza con el instituto - apoyo sobre informacion tutistica.
</t>
    </r>
    <r>
      <rPr>
        <b/>
        <sz val="10"/>
        <color theme="1"/>
        <rFont val="Calibri"/>
        <family val="2"/>
        <scheme val="minor"/>
      </rPr>
      <t xml:space="preserve">Secretaria de Cultura: </t>
    </r>
    <r>
      <rPr>
        <sz val="10"/>
        <color theme="1"/>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color theme="1"/>
        <rFont val="Calibri"/>
        <family val="2"/>
        <scheme val="minor"/>
      </rPr>
      <t>Alcaldía de Cordob</t>
    </r>
    <r>
      <rPr>
        <sz val="10"/>
        <color theme="1"/>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color theme="1"/>
        <rFont val="Calibri"/>
        <family val="2"/>
        <scheme val="minor"/>
      </rPr>
      <t>Alcaldia Genova:</t>
    </r>
    <r>
      <rPr>
        <sz val="10"/>
        <color theme="1"/>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color theme="1"/>
        <rFont val="Calibri"/>
        <family val="2"/>
        <scheme val="minor"/>
      </rPr>
      <t xml:space="preserve">
</t>
    </r>
  </si>
  <si>
    <r>
      <rPr>
        <b/>
        <sz val="10"/>
        <color theme="1"/>
        <rFont val="Calibri"/>
        <family val="2"/>
        <scheme val="minor"/>
      </rPr>
      <t>Observación:</t>
    </r>
    <r>
      <rPr>
        <sz val="10"/>
        <color theme="1"/>
        <rFont val="Calibri"/>
        <family val="2"/>
        <scheme val="minor"/>
      </rPr>
      <t xml:space="preserve"> Lo que reporta la Secretaría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Se siguen realizando los  talleres de tejidos en macramé, trapillo, acabado de manillas con jóvenes  del Amparo de niños Juan XXXIII, con asistencia de 29   jóvenes.</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</si>
  <si>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 xml:space="preserve">Secretaría de Cultura: </t>
    </r>
    <r>
      <rPr>
        <sz val="10"/>
        <color theme="1"/>
        <rFont val="Calibri"/>
        <family val="2"/>
        <scheme val="minor"/>
      </rPr>
      <t xml:space="preserve"> En el marco  del programa de estímulos beca de creación  fueron elegidos 7 jóvenes  ganadores del programa y que han venido desarrollando sus proyectos y se han benefciado en el desarrollo de estos 274 jóvenes.</t>
    </r>
  </si>
  <si>
    <r>
      <t xml:space="preserve">Secretaría de Cultura: </t>
    </r>
    <r>
      <rPr>
        <sz val="10"/>
        <color theme="1"/>
        <rFont val="Calibri"/>
        <family val="2"/>
        <scheme val="minor"/>
      </rPr>
      <t xml:space="preserve">No reporta información en este indicador.
</t>
    </r>
  </si>
  <si>
    <r>
      <rPr>
        <b/>
        <sz val="10"/>
        <color theme="1"/>
        <rFont val="Calibri"/>
        <family val="2"/>
        <scheme val="minor"/>
      </rPr>
      <t xml:space="preserve"> 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Secretaría de Cultura</t>
    </r>
    <r>
      <rPr>
        <sz val="10"/>
        <color theme="1"/>
        <rFont val="Calibri"/>
        <family val="2"/>
        <scheme val="minor"/>
      </rPr>
      <t xml:space="preserve">: Se vienen ejecutando los proyectos de concertación en donde resultaron ganadores 40 fundaciones y asociaciones, en donde se han benefiaciado de agosto a septiembtre, 636 de esta población en talleres de danza, música, artes visuales y patrimonio. </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</si>
  <si>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Secretaría de Cultura</t>
    </r>
    <r>
      <rPr>
        <sz val="10"/>
        <color theme="1"/>
        <rFont val="Calibri"/>
        <family val="2"/>
        <scheme val="minor"/>
      </rPr>
      <t xml:space="preserve">: En este momento se dio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</si>
  <si>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t xml:space="preserve">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       </t>
  </si>
  <si>
    <r>
      <t xml:space="preserve">Secretaría de Cultura: reporta </t>
    </r>
    <r>
      <rPr>
        <sz val="10"/>
        <color theme="1"/>
        <rFont val="Calibri"/>
        <family val="2"/>
        <scheme val="minor"/>
      </rPr>
      <t xml:space="preserve">La realización de seminarios en las áreas artísticas: música, teatro, artes plásticas y danza en las casas de la cultura, donde se dieron a jóvenes mas de 5000 seminarios en toda la vigencia 2021, en los 12 municipios del Departamento.
</t>
    </r>
  </si>
  <si>
    <r>
      <rPr>
        <b/>
        <sz val="10"/>
        <color theme="1"/>
        <rFont val="Calibri"/>
        <family val="2"/>
        <scheme val="minor"/>
      </rPr>
      <t xml:space="preserve">  Observacion:</t>
    </r>
    <r>
      <rPr>
        <sz val="10"/>
        <color theme="1"/>
        <rFont val="Calibri"/>
        <family val="2"/>
        <scheme val="minor"/>
      </rPr>
      <t xml:space="preserve"> lo que reporta la secretaria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Formación en las diferentes areas como música , teatro, danza,  artes plasticas en los diferentes municipios de Quimbaya, Circasia, Armenia , Salento, Barcelona, contando con la participacion de 161 .</t>
    </r>
  </si>
  <si>
    <r>
      <rPr>
        <b/>
        <sz val="10"/>
        <color theme="1"/>
        <rFont val="Calibri"/>
        <family val="2"/>
        <scheme val="minor"/>
      </rPr>
      <t xml:space="preserve"> Observacion:</t>
    </r>
    <r>
      <rPr>
        <sz val="10"/>
        <color theme="1"/>
        <rFont val="Calibri"/>
        <family val="2"/>
        <scheme val="minor"/>
      </rPr>
      <t xml:space="preserve"> lo que reporta la secretaria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</si>
  <si>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color theme="1"/>
        <rFont val="Calibri"/>
        <family val="2"/>
        <scheme val="minor"/>
      </rPr>
      <t xml:space="preserve">Secretaría de Familia: </t>
    </r>
    <r>
      <rPr>
        <sz val="10"/>
        <color theme="1"/>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color theme="1"/>
        <rFont val="Calibri"/>
        <family val="2"/>
        <scheme val="minor"/>
      </rPr>
      <t>Secretaría de Comunicaciones:</t>
    </r>
    <r>
      <rPr>
        <sz val="10"/>
        <color theme="1"/>
        <rFont val="Calibri"/>
        <family val="2"/>
        <scheme val="minor"/>
      </rPr>
      <t xml:space="preserve"> No reportó información
</t>
    </r>
  </si>
  <si>
    <r>
      <rPr>
        <b/>
        <sz val="10"/>
        <color theme="1"/>
        <rFont val="Calibri"/>
        <family val="2"/>
        <scheme val="minor"/>
      </rPr>
      <t xml:space="preserve">Universidad La Gran Colombia: </t>
    </r>
    <r>
      <rPr>
        <sz val="10"/>
        <color theme="1"/>
        <rFont val="Calibri"/>
        <family val="2"/>
        <scheme val="minor"/>
      </rPr>
      <t xml:space="preserve">Modelo participativo de formulación de política pública de juventud del Departamento del Quindío (periodo de ejecución julio 2019 - diciembre de 2021).
</t>
    </r>
    <r>
      <rPr>
        <b/>
        <sz val="10"/>
        <color theme="1"/>
        <rFont val="Calibri"/>
        <family val="2"/>
        <scheme val="minor"/>
      </rPr>
      <t>Corporación Universitaria Alexander Von Humboldt:</t>
    </r>
    <r>
      <rPr>
        <sz val="10"/>
        <color theme="1"/>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color theme="1"/>
        <rFont val="Calibri"/>
        <family val="2"/>
        <scheme val="minor"/>
      </rPr>
      <t>EAM:</t>
    </r>
    <r>
      <rPr>
        <sz val="10"/>
        <color theme="1"/>
        <rFont val="Calibri"/>
        <family val="2"/>
        <scheme val="minor"/>
      </rPr>
      <t xml:space="preserve"> actualmente no se hay semilleros que manejen la temática de juventudes.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color theme="1"/>
        <rFont val="Calibri"/>
        <family val="2"/>
        <scheme val="minor"/>
      </rPr>
      <t>Secretaría TICS</t>
    </r>
    <r>
      <rPr>
        <sz val="10"/>
        <color theme="1"/>
        <rFont val="Calibri"/>
        <family val="2"/>
        <scheme val="minor"/>
      </rPr>
      <t xml:space="preserve">: No reportó información
</t>
    </r>
  </si>
  <si>
    <r>
      <rPr>
        <b/>
        <sz val="10"/>
        <color theme="1"/>
        <rFont val="Calibri"/>
        <family val="2"/>
        <scheme val="minor"/>
      </rPr>
      <t>Secretaría de Educación:</t>
    </r>
    <r>
      <rPr>
        <sz val="10"/>
        <color theme="1"/>
        <rFont val="Calibri"/>
        <family val="2"/>
        <scheme val="minor"/>
      </rPr>
      <t xml:space="preserve"> A la fecha no se han ejecutado actividades para estos indicadores
</t>
    </r>
    <r>
      <rPr>
        <b/>
        <sz val="10"/>
        <color theme="1"/>
        <rFont val="Calibri"/>
        <family val="2"/>
        <scheme val="minor"/>
      </rPr>
      <t>Universidad del Quindío:</t>
    </r>
    <r>
      <rPr>
        <sz val="10"/>
        <color theme="1"/>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Universidad la Gran Colombia:</t>
    </r>
    <r>
      <rPr>
        <sz val="10"/>
        <color theme="1"/>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 xml:space="preserve">Universidad San Buenaventura: </t>
    </r>
    <r>
      <rPr>
        <sz val="10"/>
        <color theme="1"/>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color theme="1"/>
        <rFont val="Calibri"/>
        <family val="2"/>
        <scheme val="minor"/>
      </rPr>
      <t>Universidad Vom Humbolt:</t>
    </r>
    <r>
      <rPr>
        <sz val="10"/>
        <color theme="1"/>
        <rFont val="Calibri"/>
        <family val="2"/>
        <scheme val="minor"/>
      </rPr>
      <t xml:space="preserve"> La Facultad de Ciencias Administrativas en este momento no cuenta con investigaciones relacionadas con dinámicas juveniles.
</t>
    </r>
  </si>
  <si>
    <r>
      <rPr>
        <b/>
        <sz val="10"/>
        <color theme="1"/>
        <rFont val="Calibri"/>
        <family val="2"/>
        <scheme val="minor"/>
      </rPr>
      <t>Secretaría de Educación:</t>
    </r>
    <r>
      <rPr>
        <sz val="10"/>
        <color theme="1"/>
        <rFont val="Calibri"/>
        <family val="2"/>
        <scheme val="minor"/>
      </rPr>
      <t xml:space="preserve"> A la fecha no se han ejecutado actividades para estos indicadores
</t>
    </r>
    <r>
      <rPr>
        <b/>
        <sz val="10"/>
        <color theme="1"/>
        <rFont val="Calibri"/>
        <family val="2"/>
        <scheme val="minor"/>
      </rPr>
      <t>Universidad del Quindío:</t>
    </r>
    <r>
      <rPr>
        <sz val="10"/>
        <color theme="1"/>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Universidad la Gran Colombia:</t>
    </r>
    <r>
      <rPr>
        <sz val="10"/>
        <color theme="1"/>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 xml:space="preserve">Universidad San Buenaventura: </t>
    </r>
    <r>
      <rPr>
        <sz val="10"/>
        <color theme="1"/>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color theme="1"/>
        <rFont val="Calibri"/>
        <family val="2"/>
        <scheme val="minor"/>
      </rPr>
      <t>Universidad Vom Humbolt:</t>
    </r>
    <r>
      <rPr>
        <sz val="10"/>
        <color theme="1"/>
        <rFont val="Calibri"/>
        <family val="2"/>
        <scheme val="minor"/>
      </rPr>
      <t xml:space="preserve"> La Facultad de Ciencias Administrativas en este momento no cuenta con investigaciones relacionadas con dinámicas juveniles.</t>
    </r>
  </si>
  <si>
    <r>
      <t>EAM:</t>
    </r>
    <r>
      <rPr>
        <sz val="10"/>
        <color theme="1"/>
        <rFont val="Calibri"/>
        <family val="2"/>
        <scheme val="minor"/>
      </rPr>
      <t xml:space="preserve"> Hay una profesionalización en software y se ofrece una maestría en planeación estratégica 
</t>
    </r>
    <r>
      <rPr>
        <b/>
        <sz val="10"/>
        <color theme="1"/>
        <rFont val="Calibri"/>
        <family val="2"/>
        <scheme val="minor"/>
      </rPr>
      <t>Universidad San Buenaventura:</t>
    </r>
    <r>
      <rPr>
        <sz val="10"/>
        <color theme="1"/>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color theme="1"/>
        <rFont val="Calibri"/>
        <family val="2"/>
        <scheme val="minor"/>
      </rPr>
      <t>Corporación Universitaria Alexander Von Humboldt</t>
    </r>
    <r>
      <rPr>
        <sz val="10"/>
        <color theme="1"/>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color theme="1"/>
        <rFont val="Calibri"/>
        <family val="2"/>
        <scheme val="minor"/>
      </rPr>
      <t>Secretaría de Educación:</t>
    </r>
    <r>
      <rPr>
        <sz val="10"/>
        <color theme="1"/>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color theme="1"/>
        <rFont val="Calibri"/>
        <family val="2"/>
        <scheme val="minor"/>
      </rPr>
      <t xml:space="preserve">
Secretaría de Familia: </t>
    </r>
    <r>
      <rPr>
        <sz val="10"/>
        <color theme="1"/>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</si>
  <si>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color theme="1"/>
        <rFont val="Calibri"/>
        <family val="2"/>
        <scheme val="minor"/>
      </rPr>
      <t>Universidad San  Buenaventura</t>
    </r>
    <r>
      <rPr>
        <sz val="10"/>
        <color theme="1"/>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color theme="1"/>
        <rFont val="Calibri"/>
        <family val="2"/>
        <scheme val="minor"/>
      </rPr>
      <t>Universidad EAM:</t>
    </r>
    <r>
      <rPr>
        <sz val="10"/>
        <color theme="1"/>
        <rFont val="Calibri"/>
        <family val="2"/>
        <scheme val="minor"/>
      </rPr>
      <t xml:space="preserve">Cuatro (4) cursos de cátedra de emprendimiento con la participación de 93 estudiantes con una intensidad de 64 horas.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Vom Humbolt:</t>
    </r>
    <r>
      <rPr>
        <sz val="10"/>
        <color theme="1"/>
        <rFont val="Calibri"/>
        <family val="2"/>
        <scheme val="minor"/>
      </rPr>
      <t xml:space="preserve"> 441 personas impactadas en 5 programas en educación continua.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 xml:space="preserve"> Secretaría de Educación: </t>
    </r>
    <r>
      <rPr>
        <sz val="10"/>
        <color theme="1"/>
        <rFont val="Calibri"/>
        <family val="2"/>
        <scheme val="minor"/>
      </rPr>
      <t xml:space="preserve">A la fecha no se han ejecutado actividades para estos indicadores
</t>
    </r>
    <r>
      <rPr>
        <b/>
        <sz val="10"/>
        <color theme="1"/>
        <rFont val="Calibri"/>
        <family val="2"/>
        <scheme val="minor"/>
      </rPr>
      <t xml:space="preserve">ICBF: </t>
    </r>
    <r>
      <rPr>
        <sz val="10"/>
        <color theme="1"/>
        <rFont val="Calibri"/>
        <family val="2"/>
        <scheme val="minor"/>
      </rPr>
      <t>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t>
    </r>
  </si>
  <si>
    <r>
      <t xml:space="preserve">
</t>
    </r>
    <r>
      <rPr>
        <b/>
        <sz val="10"/>
        <color theme="1"/>
        <rFont val="Calibri"/>
        <family val="2"/>
        <scheme val="minor"/>
      </rPr>
      <t xml:space="preserve">Universidad EAM: </t>
    </r>
    <r>
      <rPr>
        <sz val="10"/>
        <color theme="1"/>
        <rFont val="Calibri"/>
        <family val="2"/>
        <scheme val="minor"/>
      </rPr>
      <t xml:space="preserve">Tres (3) cursos de cátedra de emprendimiento con la participación de 103 estudiantes con una intensidad de 64 horas.
</t>
    </r>
    <r>
      <rPr>
        <b/>
        <sz val="10"/>
        <color theme="1"/>
        <rFont val="Calibri"/>
        <family val="2"/>
        <scheme val="minor"/>
      </rPr>
      <t xml:space="preserve">Universidad la Gran Colombia: </t>
    </r>
    <r>
      <rPr>
        <sz val="10"/>
        <color theme="1"/>
        <rFont val="Calibri"/>
        <family val="2"/>
        <scheme val="minor"/>
      </rPr>
      <t>Diplomado en Gestión Integral de la Reproducción Bovina: Se da la apertura al diplomado el viernes 14 de junio del presente año, con la participación de 21 estudiantes. Este Diplomado tiene una duración de 96 horas.</t>
    </r>
  </si>
  <si>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 xml:space="preserve">
</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</si>
  <si>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12 espacios de participación los cuales tienen dentro de sus funciones hacer control social a lo público. Además,  La Secretaría de Familia reporta  que los consejos y las plataformas de juventud, tienen dentro de sus funciones hacer control social a lo público.
</t>
    </r>
  </si>
  <si>
    <r>
      <rPr>
        <b/>
        <sz val="10"/>
        <color theme="1"/>
        <rFont val="Calibri"/>
        <family val="2"/>
        <scheme val="minor"/>
      </rPr>
      <t>Secretaría de Familia:</t>
    </r>
    <r>
      <rPr>
        <sz val="10"/>
        <color theme="1"/>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</si>
  <si>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color theme="1"/>
        <rFont val="Calibri"/>
        <family val="2"/>
        <scheme val="minor"/>
      </rPr>
      <t>Secretaría de Planeación:</t>
    </r>
    <r>
      <rPr>
        <sz val="10"/>
        <color theme="1"/>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</si>
  <si>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Secretaría de Planeación</t>
    </r>
    <r>
      <rPr>
        <sz val="10"/>
        <color theme="1"/>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Además, se ha dado continuación a la recolección de información para el proceso de Rendición Publica de Cuenta vigencia 2023 de conformidad con la Ordenanza Nro. 010 del 24 de julio de 2019, "Por medio de la cual se subroga la Ordenanza 044 de 2009 “Por medio de la cual establece el procedimiento para la R</t>
    </r>
  </si>
  <si>
    <r>
      <t>Secretaría de Planeación</t>
    </r>
    <r>
      <rPr>
        <sz val="10"/>
        <color theme="1"/>
        <rFont val="Calibri"/>
        <family val="2"/>
        <scheme val="minor"/>
      </rPr>
      <t>: Para la vigencia 2024 no se llevará a cabo el proceso de Rendición de Cuentas ya que este se realiza a partir del siguiente año de inicio de gobierno, de conformidad con la Ordenanza Nro. 010 del 24 de julio de 2019, "Por medio de la cual se subroga la Ordenanza 044 de 2009 “Por medio de la cual establece el procedimiento para la Rendición de Cuentas Públicas y Visibilidad de la Administración Departamental en el Quindío”</t>
    </r>
  </si>
  <si>
    <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color theme="1"/>
        <rFont val="Calibri"/>
        <family val="2"/>
        <scheme val="minor"/>
      </rPr>
      <t xml:space="preserve">
</t>
    </r>
  </si>
  <si>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cuentan con Casa de la Juventud.</t>
    </r>
    <r>
      <rPr>
        <b/>
        <sz val="10"/>
        <color theme="1"/>
        <rFont val="Calibri"/>
        <family val="2"/>
        <scheme val="minor"/>
      </rPr>
      <t xml:space="preserve">
Alcaldía de Salento</t>
    </r>
    <r>
      <rPr>
        <sz val="10"/>
        <color theme="1"/>
        <rFont val="Calibri"/>
        <family val="2"/>
        <scheme val="minor"/>
      </rPr>
      <t xml:space="preserve">: Casa de la Juventud en funcionamiento, activa la oficina para el CMJ y Plataforma
</t>
    </r>
    <r>
      <rPr>
        <b/>
        <sz val="10"/>
        <color theme="1"/>
        <rFont val="Calibri"/>
        <family val="2"/>
        <scheme val="minor"/>
      </rPr>
      <t xml:space="preserve">Alcaldía de Buenavista: </t>
    </r>
    <r>
      <rPr>
        <sz val="10"/>
        <color theme="1"/>
        <rFont val="Calibri"/>
        <family val="2"/>
        <scheme val="minor"/>
      </rPr>
      <t xml:space="preserve">Se cuenta con una casa de juventud pero no esta funcionando.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Cuenta con una casa de la juventud la cual se encuentra en funcionamiento.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al momento contamos con un espacio físico, sin embargo no está dotado de elementos tecnológicos ni logísticos para su operatividad.
</t>
    </r>
    <r>
      <rPr>
        <b/>
        <sz val="10"/>
        <color theme="1"/>
        <rFont val="Calibri"/>
        <family val="2"/>
        <scheme val="minor"/>
      </rPr>
      <t>Alcaldía de Filandia:</t>
    </r>
    <r>
      <rPr>
        <sz val="10"/>
        <color theme="1"/>
        <rFont val="Calibri"/>
        <family val="2"/>
        <scheme val="minor"/>
      </rPr>
      <t xml:space="preserve"> El municipio de Filandia cuenta con la casa de la cultura, la cual maneja diversos grupos infantiles y juveniles. </t>
    </r>
    <r>
      <rPr>
        <b/>
        <sz val="10"/>
        <color theme="1"/>
        <rFont val="Calibri"/>
        <family val="2"/>
        <scheme val="minor"/>
      </rPr>
      <t xml:space="preserve">
Alcaldía Pijao:</t>
    </r>
    <r>
      <rPr>
        <sz val="10"/>
        <color theme="1"/>
        <rFont val="Calibri"/>
        <family val="2"/>
        <scheme val="minor"/>
      </rPr>
      <t xml:space="preserve"> 1 casa de la juventud funcionando.
 </t>
    </r>
    <r>
      <rPr>
        <b/>
        <sz val="10"/>
        <color theme="1"/>
        <rFont val="Calibri"/>
        <family val="2"/>
        <scheme val="minor"/>
      </rPr>
      <t xml:space="preserve">Alcaldía de Córdoba: </t>
    </r>
    <r>
      <rPr>
        <sz val="10"/>
        <color theme="1"/>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</si>
  <si>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color theme="1"/>
        <rFont val="Calibri"/>
        <family val="2"/>
        <scheme val="minor"/>
      </rPr>
      <t xml:space="preserve">Alcaldía de Buenavista: </t>
    </r>
    <r>
      <rPr>
        <sz val="10"/>
        <color theme="1"/>
        <rFont val="Calibri"/>
        <family val="2"/>
        <scheme val="minor"/>
      </rPr>
      <t xml:space="preserve">Se cuenta con una casa de juventud pero no esta funcionando.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Cuenta con una casa de la juventud la cual se encuentra en funcionamiento.
</t>
    </r>
    <r>
      <rPr>
        <b/>
        <sz val="10"/>
        <color theme="1"/>
        <rFont val="Calibri"/>
        <family val="2"/>
        <scheme val="minor"/>
      </rPr>
      <t>Alcaldía Circasia:</t>
    </r>
    <r>
      <rPr>
        <sz val="10"/>
        <color theme="1"/>
        <rFont val="Calibri"/>
        <family val="2"/>
        <scheme val="minor"/>
      </rPr>
      <t xml:space="preserve"> En el municipio no se cuenta con casa de juventud pero si cuenta con Enlace de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El Municipio de Montenegro Quindio no cuenta aún con la casa de la Juventud.</t>
    </r>
    <r>
      <rPr>
        <b/>
        <sz val="10"/>
        <color theme="1"/>
        <rFont val="Calibri"/>
        <family val="2"/>
        <scheme val="minor"/>
      </rPr>
      <t xml:space="preserve"> 
Alcaldía de Filandia:</t>
    </r>
    <r>
      <rPr>
        <sz val="10"/>
        <color theme="1"/>
        <rFont val="Calibri"/>
        <family val="2"/>
        <scheme val="minor"/>
      </rPr>
      <t xml:space="preserve"> El municipio de Filandia cuenta con la casa de la cultura, la cual maneja diversos grupos infantiles y juveniles. </t>
    </r>
    <r>
      <rPr>
        <b/>
        <sz val="10"/>
        <color theme="1"/>
        <rFont val="Calibri"/>
        <family val="2"/>
        <scheme val="minor"/>
      </rPr>
      <t xml:space="preserve">
Alcaldía Pijao:</t>
    </r>
    <r>
      <rPr>
        <sz val="10"/>
        <color theme="1"/>
        <rFont val="Calibri"/>
        <family val="2"/>
        <scheme val="minor"/>
      </rPr>
      <t xml:space="preserve"> 1 casa de la juventud funcionando.
</t>
    </r>
    <r>
      <rPr>
        <b/>
        <sz val="10"/>
        <color theme="1"/>
        <rFont val="Calibri"/>
        <family val="2"/>
        <scheme val="minor"/>
      </rPr>
      <t xml:space="preserve">Alcaldía de Salento: </t>
    </r>
    <r>
      <rPr>
        <sz val="10"/>
        <color theme="1"/>
        <rFont val="Calibri"/>
        <family val="2"/>
        <scheme val="minor"/>
      </rPr>
      <t xml:space="preserve">Se cuenta con una casa de la juventud en funcionamiento.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</si>
  <si>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liberación de liderazgo e incidencia a Consejeros de Juventud.   
</t>
    </r>
    <r>
      <rPr>
        <b/>
        <sz val="10"/>
        <color theme="1"/>
        <rFont val="Calibri"/>
        <family val="2"/>
        <scheme val="minor"/>
      </rPr>
      <t>Alcaldía Calarcá:</t>
    </r>
    <r>
      <rPr>
        <sz val="10"/>
        <color theme="1"/>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color theme="1"/>
        <rFont val="Calibri"/>
        <family val="2"/>
        <scheme val="minor"/>
      </rPr>
      <t>Alcaldía Pijao:</t>
    </r>
    <r>
      <rPr>
        <sz val="10"/>
        <color theme="1"/>
        <rFont val="Calibri"/>
        <family val="2"/>
        <scheme val="minor"/>
      </rPr>
      <t xml:space="preserve"> Mesas de socialización y concertación para la creación del Consejo Municipal de Juventud.
</t>
    </r>
    <r>
      <rPr>
        <b/>
        <sz val="10"/>
        <color theme="1"/>
        <rFont val="Calibri"/>
        <family val="2"/>
        <scheme val="minor"/>
      </rPr>
      <t>Alcaldía de Córdoba</t>
    </r>
    <r>
      <rPr>
        <sz val="10"/>
        <color theme="1"/>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color theme="1"/>
        <rFont val="Calibri"/>
        <family val="2"/>
        <scheme val="minor"/>
      </rPr>
      <t>Secretaría de Familia:</t>
    </r>
    <r>
      <rPr>
        <sz val="10"/>
        <color theme="1"/>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</si>
  <si>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Alcaldia Calarca:</t>
    </r>
    <r>
      <rPr>
        <sz val="10"/>
        <color theme="1"/>
        <rFont val="Calibri"/>
        <family val="2"/>
        <scheme val="minor"/>
      </rPr>
      <t xml:space="preserve"> el consejo  municipal de juventudes actualmente se encuentra funcionando con 6 consejeros activos los cuales sesionan cada 1 vez al mes.
</t>
    </r>
    <r>
      <rPr>
        <b/>
        <sz val="10"/>
        <color theme="1"/>
        <rFont val="Calibri"/>
        <family val="2"/>
        <scheme val="minor"/>
      </rPr>
      <t>Alcaldía Tebaida:</t>
    </r>
    <r>
      <rPr>
        <sz val="10"/>
        <color theme="1"/>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color theme="1"/>
        <rFont val="Calibri"/>
        <family val="2"/>
        <scheme val="minor"/>
      </rPr>
      <t xml:space="preserve">
Alcaldía Buenavista: </t>
    </r>
    <r>
      <rPr>
        <sz val="10"/>
        <color theme="1"/>
        <rFont val="Calibri"/>
        <family val="2"/>
        <scheme val="minor"/>
      </rPr>
      <t>Se cuenta con un consejo de juventud funcionando y se posesionó por medio del decreto 007 del 11 enero del 2022.</t>
    </r>
    <r>
      <rPr>
        <b/>
        <sz val="10"/>
        <color theme="1"/>
        <rFont val="Calibri"/>
        <family val="2"/>
        <scheme val="minor"/>
      </rPr>
      <t xml:space="preserve"> 
Alcaldía Córdoba. </t>
    </r>
    <r>
      <rPr>
        <sz val="10"/>
        <color theme="1"/>
        <rFont val="Calibri"/>
        <family val="2"/>
        <scheme val="minor"/>
      </rPr>
      <t xml:space="preserve">En el Municipio de Córdoba Quindío contamos con el apoyo de Valeria Zuluaga Gómez quien es el apoyo a consejo juvenil de Córdoba Quindío 
</t>
    </r>
    <r>
      <rPr>
        <b/>
        <sz val="10"/>
        <color theme="1"/>
        <rFont val="Calibri"/>
        <family val="2"/>
        <scheme val="minor"/>
      </rPr>
      <t>Alcaldía Montenegro: E</t>
    </r>
    <r>
      <rPr>
        <sz val="10"/>
        <color theme="1"/>
        <rFont val="Calibri"/>
        <family val="2"/>
        <scheme val="minor"/>
      </rPr>
      <t xml:space="preserve">n el momento tenemos un consejo de juventud, con 04 consejeros en donde al momento no se encuentran operando de una manera activa
</t>
    </r>
    <r>
      <rPr>
        <b/>
        <sz val="10"/>
        <color theme="1"/>
        <rFont val="Calibri"/>
        <family val="2"/>
        <scheme val="minor"/>
      </rPr>
      <t>Alcaldía Quimbaya:</t>
    </r>
    <r>
      <rPr>
        <sz val="10"/>
        <color theme="1"/>
        <rFont val="Calibri"/>
        <family val="2"/>
        <scheme val="minor"/>
      </rPr>
      <t xml:space="preserve"> El CMJ se encuentra operando de manera autónoma.
</t>
    </r>
    <r>
      <rPr>
        <b/>
        <sz val="10"/>
        <color theme="1"/>
        <rFont val="Calibri"/>
        <family val="2"/>
        <scheme val="minor"/>
      </rPr>
      <t>Alcaldía de Pijao:</t>
    </r>
    <r>
      <rPr>
        <sz val="10"/>
        <color theme="1"/>
        <rFont val="Calibri"/>
        <family val="2"/>
        <scheme val="minor"/>
      </rPr>
      <t xml:space="preserve"> 1 Consejo de Juvetud funcionando. 
</t>
    </r>
    <r>
      <rPr>
        <b/>
        <sz val="10"/>
        <color theme="1"/>
        <rFont val="Calibri"/>
        <family val="2"/>
        <scheme val="minor"/>
      </rPr>
      <t xml:space="preserve">Alcaldia Armenia: </t>
    </r>
    <r>
      <rPr>
        <sz val="10"/>
        <color theme="1"/>
        <rFont val="Calibri"/>
        <family val="2"/>
        <scheme val="minor"/>
      </rPr>
      <t xml:space="preserve">1 Consejo Municipal de Juventud el cual se posesionó el día 17 de enero de 2022 resolución 11 de posesión de 2022 19 consejeros.
</t>
    </r>
    <r>
      <rPr>
        <b/>
        <sz val="10"/>
        <color theme="1"/>
        <rFont val="Calibri"/>
        <family val="2"/>
        <scheme val="minor"/>
      </rPr>
      <t>Alcaldía de Filandia:</t>
    </r>
    <r>
      <rPr>
        <sz val="10"/>
        <color theme="1"/>
        <rFont val="Calibri"/>
        <family val="2"/>
        <scheme val="minor"/>
      </rPr>
      <t xml:space="preserve"> 1 Consejo de Juventud vigente.</t>
    </r>
  </si>
  <si>
    <r>
      <rPr>
        <b/>
        <sz val="10"/>
        <color theme="1"/>
        <rFont val="Calibri"/>
        <family val="2"/>
        <scheme val="minor"/>
      </rPr>
      <t>Secretaría de Familia:</t>
    </r>
    <r>
      <rPr>
        <sz val="10"/>
        <color theme="1"/>
        <rFont val="Calibri"/>
        <family val="2"/>
        <scheme val="minor"/>
      </rPr>
      <t xml:space="preserve"> Reporta que los doce municipios del Departamento del Quindío, fueron asistidos técnicamente por parte de la Jefatura de Juventud y de esto se pudo inferir que Filandia, Buenavista, Montenegro, no tienen consejo de juventud activo. Además, el Consejo Departamental de Juventud, se posesionó en el mes de junio de 2024 y se encuentra operando.
</t>
    </r>
    <r>
      <rPr>
        <b/>
        <sz val="10"/>
        <color theme="1"/>
        <rFont val="Calibri"/>
        <family val="2"/>
        <scheme val="minor"/>
      </rPr>
      <t>Alcaldia Calarcá:</t>
    </r>
    <r>
      <rPr>
        <sz val="10"/>
        <color theme="1"/>
        <rFont val="Calibri"/>
        <family val="2"/>
        <scheme val="minor"/>
      </rPr>
      <t xml:space="preserve">  Pendiente por ejecución, a partir de la aprobación del nuevo plan de desarrollo municipal  se llevará a cabo las actividades para el cumplimiento de estas  metas.
</t>
    </r>
    <r>
      <rPr>
        <b/>
        <sz val="10"/>
        <color theme="1"/>
        <rFont val="Calibri"/>
        <family val="2"/>
        <scheme val="minor"/>
      </rPr>
      <t>Alcaldía Tebaida:</t>
    </r>
    <r>
      <rPr>
        <sz val="10"/>
        <color theme="1"/>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color theme="1"/>
        <rFont val="Calibri"/>
        <family val="2"/>
        <scheme val="minor"/>
      </rPr>
      <t xml:space="preserve">
Alcaldía Buenavista: </t>
    </r>
    <r>
      <rPr>
        <sz val="10"/>
        <color theme="1"/>
        <rFont val="Calibri"/>
        <family val="2"/>
        <scheme val="minor"/>
      </rPr>
      <t>Se cuenta con un consejo de juventud funcionando y se posesionó por medio del decreto 007 del 11 enero del 2022.</t>
    </r>
    <r>
      <rPr>
        <b/>
        <sz val="10"/>
        <color theme="1"/>
        <rFont val="Calibri"/>
        <family val="2"/>
        <scheme val="minor"/>
      </rPr>
      <t xml:space="preserve"> 
Alcaldía de Circasia: </t>
    </r>
    <r>
      <rPr>
        <sz val="10"/>
        <color theme="1"/>
        <rFont val="Calibri"/>
        <family val="2"/>
        <scheme val="minor"/>
      </rPr>
      <t xml:space="preserve">El municipio de Circasia cuenta con Consejo Municipal de Juventud. Durante el trimestre solo han sesionado 2 veces. Se ha prestado todo el apoyo para que puedan desarrollar sus actividades como Consejeros </t>
    </r>
    <r>
      <rPr>
        <b/>
        <sz val="10"/>
        <color theme="1"/>
        <rFont val="Calibri"/>
        <family val="2"/>
        <scheme val="minor"/>
      </rPr>
      <t xml:space="preserve">
Alcaldía Córdoba.</t>
    </r>
    <r>
      <rPr>
        <sz val="10"/>
        <color theme="1"/>
        <rFont val="Calibri"/>
        <family val="2"/>
        <scheme val="minor"/>
      </rPr>
      <t xml:space="preserve"> La administración a través del enlace de juventud ha realizado algunos acercamientos con la consejera de juventud que esta activa en el municipio, ya que en este momento solo se cuenta con una persona activa en el tema de consejo.
</t>
    </r>
    <r>
      <rPr>
        <b/>
        <sz val="10"/>
        <color theme="1"/>
        <rFont val="Calibri"/>
        <family val="2"/>
        <scheme val="minor"/>
      </rPr>
      <t xml:space="preserve">Alcaldía Montenegro: </t>
    </r>
    <r>
      <rPr>
        <sz val="10"/>
        <color theme="1"/>
        <rFont val="Calibri"/>
        <family val="2"/>
        <scheme val="minor"/>
      </rPr>
      <t xml:space="preserve">Se han implementado estrategias para la reactivación del Consejo Municpal de Juventud teniendo en cuenta, la renuncia definitiva de los representantes (CMJ).
</t>
    </r>
    <r>
      <rPr>
        <b/>
        <sz val="10"/>
        <color theme="1"/>
        <rFont val="Calibri"/>
        <family val="2"/>
        <scheme val="minor"/>
      </rPr>
      <t>Alcaldía de Salento:</t>
    </r>
    <r>
      <rPr>
        <sz val="10"/>
        <color theme="1"/>
        <rFont val="Calibri"/>
        <family val="2"/>
        <scheme val="minor"/>
      </rPr>
      <t xml:space="preserve"> Existe un consejo de juventud activo.
</t>
    </r>
    <r>
      <rPr>
        <b/>
        <sz val="10"/>
        <color theme="1"/>
        <rFont val="Calibri"/>
        <family val="2"/>
        <scheme val="minor"/>
      </rPr>
      <t>Alcaldía Quimbaya:</t>
    </r>
    <r>
      <rPr>
        <sz val="10"/>
        <color theme="1"/>
        <rFont val="Calibri"/>
        <family val="2"/>
        <scheme val="minor"/>
      </rPr>
      <t xml:space="preserve"> El CMJ se encuentra operando de manera autónoma.
</t>
    </r>
    <r>
      <rPr>
        <b/>
        <sz val="10"/>
        <color theme="1"/>
        <rFont val="Calibri"/>
        <family val="2"/>
        <scheme val="minor"/>
      </rPr>
      <t>Alcaldía de Pijao:</t>
    </r>
    <r>
      <rPr>
        <sz val="10"/>
        <color theme="1"/>
        <rFont val="Calibri"/>
        <family val="2"/>
        <scheme val="minor"/>
      </rPr>
      <t xml:space="preserve"> 1 Consejo de Juvetud funcionando. 
</t>
    </r>
    <r>
      <rPr>
        <b/>
        <sz val="10"/>
        <color theme="1"/>
        <rFont val="Calibri"/>
        <family val="2"/>
        <scheme val="minor"/>
      </rPr>
      <t xml:space="preserve">Alcaldia Armenia: </t>
    </r>
    <r>
      <rPr>
        <sz val="10"/>
        <color theme="1"/>
        <rFont val="Calibri"/>
        <family val="2"/>
        <scheme val="minor"/>
      </rPr>
      <t xml:space="preserve">1 Consejo Municipal de Juventud el cual se posesionó el día 17 de enero de 2022 resolución 11 de posesión de 2022 19 consejeros.
</t>
    </r>
    <r>
      <rPr>
        <b/>
        <sz val="10"/>
        <color theme="1"/>
        <rFont val="Calibri"/>
        <family val="2"/>
        <scheme val="minor"/>
      </rPr>
      <t>Alcaldía de Filandia:</t>
    </r>
    <r>
      <rPr>
        <sz val="10"/>
        <color theme="1"/>
        <rFont val="Calibri"/>
        <family val="2"/>
        <scheme val="minor"/>
      </rPr>
      <t xml:space="preserve"> 1 Consejo de Juventud vigente.</t>
    </r>
  </si>
  <si>
    <r>
      <rPr>
        <b/>
        <sz val="10"/>
        <color theme="1"/>
        <rFont val="Calibri"/>
        <family val="2"/>
        <scheme val="minor"/>
      </rPr>
      <t xml:space="preserve">
Secretaría de Familia: </t>
    </r>
    <r>
      <rPr>
        <sz val="10"/>
        <color theme="1"/>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color theme="1"/>
        <rFont val="Calibri"/>
        <family val="2"/>
        <scheme val="minor"/>
      </rPr>
      <t xml:space="preserve">
Alcaldía Córdoba: </t>
    </r>
    <r>
      <rPr>
        <sz val="10"/>
        <color theme="1"/>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Alcaldía Filandia:</t>
    </r>
    <r>
      <rPr>
        <sz val="10"/>
        <color theme="1"/>
        <rFont val="Calibri"/>
        <family val="2"/>
        <scheme val="minor"/>
      </rPr>
      <t xml:space="preserve"> 1 en actualización de la línea base.
</t>
    </r>
    <r>
      <rPr>
        <b/>
        <sz val="10"/>
        <color theme="1"/>
        <rFont val="Calibri"/>
        <family val="2"/>
        <scheme val="minor"/>
      </rPr>
      <t>Alcaldía Buenavista:</t>
    </r>
    <r>
      <rPr>
        <sz val="10"/>
        <color theme="1"/>
        <rFont val="Calibri"/>
        <family val="2"/>
        <scheme val="minor"/>
      </rPr>
      <t xml:space="preserve"> Se realizó la actualización de la plataforma de juventud en el mes de Abril.
</t>
    </r>
    <r>
      <rPr>
        <b/>
        <sz val="10"/>
        <color theme="1"/>
        <rFont val="Calibri"/>
        <family val="2"/>
        <scheme val="minor"/>
      </rPr>
      <t xml:space="preserve">Alcaldía Quimbaya: </t>
    </r>
    <r>
      <rPr>
        <sz val="10"/>
        <color theme="1"/>
        <rFont val="Calibri"/>
        <family val="2"/>
        <scheme val="minor"/>
      </rPr>
      <t xml:space="preserve">La Plataforma Municipal se encuentra funcionando normalmente. 
</t>
    </r>
    <r>
      <rPr>
        <b/>
        <sz val="10"/>
        <color theme="1"/>
        <rFont val="Calibri"/>
        <family val="2"/>
        <scheme val="minor"/>
      </rPr>
      <t>Alcaldía Montenegro:</t>
    </r>
    <r>
      <rPr>
        <sz val="10"/>
        <color theme="1"/>
        <rFont val="Calibri"/>
        <family val="2"/>
        <scheme val="minor"/>
      </rPr>
      <t xml:space="preserve"> En el momento contamos con una plataforma activa y funcionando de una manera precisa.</t>
    </r>
    <r>
      <rPr>
        <b/>
        <sz val="10"/>
        <color theme="1"/>
        <rFont val="Calibri"/>
        <family val="2"/>
        <scheme val="minor"/>
      </rPr>
      <t xml:space="preserve">
Alcaldía La Tebaida:</t>
    </r>
    <r>
      <rPr>
        <sz val="10"/>
        <color theme="1"/>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color theme="1"/>
        <rFont val="Calibri"/>
        <family val="2"/>
        <scheme val="minor"/>
      </rPr>
      <t>Alcaldía de Pijao</t>
    </r>
    <r>
      <rPr>
        <sz val="10"/>
        <color theme="1"/>
        <rFont val="Calibri"/>
        <family val="2"/>
        <scheme val="minor"/>
      </rPr>
      <t xml:space="preserve">: 1 Consejo de Juventud funcionando.
</t>
    </r>
    <r>
      <rPr>
        <b/>
        <sz val="10"/>
        <color theme="1"/>
        <rFont val="Calibri"/>
        <family val="2"/>
        <scheme val="minor"/>
      </rPr>
      <t>Alcaldia Armenia:</t>
    </r>
    <r>
      <rPr>
        <sz val="10"/>
        <color theme="1"/>
        <rFont val="Calibri"/>
        <family val="2"/>
        <scheme val="minor"/>
      </rPr>
      <t xml:space="preserve"> 1 plataforma confrormada bajo resolución expedida por la personería municipal, integrada por 12 organizaciones juveniles. 
</t>
    </r>
  </si>
  <si>
    <r>
      <rPr>
        <b/>
        <sz val="10"/>
        <color theme="1"/>
        <rFont val="Calibri"/>
        <family val="2"/>
        <scheme val="minor"/>
      </rPr>
      <t xml:space="preserve">
Secretaría de Familia:</t>
    </r>
    <r>
      <rPr>
        <sz val="10"/>
        <color theme="1"/>
        <rFont val="Calibri"/>
        <family val="2"/>
        <scheme val="minor"/>
      </rPr>
      <t xml:space="preserve"> Reporta que los doce municipios del Departamento del Quindío, fueron asistidos técnicamente por parte de la Jefatura de Juventud y de los reportes para el segundo trimestre 2024, se pudo inferirque sólo nueve municipios ( Córdoba, Circasia, Filandia, Quimbaya, Buenavista, Montenegro, Salento, Tebaida y Armenia), cuentan con Plataforma Municipal de Juventud funcionando. Así las cosas, se está a a espera de que los 12 municipios envíen la delegación para poder actualizar la Plataforma Departamental de Juvetud. 
</t>
    </r>
    <r>
      <rPr>
        <b/>
        <sz val="10"/>
        <color theme="1"/>
        <rFont val="Calibri"/>
        <family val="2"/>
        <scheme val="minor"/>
      </rPr>
      <t xml:space="preserve">Alcaldía Córdoba: </t>
    </r>
    <r>
      <rPr>
        <sz val="10"/>
        <color theme="1"/>
        <rFont val="Calibri"/>
        <family val="2"/>
        <scheme val="minor"/>
      </rPr>
      <t xml:space="preserve">Durante este periodo se realizó la reactivación de la plataforma de juventudes en el municipio, la cual fue actualizada a traves de la resolución 020-2024 en la cual se encuentran 19 jóvenes participantes.
</t>
    </r>
    <r>
      <rPr>
        <b/>
        <sz val="10"/>
        <color theme="1"/>
        <rFont val="Calibri"/>
        <family val="2"/>
        <scheme val="minor"/>
      </rPr>
      <t xml:space="preserve">Alcaldía de Circasia: </t>
    </r>
    <r>
      <rPr>
        <sz val="10"/>
        <color theme="1"/>
        <rFont val="Calibri"/>
        <family val="2"/>
        <scheme val="minor"/>
      </rPr>
      <t xml:space="preserve">Plataforma municipal de juventud activa.
</t>
    </r>
    <r>
      <rPr>
        <b/>
        <sz val="10"/>
        <color theme="1"/>
        <rFont val="Calibri"/>
        <family val="2"/>
        <scheme val="minor"/>
      </rPr>
      <t>Alcaldía Filandia:</t>
    </r>
    <r>
      <rPr>
        <sz val="10"/>
        <color theme="1"/>
        <rFont val="Calibri"/>
        <family val="2"/>
        <scheme val="minor"/>
      </rPr>
      <t xml:space="preserve"> 1 en actualización de la línea base.
</t>
    </r>
    <r>
      <rPr>
        <b/>
        <sz val="10"/>
        <color theme="1"/>
        <rFont val="Calibri"/>
        <family val="2"/>
        <scheme val="minor"/>
      </rPr>
      <t>Alcaldía Buenavista:</t>
    </r>
    <r>
      <rPr>
        <sz val="10"/>
        <color theme="1"/>
        <rFont val="Calibri"/>
        <family val="2"/>
        <scheme val="minor"/>
      </rPr>
      <t xml:space="preserve"> Se realizó la actualización de la plataforma de juventud en el mes de Abril.
</t>
    </r>
    <r>
      <rPr>
        <b/>
        <sz val="10"/>
        <color theme="1"/>
        <rFont val="Calibri"/>
        <family val="2"/>
        <scheme val="minor"/>
      </rPr>
      <t xml:space="preserve">Alcaldía Quimbaya: </t>
    </r>
    <r>
      <rPr>
        <sz val="10"/>
        <color theme="1"/>
        <rFont val="Calibri"/>
        <family val="2"/>
        <scheme val="minor"/>
      </rPr>
      <t xml:space="preserve">La Plataforma Municipal se encuentra funcionando normalmente. 
</t>
    </r>
    <r>
      <rPr>
        <b/>
        <sz val="10"/>
        <color theme="1"/>
        <rFont val="Calibri"/>
        <family val="2"/>
        <scheme val="minor"/>
      </rPr>
      <t>Alcaldía Montenegro:</t>
    </r>
    <r>
      <rPr>
        <sz val="10"/>
        <color theme="1"/>
        <rFont val="Calibri"/>
        <family val="2"/>
        <scheme val="minor"/>
      </rPr>
      <t xml:space="preserve"> Montenegro Quindio cuenta con la actualización absoluta de la Plataforma Municipal de Juventud para el año en curso 2024. Dado a lo anterior, se radicó la información en la Personería Municipal quedando a la espera de la resolución.
</t>
    </r>
    <r>
      <rPr>
        <b/>
        <sz val="10"/>
        <color theme="1"/>
        <rFont val="Calibri"/>
        <family val="2"/>
        <scheme val="minor"/>
      </rPr>
      <t>Alcaldía de Calarcá:</t>
    </r>
    <r>
      <rPr>
        <sz val="10"/>
        <color theme="1"/>
        <rFont val="Calibri"/>
        <family val="2"/>
        <scheme val="minor"/>
      </rPr>
      <t xml:space="preserve"> Pendiente por ejecución, a partir de la aprobación del nuevo plan de desarrollo municipal  se llevará a cabo las actividades para el cumplimiento de estas  metas.
</t>
    </r>
    <r>
      <rPr>
        <b/>
        <sz val="10"/>
        <color theme="1"/>
        <rFont val="Calibri"/>
        <family val="2"/>
        <scheme val="minor"/>
      </rPr>
      <t xml:space="preserve">Alcaldía de Salento: </t>
    </r>
    <r>
      <rPr>
        <sz val="10"/>
        <color theme="1"/>
        <rFont val="Calibri"/>
        <family val="2"/>
        <scheme val="minor"/>
      </rPr>
      <t>Para este trimestre no se pudo activar la plataforma del municipio, se está en proceso de activación.</t>
    </r>
    <r>
      <rPr>
        <b/>
        <sz val="10"/>
        <color theme="1"/>
        <rFont val="Calibri"/>
        <family val="2"/>
        <scheme val="minor"/>
      </rPr>
      <t xml:space="preserve">
Alcaldía La Tebaida:</t>
    </r>
    <r>
      <rPr>
        <sz val="10"/>
        <color theme="1"/>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color theme="1"/>
        <rFont val="Calibri"/>
        <family val="2"/>
        <scheme val="minor"/>
      </rPr>
      <t>Alcaldía de Pijao</t>
    </r>
    <r>
      <rPr>
        <sz val="10"/>
        <color theme="1"/>
        <rFont val="Calibri"/>
        <family val="2"/>
        <scheme val="minor"/>
      </rPr>
      <t xml:space="preserve">: 1 Consejo de Juventud funcionando.
</t>
    </r>
    <r>
      <rPr>
        <b/>
        <sz val="10"/>
        <color theme="1"/>
        <rFont val="Calibri"/>
        <family val="2"/>
        <scheme val="minor"/>
      </rPr>
      <t>Alcaldia Armenia:</t>
    </r>
    <r>
      <rPr>
        <sz val="10"/>
        <color theme="1"/>
        <rFont val="Calibri"/>
        <family val="2"/>
        <scheme val="minor"/>
      </rPr>
      <t xml:space="preserve"> 1 plataforma confrormada bajo resolución expedida por la personería municipal, integrada por 12 organizaciones juveniles. 
</t>
    </r>
  </si>
  <si>
    <r>
      <t xml:space="preserve">
</t>
    </r>
    <r>
      <rPr>
        <b/>
        <sz val="10"/>
        <color theme="1"/>
        <rFont val="Calibri"/>
        <family val="2"/>
        <scheme val="minor"/>
      </rPr>
      <t xml:space="preserve">Alcaldía de Buenavista: </t>
    </r>
    <r>
      <rPr>
        <sz val="10"/>
        <color theme="1"/>
        <rFont val="Calibri"/>
        <family val="2"/>
        <scheme val="minor"/>
      </rPr>
      <t xml:space="preserve">1 Asamblea juvenil realizada en el mes de junio. En la cual quedó pendiente la convocatoria para la creación de la comisión de concertación y decisión.
</t>
    </r>
    <r>
      <rPr>
        <b/>
        <sz val="10"/>
        <color theme="1"/>
        <rFont val="Calibri"/>
        <family val="2"/>
        <scheme val="minor"/>
      </rPr>
      <t>Alcaldía de Salento:</t>
    </r>
    <r>
      <rPr>
        <sz val="10"/>
        <color theme="1"/>
        <rFont val="Calibri"/>
        <family val="2"/>
        <scheme val="minor"/>
      </rPr>
      <t xml:space="preserve"> Hasta la fecha se ha realizada la Asamblea Municipal de Juventud, realizada el pasado 11 de Febrero
</t>
    </r>
    <r>
      <rPr>
        <b/>
        <sz val="10"/>
        <color theme="1"/>
        <rFont val="Calibri"/>
        <family val="2"/>
        <scheme val="minor"/>
      </rPr>
      <t>Alcaldía de Montenegro:</t>
    </r>
    <r>
      <rPr>
        <sz val="10"/>
        <color theme="1"/>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color theme="1"/>
        <rFont val="Calibri"/>
        <family val="2"/>
        <scheme val="minor"/>
      </rPr>
      <t>Alcaldía de Córdoba:</t>
    </r>
    <r>
      <rPr>
        <sz val="10"/>
        <color theme="1"/>
        <rFont val="Calibri"/>
        <family val="2"/>
        <scheme val="minor"/>
      </rPr>
      <t xml:space="preserve"> La realización de las asambleas juveniles está programada para realizar en el primer semestre del 2022. 
</t>
    </r>
    <r>
      <rPr>
        <b/>
        <sz val="10"/>
        <color theme="1"/>
        <rFont val="Calibri"/>
        <family val="2"/>
        <scheme val="minor"/>
      </rPr>
      <t>Alcaldía de Calarcá:</t>
    </r>
    <r>
      <rPr>
        <sz val="10"/>
        <color theme="1"/>
        <rFont val="Calibri"/>
        <family val="2"/>
        <scheme val="minor"/>
      </rPr>
      <t xml:space="preserve"> Desde la Secretaría de Servicios sociales y  Salud se  realizó la primera Asambleas de Juventudes el 18 de febrero de 2022. </t>
    </r>
    <r>
      <rPr>
        <b/>
        <sz val="10"/>
        <color theme="1"/>
        <rFont val="Calibri"/>
        <family val="2"/>
        <scheme val="minor"/>
      </rPr>
      <t xml:space="preserve">
Alcaldía de la Tebaida: </t>
    </r>
    <r>
      <rPr>
        <sz val="10"/>
        <color theme="1"/>
        <rFont val="Calibri"/>
        <family val="2"/>
        <scheme val="minor"/>
      </rPr>
      <t xml:space="preserve">el 17 de marzo se realizó la primera asamblea de juventud dándole cumplimiento a la ley 1622 en donde se construyó con los asistentes la agenda de juventud para la vigencia 2022
</t>
    </r>
    <r>
      <rPr>
        <b/>
        <sz val="10"/>
        <color theme="1"/>
        <rFont val="Calibri"/>
        <family val="2"/>
        <scheme val="minor"/>
      </rPr>
      <t>Alcaldía Armenia:</t>
    </r>
    <r>
      <rPr>
        <sz val="10"/>
        <color theme="1"/>
        <rFont val="Calibri"/>
        <family val="2"/>
        <scheme val="minor"/>
      </rPr>
      <t xml:space="preserve"> 1 asamblea juvenil realizada en el mes de marzo, pero se realizan dos al año la próxima será el día 27 de julio de 2022 
</t>
    </r>
    <r>
      <rPr>
        <b/>
        <sz val="10"/>
        <color theme="1"/>
        <rFont val="Calibri"/>
        <family val="2"/>
        <scheme val="minor"/>
      </rPr>
      <t xml:space="preserve">Alcaldía de Filandia: </t>
    </r>
    <r>
      <rPr>
        <sz val="10"/>
        <color theme="1"/>
        <rFont val="Calibri"/>
        <family val="2"/>
        <scheme val="minor"/>
      </rPr>
      <t xml:space="preserve">para este trimestre no se ha realizado asamblea. </t>
    </r>
    <r>
      <rPr>
        <b/>
        <sz val="10"/>
        <color theme="1"/>
        <rFont val="Calibri"/>
        <family val="2"/>
        <scheme val="minor"/>
      </rPr>
      <t xml:space="preserve">
Alcaldía Quimbaya:</t>
    </r>
    <r>
      <rPr>
        <sz val="10"/>
        <color theme="1"/>
        <rFont val="Calibri"/>
        <family val="2"/>
        <scheme val="minor"/>
      </rPr>
      <t xml:space="preserve"> Actualmente no se han convocado asamblea de juventud convocadas por el CMJ
</t>
    </r>
    <r>
      <rPr>
        <b/>
        <sz val="10"/>
        <color theme="1"/>
        <rFont val="Calibri"/>
        <family val="2"/>
        <scheme val="minor"/>
      </rPr>
      <t>Alcaldía de Génova:</t>
    </r>
    <r>
      <rPr>
        <sz val="10"/>
        <color theme="1"/>
        <rFont val="Calibri"/>
        <family val="2"/>
        <scheme val="minor"/>
      </rPr>
      <t xml:space="preserve"> 1 asamblea realizada.
</t>
    </r>
    <r>
      <rPr>
        <b/>
        <sz val="10"/>
        <color theme="1"/>
        <rFont val="Calibri"/>
        <family val="2"/>
        <scheme val="minor"/>
      </rPr>
      <t>Alcaldía de Circasia:</t>
    </r>
    <r>
      <rPr>
        <sz val="10"/>
        <color theme="1"/>
        <rFont val="Calibri"/>
        <family val="2"/>
        <scheme val="minor"/>
      </rPr>
      <t xml:space="preserve"> No Reporta.
</t>
    </r>
    <r>
      <rPr>
        <b/>
        <sz val="10"/>
        <color theme="1"/>
        <rFont val="Calibri"/>
        <family val="2"/>
        <scheme val="minor"/>
      </rPr>
      <t>Alcaldía de Pijao:</t>
    </r>
    <r>
      <rPr>
        <sz val="10"/>
        <color theme="1"/>
        <rFont val="Calibri"/>
        <family val="2"/>
        <scheme val="minor"/>
      </rPr>
      <t xml:space="preserve"> No Reporta.
</t>
    </r>
    <r>
      <rPr>
        <b/>
        <sz val="10"/>
        <color theme="1"/>
        <rFont val="Calibri"/>
        <family val="2"/>
        <scheme val="minor"/>
      </rPr>
      <t xml:space="preserve">Secretaría de Familia: </t>
    </r>
    <r>
      <rPr>
        <sz val="10"/>
        <color theme="1"/>
        <rFont val="Calibri"/>
        <family val="2"/>
        <scheme val="minor"/>
      </rPr>
      <t xml:space="preserve">Reporta que diez de los doce municipios del Quindío, han realizado las asambleas juveniles en el primer semestre 2022, a excepción de los municipios de Quimbaya y Filandia. </t>
    </r>
  </si>
  <si>
    <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</si>
  <si>
    <r>
      <t xml:space="preserve">Secretaría de Familia: </t>
    </r>
    <r>
      <rPr>
        <sz val="10"/>
        <color theme="1"/>
        <rFont val="Calibri"/>
        <family val="2"/>
        <scheme val="minor"/>
      </rPr>
      <t xml:space="preserve">Reporta que los doce municipios del Quindío, han realizado las asambleas juveniles, conforme al estatuto de ciudadanía juvenil. Además se realizaron dos  asambleas de juventud  departamentales de juventud en el recinto de la asamblea departamental en el mes de marzo y diciembre de 2023. 
</t>
    </r>
    <r>
      <rPr>
        <b/>
        <sz val="10"/>
        <color theme="1"/>
        <rFont val="Calibri"/>
        <family val="2"/>
        <scheme val="minor"/>
      </rPr>
      <t>Alcaldía Tebaida:</t>
    </r>
    <r>
      <rPr>
        <sz val="10"/>
        <color theme="1"/>
        <rFont val="Calibri"/>
        <family val="2"/>
        <scheme val="minor"/>
      </rPr>
      <t xml:space="preserve"> en este trimestre no se llevó a cabo asamblea de juventud.</t>
    </r>
    <r>
      <rPr>
        <b/>
        <sz val="10"/>
        <color theme="1"/>
        <rFont val="Calibri"/>
        <family val="2"/>
        <scheme val="minor"/>
      </rPr>
      <t xml:space="preserve">
Alcaldía de Buenavista: </t>
    </r>
    <r>
      <rPr>
        <sz val="10"/>
        <color theme="1"/>
        <rFont val="Calibri"/>
        <family val="2"/>
        <scheme val="minor"/>
      </rPr>
      <t>Se realizó asamblea de juventud en el mes de junio.</t>
    </r>
    <r>
      <rPr>
        <b/>
        <sz val="10"/>
        <color theme="1"/>
        <rFont val="Calibri"/>
        <family val="2"/>
        <scheme val="minor"/>
      </rPr>
      <t xml:space="preserve">
Alcaldía de Salento: </t>
    </r>
    <r>
      <rPr>
        <sz val="10"/>
        <color theme="1"/>
        <rFont val="Calibri"/>
        <family val="2"/>
        <scheme val="minor"/>
      </rPr>
      <t xml:space="preserve">Hasta la fecha se ha realizado una Asamblea Municipal de Juventud, el día 8 de Febrero.
</t>
    </r>
    <r>
      <rPr>
        <b/>
        <sz val="10"/>
        <color theme="1"/>
        <rFont val="Calibri"/>
        <family val="2"/>
        <scheme val="minor"/>
      </rPr>
      <t>Alcaldia Calarca:</t>
    </r>
    <r>
      <rPr>
        <sz val="10"/>
        <color theme="1"/>
        <rFont val="Calibri"/>
        <family val="2"/>
        <scheme val="minor"/>
      </rPr>
      <t xml:space="preserve"> se realizó 1 Asamblea de juventudes el 8 de junio del año 2023</t>
    </r>
    <r>
      <rPr>
        <b/>
        <sz val="10"/>
        <color theme="1"/>
        <rFont val="Calibri"/>
        <family val="2"/>
        <scheme val="minor"/>
      </rPr>
      <t xml:space="preserve">
Alcaldía Quimbaya: </t>
    </r>
    <r>
      <rPr>
        <sz val="10"/>
        <color theme="1"/>
        <rFont val="Calibri"/>
        <family val="2"/>
        <scheme val="minor"/>
      </rPr>
      <t xml:space="preserve">Se realizó la asamblea municipal de juventud con participación de diferentes sectores juveniles.  </t>
    </r>
    <r>
      <rPr>
        <b/>
        <sz val="10"/>
        <color theme="1"/>
        <rFont val="Calibri"/>
        <family val="2"/>
        <scheme val="minor"/>
      </rPr>
      <t xml:space="preserve">
Alcaldía Montenegro: </t>
    </r>
    <r>
      <rPr>
        <sz val="10"/>
        <color theme="1"/>
        <rFont val="Calibri"/>
        <family val="2"/>
        <scheme val="minor"/>
      </rPr>
      <t>Se ha realizado una asamblea de juventud con el fin de socializar el seguimiento a la política pública y las actividades de la semana de la juventud.</t>
    </r>
    <r>
      <rPr>
        <b/>
        <sz val="10"/>
        <color theme="1"/>
        <rFont val="Calibri"/>
        <family val="2"/>
        <scheme val="minor"/>
      </rPr>
      <t xml:space="preserve">
Alcaldía de Pijao: </t>
    </r>
    <r>
      <rPr>
        <sz val="10"/>
        <color theme="1"/>
        <rFont val="Calibri"/>
        <family val="2"/>
        <scheme val="minor"/>
      </rPr>
      <t xml:space="preserve">No se han realizado Asambleas de Juventud en este periodo.
</t>
    </r>
    <r>
      <rPr>
        <b/>
        <sz val="10"/>
        <color theme="1"/>
        <rFont val="Calibri"/>
        <family val="2"/>
        <scheme val="minor"/>
      </rPr>
      <t xml:space="preserve">Alcaldia Armenia: </t>
    </r>
    <r>
      <rPr>
        <sz val="10"/>
        <color theme="1"/>
        <rFont val="Calibri"/>
        <family val="2"/>
        <scheme val="minor"/>
      </rPr>
      <t xml:space="preserve">1 asamblea juvenil realizada el 18 de febrero de 2023. </t>
    </r>
  </si>
  <si>
    <r>
      <t>Secretaría de Familia:</t>
    </r>
    <r>
      <rPr>
        <sz val="10"/>
        <color theme="1"/>
        <rFont val="Calibri"/>
        <family val="2"/>
        <scheme val="minor"/>
      </rPr>
      <t xml:space="preserve"> Reporta según información brindada por los entes territoriales, que se ha realizado una asamblea municipal de juventud en el segundo trimestre 2024 en: Salento.
</t>
    </r>
    <r>
      <rPr>
        <b/>
        <sz val="10"/>
        <color theme="1"/>
        <rFont val="Calibri"/>
        <family val="2"/>
        <scheme val="minor"/>
      </rPr>
      <t xml:space="preserve">Alcaldía de Salento: </t>
    </r>
    <r>
      <rPr>
        <sz val="10"/>
        <color theme="1"/>
        <rFont val="Calibri"/>
        <family val="2"/>
        <scheme val="minor"/>
      </rPr>
      <t xml:space="preserve">Para este trimestre se realizó la primera asamblea juvenil en la cual participaron el consejo estudiantil y el CMJ.  </t>
    </r>
    <r>
      <rPr>
        <b/>
        <sz val="10"/>
        <color theme="1"/>
        <rFont val="Calibri"/>
        <family val="2"/>
        <scheme val="minor"/>
      </rPr>
      <t xml:space="preserve">
Alcaldía Montenegro:</t>
    </r>
    <r>
      <rPr>
        <sz val="10"/>
        <color theme="1"/>
        <rFont val="Calibri"/>
        <family val="2"/>
        <scheme val="minor"/>
      </rPr>
      <t xml:space="preserve"> Se tiene programado establecer la segunda asamblea de la Juventud para este segundo semestre del año en curso 2024. </t>
    </r>
    <r>
      <rPr>
        <b/>
        <sz val="10"/>
        <color theme="1"/>
        <rFont val="Calibri"/>
        <family val="2"/>
        <scheme val="minor"/>
      </rPr>
      <t xml:space="preserve">
Alcaldía de Córdoba: </t>
    </r>
    <r>
      <rPr>
        <sz val="10"/>
        <color theme="1"/>
        <rFont val="Calibri"/>
        <family val="2"/>
        <scheme val="minor"/>
      </rPr>
      <t>El municipio actualmente no cuenta con asambleas juveniles conformadas.</t>
    </r>
  </si>
  <si>
    <t>2024 l TRIMESTRE</t>
  </si>
  <si>
    <r>
      <rPr>
        <b/>
        <sz val="10"/>
        <rFont val="Calibri"/>
        <family val="2"/>
        <scheme val="minor"/>
      </rPr>
      <t xml:space="preserve">Secretaría de Familia: </t>
    </r>
    <r>
      <rPr>
        <sz val="10"/>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</si>
  <si>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Alcaldía de Circasia: </t>
    </r>
    <r>
      <rPr>
        <sz val="10"/>
        <rFont val="Calibri"/>
        <family val="2"/>
        <scheme val="minor"/>
      </rPr>
      <t>No se cuenta con oficina de juventud pero cuenta con Enlace Municipal de Juventudes.</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</si>
  <si>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Pendiente por ejecucuión de las acciones relacionadas.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rFont val="Calibri"/>
        <family val="2"/>
        <scheme val="minor"/>
      </rPr>
      <t xml:space="preserve">Consejo municipal de política Social Circasia: </t>
    </r>
    <r>
      <rPr>
        <sz val="10"/>
        <rFont val="Calibri"/>
        <family val="2"/>
        <scheme val="minor"/>
      </rPr>
      <t xml:space="preserve">El municipio cuenta con Enlace de Juventud adelantando diferentes procesos en pro de benefeiciar a población joven. Se ha realizado procesos de contración a jóvenes "primer empleo".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</si>
  <si>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únicamente el Municipio de Armenia, cuenta con los espacios que integran el Sistema Municipal de Juventud de manera activa.</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Actualmente el municipio de Circasia cuenta con Consejo Municipal de Juventud y proceso de actualización de Plataforma Municipal de Juventudes.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</si>
  <si>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 xml:space="preserve">Alcaldía de Circasia: </t>
    </r>
    <r>
      <rPr>
        <sz val="10"/>
        <rFont val="Calibri"/>
        <family val="2"/>
        <scheme val="minor"/>
      </rPr>
      <t xml:space="preserve">Se ha realizado oferta de empleo en el municipio en tres ocasiones / Comfenalco / Ofertas institucionales de formación.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De acuerdo a los indicadores programados para el nuevo Plan de de desarrollo 2024-2027 (a la espera de aprobación por parte de la Asamblea Departamental del Quindío). La Secretaría contará  con un sector llamado Ciencia, Tecnología e Innovación y así mismo con programa y metas producto asociados a este tema.
Por tal motivo, una vez quede aprobado el nuevo Plan de desarrollo se incluirá la acción recomenda en el Plan de acción y se apropiarán los recursos en el plan indicativo respectivo.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</si>
  <si>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hasta el 1mer trimestre 2024,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diseñará  la ruta metodológica de atención del Centro de Innovación y Emprendimiento del Quindio CINNE, con el objetivo de fortalecer  técnicamente los Emprendimientos e iniciativas buscando un apoyo financiero para su sostenibilidad en el mercado.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Implementación de la metodología de design thinking, llevando a cabo, una serie de talleres y actividades prácticas destinadas a fomentar la cultura emprendedora entre los estudiantes de grado 10 y 11 de instituciones educativas.
Número de jóvenes rurales beneficiados: 92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Se 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de Circasia:</t>
    </r>
    <r>
      <rPr>
        <sz val="10"/>
        <rFont val="Calibri"/>
        <family val="2"/>
        <scheme val="minor"/>
      </rPr>
      <t xml:space="preserve"> Se ha dado el espacio en la estrategia de hombres y mujeres al parque donde los jóvenes tienen el espacio para su participación y divulgación de su emprendimiento.
</t>
    </r>
    <r>
      <rPr>
        <b/>
        <sz val="10"/>
        <rFont val="Calibri"/>
        <family val="2"/>
        <scheme val="minor"/>
      </rPr>
      <t>Alcaldía de Salento</t>
    </r>
    <r>
      <rPr>
        <sz val="10"/>
        <rFont val="Calibri"/>
        <family val="2"/>
        <scheme val="minor"/>
      </rPr>
      <t xml:space="preserve">: Durante este trimestre, no se ejecutó actividades con proyectos innovadores y emprendimientos. No obstante, se pretende continuar con el proceso "Feria del emprendimiento" durante la semana de la juventud que permite a los jóvenes del municipio de Salento, exhibir sus emprendimientos y proyectos innovadores.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</si>
  <si>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 xml:space="preserve">Secretaria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Calarcá:</t>
    </r>
    <r>
      <rPr>
        <sz val="10"/>
        <rFont val="Calibri"/>
        <family val="2"/>
        <scheme val="minor"/>
      </rPr>
      <t>Pendiente por ejecución, a partir de la aprobación del nuevo plan de desarrollo municipal  se llevará a cabo las actividades para el cumplimiento de estas  metas.</t>
    </r>
    <r>
      <rPr>
        <b/>
        <sz val="10"/>
        <rFont val="Calibri"/>
        <family val="2"/>
        <scheme val="minor"/>
      </rPr>
      <t xml:space="preserve">
</t>
    </r>
    <r>
      <rPr>
        <sz val="10"/>
        <rFont val="Calibri"/>
        <family val="2"/>
        <scheme val="minor"/>
      </rPr>
      <t xml:space="preserve">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 xml:space="preserve">Alcaldia de Circasia: </t>
    </r>
    <r>
      <rPr>
        <sz val="10"/>
        <rFont val="Calibri"/>
        <family val="2"/>
        <scheme val="minor"/>
      </rPr>
      <t xml:space="preserve">Se realiza proceso de caracterización RUMBO EMPRENDEDOR con la finalidad de crear estrategias para impulsar emprendimientos en el municipio. Se realiza feria empresarial donde participa pobliación joven.
</t>
    </r>
  </si>
  <si>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t>
    </r>
  </si>
  <si>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Alcaldía de Circasia:</t>
    </r>
    <r>
      <rPr>
        <sz val="10"/>
        <rFont val="Calibri"/>
        <family val="2"/>
        <scheme val="minor"/>
      </rPr>
      <t xml:space="preserve"> Se desarrolla el comité del CIETI socializando sobre el tema del trabajo infantil y sobre la alerta temprana 001. Además, La incidencia del trabajo infantil se encuentra en cero. El municipio ha adelantado acciones para erradicar este tipo de situaciones. Visitas aleatorias a establecimientos de comercio. </t>
    </r>
    <r>
      <rPr>
        <b/>
        <sz val="10"/>
        <rFont val="Calibri"/>
        <family val="2"/>
        <scheme val="minor"/>
      </rPr>
      <t xml:space="preserve">
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Alcaldía Calarcá: S</t>
    </r>
    <r>
      <rPr>
        <sz val="10"/>
        <rFont val="Calibri"/>
        <family val="2"/>
        <scheme val="minor"/>
      </rPr>
      <t xml:space="preserve">eguimiento y aplicación de encuesta a la población para el reconocimiento de tipos de trabajo infantil (levantamiento línea base de acuerdo a los lineamientos de la estrategia y el mapa de riesgo aprobado por el ceti, teniendo en cuenta zonas de influencia rural y urbana).                                             Gestión o remisión para el acceso a a servicios de salud, educación, ocupación del tiempo libre y oferta institucional necesaria para la garantía de derechos de los NNA                                                       organización del día de la erradicación del trabajo infantil. Organización del día de la erradicación del trabajo infantil (junio)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rFont val="Calibri"/>
        <family val="2"/>
        <scheme val="minor"/>
      </rPr>
      <t>Secretaría Turismo, Industria y Comercio:</t>
    </r>
    <r>
      <rPr>
        <sz val="10"/>
        <rFont val="Calibri"/>
        <family val="2"/>
        <scheme val="minor"/>
      </rPr>
      <t xml:space="preserve"> La secretaría de Turismo, Industria y Comercio,hace parte del Comité Interinstitucional de Erradicación de Trabajo infantil (CIETI) a través del cual se diseña el Plan de Acción que  implementará las diferentes entidades buscando impactar la población objetivo. Dicho Comité se reunirá por Primera vez a partir del mes de Abril.
</t>
    </r>
    <r>
      <rPr>
        <b/>
        <sz val="10"/>
        <rFont val="Calibri"/>
        <family val="2"/>
        <scheme val="minor"/>
      </rPr>
      <t>Alcaldía de Salento: S</t>
    </r>
    <r>
      <rPr>
        <sz val="10"/>
        <rFont val="Calibri"/>
        <family val="2"/>
        <scheme val="minor"/>
      </rPr>
      <t>e realizaron 5 campañas de prevención y promoción para la erradicación de trabajo infantil, la trata de personas y peores formas de trabajo infantil, estas han sido dirigidas a los comerciantes del municipio de salento del sector urbano y rural, también a los jóvenes entre 14 y 18 años con el fin de recordarles la edad apatir de la cual pueden laborar y que siempre debe mediar la autorización de Ministerio de trabajo. Igualmente, hacia los padres de familia con el fin de recordarles que los menores de 15 años no pueden trabajar, y los menores entre 15 y 17 solo pueden hacerlo con autorización del Ministerio. Asimismo,  se han hecho operativos noctunos con el fin de verficar que los menores de edad no se encuentren trabajando en establecimientos de venta y consumo de licor.</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</si>
  <si>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Incrementar el índice de competitividad  en el departamento del Quindío a través de la  formalización laboral y  generación de empleo con servicios de apoyo financiero para la creación de empresas  es el objetivo general del proyecto del Plan de acción 2024 guardando relación con la  ordenanza 022 del 30 de diciembre de 2021 y al realizarse la convocatoria para beneficiar emprendimientos  con apoyo financiero al  Plan Semilla, se da continuidad al beneficiado:
* Arepas el quindiano $1.540.000
La secretaría dentro del Nuevo Plan de Desarrollo incluirà Programas, Proyectos y metas relacionados con planes de negocio financiados.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</si>
  <si>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rPr>
        <sz val="10"/>
        <rFont val="Calibri"/>
        <family val="2"/>
        <scheme val="minor"/>
      </rPr>
      <t xml:space="preserve">
</t>
    </r>
    <r>
      <rPr>
        <b/>
        <sz val="10"/>
        <rFont val="Calibri"/>
        <family val="2"/>
        <scheme val="minor"/>
      </rPr>
      <t>Secretaría de Turismo Industria y Comercio:</t>
    </r>
    <r>
      <rPr>
        <sz val="10"/>
        <rFont val="Calibri"/>
        <family val="2"/>
        <scheme val="minor"/>
      </rPr>
      <t xml:space="preserve"> El 07 de marzo de  2024 se reunió la Red Regional de emprendimiento  donde asistieron:
Gobernación del Quindío 
Camara de Comercio de Armenia y del Quindío
Alcaldía de Armenia, SENA, Universidad Gran Colombia, Universidad Alexander Von Humboldt, CRQ 
Actuar Famiempresas, Representante Emprendedor 
Universidad EAM 
Tratando temas de interés acerca de los programas de emprendimiento del depto. del Quindiío, pero a la misma no asistieron representantes de las asociaciones juveniles.</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</si>
  <si>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 xml:space="preserve">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
</t>
    </r>
    <r>
      <rPr>
        <b/>
        <sz val="10"/>
        <rFont val="Calibri"/>
        <family val="2"/>
        <scheme val="minor"/>
      </rPr>
      <t xml:space="preserve">Alcaldía de Salento: </t>
    </r>
    <r>
      <rPr>
        <sz val="10"/>
        <rFont val="Calibri"/>
        <family val="2"/>
        <scheme val="minor"/>
      </rPr>
      <t xml:space="preserve">Estudiantes matriculados
</t>
    </r>
    <r>
      <rPr>
        <b/>
        <sz val="10"/>
        <rFont val="Calibri"/>
        <family val="2"/>
        <scheme val="minor"/>
      </rPr>
      <t>Alcaldía de Circasia:</t>
    </r>
    <r>
      <rPr>
        <sz val="10"/>
        <rFont val="Calibri"/>
        <family val="2"/>
        <scheme val="minor"/>
      </rPr>
      <t xml:space="preserve"> Prestar el servicio de transporte escolar zona rural a zona urbana. </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</si>
  <si>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Alcaldía de Circasia:</t>
    </r>
    <r>
      <rPr>
        <sz val="10"/>
        <rFont val="Calibri"/>
        <family val="2"/>
        <scheme val="minor"/>
      </rPr>
      <t xml:space="preserve"> Pagos de servicios públicos a todas las instituciones educativas del municipio.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</si>
  <si>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(2022) y la tasa de absorcion de bachilleres es del 47,3%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r>
      <rPr>
        <b/>
        <sz val="10"/>
        <rFont val="Calibri"/>
        <family val="2"/>
        <scheme val="minor"/>
      </rPr>
      <t xml:space="preserve">Alcaldía de Circasia: </t>
    </r>
    <r>
      <rPr>
        <sz val="10"/>
        <rFont val="Calibri"/>
        <family val="2"/>
        <scheme val="minor"/>
      </rPr>
      <t>Beca a mejores estudiantes con rendimiento academico y pruebas saber. 6 beneficiados cada año. Acuerdo 021.</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</si>
  <si>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t>
    </r>
    <r>
      <rPr>
        <b/>
        <sz val="10"/>
        <rFont val="Calibri"/>
        <family val="2"/>
        <scheme val="minor"/>
      </rPr>
      <t xml:space="preserve">INDEPORTES: </t>
    </r>
    <r>
      <rPr>
        <sz val="10"/>
        <rFont val="Calibri"/>
        <family val="2"/>
        <scheme val="minor"/>
      </rPr>
      <t xml:space="preserve">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rFont val="Calibri"/>
        <family val="2"/>
        <scheme val="minor"/>
      </rPr>
      <t xml:space="preserve">Alcaldía de Circasia: </t>
    </r>
    <r>
      <rPr>
        <sz val="10"/>
        <rFont val="Calibri"/>
        <family val="2"/>
        <scheme val="minor"/>
      </rPr>
      <t xml:space="preserve">En el municipio se ha realizado varias actividades dentro de ellas la escuelas de formación (6 escuelas de formacion 350 jovenes beneficiados)
</t>
    </r>
  </si>
  <si>
    <r>
      <t xml:space="preserve">
</t>
    </r>
    <r>
      <rPr>
        <b/>
        <sz val="10"/>
        <rFont val="Calibri"/>
        <family val="2"/>
        <scheme val="minor"/>
      </rPr>
      <t xml:space="preserve">Secretaría del Interior: </t>
    </r>
    <r>
      <rPr>
        <sz val="10"/>
        <rFont val="Calibri"/>
        <family val="2"/>
        <scheme val="minor"/>
      </rPr>
      <t xml:space="preserve">Desde la Secretaría del interior y su dirección de seguirdad se viene el proceso de contrucción el nuevo PISCC para el período actual.
</t>
    </r>
    <r>
      <rPr>
        <b/>
        <sz val="10"/>
        <rFont val="Calibri"/>
        <family val="2"/>
        <scheme val="minor"/>
      </rPr>
      <t>Policía Nacional:</t>
    </r>
    <r>
      <rPr>
        <sz val="10"/>
        <rFont val="Calibri"/>
        <family val="2"/>
        <scheme val="minor"/>
      </rPr>
      <t xml:space="preserve"> El Grupo de protección a la infancia y adolescencia,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Además, 81 acciones desarrolladas, para el 1mer trimestre 2024.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rFont val="Calibri"/>
        <family val="2"/>
        <scheme val="minor"/>
      </rPr>
      <t xml:space="preserve">Comisaría de Familia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Comisaría de Familia de Buenavista: </t>
    </r>
    <r>
      <rPr>
        <sz val="10"/>
        <rFont val="Calibri"/>
        <family val="2"/>
        <scheme val="minor"/>
      </rPr>
      <t xml:space="preserve">08 De Febrero De 2024: Asistencia a Caravana De Seguridad: se realizó la  caravana de seguridad brindando un parte de tranquilidad a los Buenavisteños y poniendo a su disposición la comunicación directa, con la secretaria de gobierno, la comisaría de familia, inspección de policía, el ejército con la presencia del coronel del batallón de alta montaña, el comándate  del municipio y el CTI, realizando un recorrido por las diferentes veredas de nuestro municipio.     El día 16 de enero de 2024, Se realiza un  comité de consejo de seguridad y convivenvia.
</t>
    </r>
    <r>
      <rPr>
        <b/>
        <sz val="10"/>
        <rFont val="Calibri"/>
        <family val="2"/>
        <scheme val="minor"/>
      </rPr>
      <t xml:space="preserve">Comisaría de Famila de Tebaida: </t>
    </r>
    <r>
      <rPr>
        <sz val="10"/>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</si>
  <si>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 xml:space="preserve">Alcaldía de Salento: </t>
    </r>
    <r>
      <rPr>
        <sz val="10"/>
        <rFont val="Calibri"/>
        <family val="2"/>
        <scheme val="minor"/>
      </rPr>
      <t xml:space="preserve">Se ha reallizado una sesión del comité de convivencia escolar donde se tratan temas de interés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</si>
  <si>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Circasia:</t>
    </r>
    <r>
      <rPr>
        <sz val="10"/>
        <rFont val="Calibri"/>
        <family val="2"/>
        <scheme val="minor"/>
      </rPr>
      <t xml:space="preserve"> En el municipio de Circasia, con los consejos de seguridad adelantados como estrategia, hemos logrado mitigar y alcanzar 0 homicidios a la fecha en nuestro municipio.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Alcaldía de Salento: </t>
    </r>
    <r>
      <rPr>
        <sz val="10"/>
        <rFont val="Calibri"/>
        <family val="2"/>
        <scheme val="minor"/>
      </rPr>
      <t xml:space="preserve">Se han reallizado dos campañas de interés en las instituciones educativas.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</si>
  <si>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rFont val="Calibri"/>
        <family val="2"/>
        <scheme val="minor"/>
      </rPr>
      <t>Alcaldía de Calarcá</t>
    </r>
    <r>
      <rPr>
        <sz val="10"/>
        <rFont val="Calibri"/>
        <family val="2"/>
        <scheme val="minor"/>
      </rPr>
      <t xml:space="preserve">: campañas de sensibilización y cultura vial con los diferentes actores viales-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rFont val="Calibri"/>
        <family val="2"/>
        <scheme val="minor"/>
      </rPr>
      <t>Alcaldía de Circasia:</t>
    </r>
    <r>
      <rPr>
        <sz val="10"/>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</si>
  <si>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Se cuenta con cuatro profesionales del área de salud mental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r>
      <rPr>
        <b/>
        <sz val="10"/>
        <rFont val="Calibri"/>
        <family val="2"/>
        <scheme val="minor"/>
      </rPr>
      <t xml:space="preserve">Alcaldía de Circasia: </t>
    </r>
    <r>
      <rPr>
        <sz val="10"/>
        <rFont val="Calibri"/>
        <family val="2"/>
        <scheme val="minor"/>
      </rPr>
      <t>Se ha realizado un plan de acción para el seguimiento de rutas en compañía del ICBF, instituciones educativas, Policía Nacional y comisarías.</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</si>
  <si>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En razón de la finalización de la política HAZ PAZ, la Secretaría del Interior ha dictado 2 talleres de identificación de violencias y construcción de paz positiva en los colegios del departamento.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</si>
  <si>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Alcaldía de Salento: </t>
    </r>
    <r>
      <rPr>
        <sz val="10"/>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rFont val="Calibri"/>
        <family val="2"/>
        <scheme val="minor"/>
      </rPr>
      <t xml:space="preserve">Alcaldía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</si>
  <si>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Secretaría del Interior:</t>
    </r>
    <r>
      <rPr>
        <sz val="10"/>
        <rFont val="Calibri"/>
        <family val="2"/>
        <scheme val="minor"/>
      </rPr>
      <t xml:space="preserve"> La Secretaría de interior no evidencia casos de jóvenes víctimas de reclutamiento. Sin embargo, se realizó 1 taller de prevención de reclutamiento forzado en el municipio de pijao.
</t>
    </r>
    <r>
      <rPr>
        <b/>
        <sz val="10"/>
        <rFont val="Calibri"/>
        <family val="2"/>
        <scheme val="minor"/>
      </rPr>
      <t>Policía Nacional:</t>
    </r>
    <r>
      <rPr>
        <sz val="10"/>
        <rFont val="Calibri"/>
        <family val="2"/>
        <scheme val="minor"/>
      </rPr>
      <t xml:space="preserve"> El Grupo de Protección a la Infancia y Adolescencia realizó  en los 12 municipios del departamento, mas de 53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t>
    </r>
  </si>
  <si>
    <r>
      <rPr>
        <b/>
        <sz val="10"/>
        <rFont val="Calibri"/>
        <family val="2"/>
        <scheme val="minor"/>
      </rPr>
      <t>Secretaría de Educación:</t>
    </r>
    <r>
      <rPr>
        <sz val="10"/>
        <rFont val="Calibri"/>
        <family val="2"/>
        <scheme val="minor"/>
      </rPr>
      <t xml:space="preserve"> Acompañamiento a 48 instituciones educativas con proyectos de educación sexual y construcción de ciudadanía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Se han realizado dos comités de salud sexual y reproductiva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</si>
  <si>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r>
      <rPr>
        <b/>
        <sz val="10"/>
        <rFont val="Calibri"/>
        <family val="2"/>
        <scheme val="minor"/>
      </rPr>
      <t>Alcaldía de Salento:</t>
    </r>
    <r>
      <rPr>
        <sz val="10"/>
        <rFont val="Calibri"/>
        <family val="2"/>
        <scheme val="minor"/>
      </rPr>
      <t xml:space="preserve"> Se han realizado dos comités de consumo de sustancias psicoactivas  y dos campañas de interés en las instituciones educativas.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</si>
  <si>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El programa materno infantil  informan 66 usuarias atendidas  incluidas las de 20 años.      
</t>
    </r>
    <r>
      <rPr>
        <b/>
        <sz val="10"/>
        <rFont val="Calibri"/>
        <family val="2"/>
        <scheme val="minor"/>
      </rPr>
      <t xml:space="preserve">ICBF: </t>
    </r>
    <r>
      <rPr>
        <sz val="10"/>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</si>
  <si>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 xml:space="preserve">Secretaria de Familia: </t>
    </r>
    <r>
      <rPr>
        <sz val="10"/>
        <rFont val="Calibri"/>
        <family val="2"/>
        <scheme val="minor"/>
      </rPr>
      <t xml:space="preserve"> Los datos corresponden a la suma realizada hasta el 1mer trimestre 2024.</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de Circasia: </t>
    </r>
    <r>
      <rPr>
        <sz val="10"/>
        <rFont val="Calibri"/>
        <family val="2"/>
        <scheme val="minor"/>
      </rPr>
      <t xml:space="preserve">Se apoya a varios deportistas en eventos internacionales. Entre ellos se encuentra un deportista joven en condición de discapacidad que participa en tenis de campo. (Se apoyo con biáticos)
</t>
    </r>
    <r>
      <rPr>
        <b/>
        <sz val="10"/>
        <rFont val="Calibri"/>
        <family val="2"/>
        <scheme val="minor"/>
      </rPr>
      <t xml:space="preserve">Alcaldía Salento: </t>
    </r>
    <r>
      <rPr>
        <sz val="10"/>
        <rFont val="Calibri"/>
        <family val="2"/>
        <scheme val="minor"/>
      </rPr>
      <t xml:space="preserve">Ninguno.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</si>
  <si>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 xml:space="preserve">115 deportistas jóvenes quindianos de alto rendimiento apoyados para Juegos Nacionales y Paranacionales.
</t>
    </r>
    <r>
      <rPr>
        <b/>
        <sz val="10"/>
        <rFont val="Calibri"/>
        <family val="2"/>
        <scheme val="minor"/>
      </rPr>
      <t>Alcaldía Salento:</t>
    </r>
    <r>
      <rPr>
        <sz val="10"/>
        <rFont val="Calibri"/>
        <family val="2"/>
        <scheme val="minor"/>
      </rPr>
      <t xml:space="preserve"> Ninguno</t>
    </r>
  </si>
  <si>
    <r>
      <rPr>
        <b/>
        <sz val="10"/>
        <rFont val="Calibri"/>
        <family val="2"/>
        <scheme val="minor"/>
      </rPr>
      <t>Indeportes:</t>
    </r>
    <r>
      <rPr>
        <sz val="10"/>
        <rFont val="Calibri"/>
        <family val="2"/>
        <scheme val="minor"/>
      </rPr>
      <t xml:space="preserve"> 20 deportistas jóvenes de alto rendimiento apoyados económicamente de manera mensual.
</t>
    </r>
    <r>
      <rPr>
        <b/>
        <sz val="10"/>
        <rFont val="Calibri"/>
        <family val="2"/>
        <scheme val="minor"/>
      </rPr>
      <t>Alcaldía Salento:</t>
    </r>
    <r>
      <rPr>
        <sz val="10"/>
        <rFont val="Calibri"/>
        <family val="2"/>
        <scheme val="minor"/>
      </rPr>
      <t xml:space="preserve"> Ninguno</t>
    </r>
  </si>
  <si>
    <r>
      <rPr>
        <b/>
        <sz val="10"/>
        <rFont val="Calibri"/>
        <family val="2"/>
        <scheme val="minor"/>
      </rPr>
      <t xml:space="preserve">Nota: </t>
    </r>
    <r>
      <rPr>
        <sz val="10"/>
        <rFont val="Calibri"/>
        <family val="2"/>
        <scheme val="minor"/>
      </rPr>
      <t xml:space="preserve">Se beneficiaron en total 7592 jóvenes
</t>
    </r>
    <r>
      <rPr>
        <b/>
        <sz val="10"/>
        <rFont val="Calibri"/>
        <family val="2"/>
        <scheme val="minor"/>
      </rPr>
      <t>Alcaldía Salento:</t>
    </r>
    <r>
      <rPr>
        <sz val="10"/>
        <rFont val="Calibri"/>
        <family val="2"/>
        <scheme val="minor"/>
      </rPr>
      <t xml:space="preserve">  Alrededor de 200 alumnos que invierten como mínimo 60 minutos diarios en actividades físicas de  intensidad moderada y vigorosa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</si>
  <si>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Nota: Se beneficiaron: 11693 Personas 79% Por encima de la línea de base de 6500 beneficiados.   
Alcaldía de Circasia:</t>
    </r>
    <r>
      <rPr>
        <sz val="10"/>
        <rFont val="Calibri"/>
        <family val="2"/>
        <scheme val="minor"/>
      </rPr>
      <t xml:space="preserve"> Se han abierto espacios de rumba terapia en el centro dia de adulto mayor.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rFont val="Calibri"/>
        <family val="2"/>
        <scheme val="minor"/>
      </rPr>
      <t>Alcaldía de Salento:</t>
    </r>
    <r>
      <rPr>
        <sz val="10"/>
        <rFont val="Calibri"/>
        <family val="2"/>
        <scheme val="minor"/>
      </rPr>
      <t>150 personas adultas que realizan actividades moderadas y vigorosas</t>
    </r>
    <r>
      <rPr>
        <b/>
        <sz val="10"/>
        <rFont val="Calibri"/>
        <family val="2"/>
        <scheme val="minor"/>
      </rPr>
      <t xml:space="preserve"> </t>
    </r>
    <r>
      <rPr>
        <sz val="10"/>
        <rFont val="Calibri"/>
        <family val="2"/>
        <scheme val="minor"/>
      </rPr>
      <t xml:space="preserve">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</si>
  <si>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Secretaria de Turismo, Industria y Comercio:</t>
    </r>
    <r>
      <rPr>
        <sz val="10"/>
        <rFont val="Calibri"/>
        <family val="2"/>
        <scheme val="minor"/>
      </rPr>
      <t>La Secretaría de Turismo, Industria y Comercio de la Gobernación del Quindío para el periodo del segundo trimestre llevará a cabo el plan de Acción que incluye la caracterización de las empresas de Turismo y aventura así como la promoción y difusión de sus servicios.</t>
    </r>
    <r>
      <rPr>
        <b/>
        <sz val="10"/>
        <rFont val="Calibri"/>
        <family val="2"/>
        <scheme val="minor"/>
      </rPr>
      <t xml:space="preserve">
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Alcaldia Genova: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</si>
  <si>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xml:space="preserve">: En este momento se dio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</si>
  <si>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</si>
  <si>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r>
      <rPr>
        <b/>
        <sz val="10"/>
        <rFont val="Calibri"/>
        <family val="2"/>
        <scheme val="minor"/>
      </rPr>
      <t xml:space="preserve">Dirección de comunicaciones: </t>
    </r>
    <r>
      <rPr>
        <sz val="10"/>
        <rFont val="Calibri"/>
        <family val="2"/>
        <scheme val="minor"/>
      </rPr>
      <t xml:space="preserve">1. publicación convocatoria para la participación juvenil en la creación del plan de desarrollo departamental 2024-2027.  2. creación pieza audiovisual informativa sobre consejos y plataformas juveniles.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</si>
  <si>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</si>
  <si>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r>
      <rPr>
        <b/>
        <sz val="10"/>
        <rFont val="Calibri"/>
        <family val="2"/>
        <scheme val="minor"/>
      </rPr>
      <t xml:space="preserve">ICBF: </t>
    </r>
    <r>
      <rPr>
        <sz val="10"/>
        <rFont val="Calibri"/>
        <family val="2"/>
        <scheme val="minor"/>
      </rPr>
      <t xml:space="preserve">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
</t>
    </r>
    <r>
      <rPr>
        <b/>
        <sz val="10"/>
        <rFont val="Calibri"/>
        <family val="2"/>
        <scheme val="minor"/>
      </rPr>
      <t>Universidad del  Quindío:</t>
    </r>
    <r>
      <rPr>
        <sz val="10"/>
        <rFont val="Calibri"/>
        <family val="2"/>
        <scheme val="minor"/>
      </rPr>
      <t>27 actividades de aprendizaje permanente: 
1. Diplomado en Auditoría Interna en Sistemas Integrados de Gestión HSEQ (ISO 9001:2015; ISO 14001:2015; ISO 45001:2018) Periodo 2024-1
2. Diplomado Virtual en Docencia Universitaria 2024-1
3. Diplomado en Evaluación y Supervisión de Obras Civiles
4. Diplomado Docencia Universitaria 2024-1
5. Diplomado en Diseño de Sistema de Gestión de Seguridad y Salud en el Trabajo y auditoria en Decreto 1072 e ISO 45001
6. Diplomado Vivencial en Pedagogía Emocional Comunitaria 2024-1
7. Semillero Demuestra tu Saber 2024
8. Diplomado en Plantas Medicinales "Saberes tradicionales &amp; conocimiento científico". 2024-1
9. Diplomado en Prevención, Preparación y Respuesta a Emergencias Empresariales - PPREE 2024-1
10. Escuela Lúdico Deportiva Barranqueros
11. Preuniversitario de la Facultad Ciencias de la Salud Énfasis Medicina 2024-1
12. Club de niños Uniquindianitos
13. Curso: Desarrollo Sostenible, educación ambiental, agenda 2030.
14. MOOC “Diseño y Gestión de Recurso de Apoyo en Moodle”
15. Diplomado Estrategias para el desempeño en AVA - Profesor Virtual
16. English Learning Time for Adults 2024-1
17. English Learning Time For Kids 2024-1
18. Programa Insignias 2024
19. English Learning Time On-site (Presencial) 2024-1
20. Universidad para mayores 2024-1
21. Club de Matemáticas 2024
22. Curso especializado en teatro programa infantil 2024-1
23. Curso especializado en Artes Plasticas 2024-1
24. Curso Especializado en Teatro 2024-1
25. Curso especializado en música 2024-1
26. Curso especializado en musica programa infantil 2024-1
27. Curso especializado en artes plásticas programa infantil
Para el periodo comprendido entre el 01 de enero y el 31 de marzo de 2024 se encuentra registradas 27 actividades de aprendizaje permanente superiores a 40 horas que dentro de la población beneficiada incluyen jovenes entre los 14 y 28 años, en el presupuesto se consideran recursos de actividades sociales, solidarias y remuneradas. Es justo señalar que, algunos se encuentran en ejecución, por lo tanto, aun no se pueden definir los presupuestos ejecutados con exactitud pues se debe esperar que diligencien el informe financiero al finalizar el proyecto.</t>
    </r>
  </si>
  <si>
    <r>
      <rPr>
        <b/>
        <sz val="10"/>
        <rFont val="Calibri"/>
        <family val="2"/>
        <scheme val="minor"/>
      </rPr>
      <t>Secretaría de Familia:</t>
    </r>
    <r>
      <rPr>
        <sz val="10"/>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rFont val="Calibri"/>
        <family val="2"/>
        <scheme val="minor"/>
      </rPr>
      <t xml:space="preserve">
Alcaldía de Salento</t>
    </r>
    <r>
      <rPr>
        <sz val="10"/>
        <rFont val="Calibri"/>
        <family val="2"/>
        <scheme val="minor"/>
      </rPr>
      <t xml:space="preserve">: Se cuenta con un casa de la juventud destinada a las reuniones del CMJ y plataforma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En el municipio no se cuenta con casa de juventud pero si cuenta con Enlace de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</si>
  <si>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Secretaría de Familia:</t>
    </r>
    <r>
      <rPr>
        <sz val="10"/>
        <rFont val="Calibri"/>
        <family val="2"/>
        <scheme val="minor"/>
      </rPr>
      <t xml:space="preserve"> Reporta que los doce municipios del Departamento del Quindío, fueron asistidos técnicamente por parte de la Jefatura de Juventud y de esto se pudo inferir, que sólo cinco de ellos ( Armenia, Salento, Circasia, Tebaida y Calarcá), cuentan con Consejo de Juventud funcionando. Así las cosas, se está a a espera de que los 12 municipios envíen la delegación para poder porsesionar el Consejo Departamental de Juvetud. 
</t>
    </r>
    <r>
      <rPr>
        <b/>
        <sz val="10"/>
        <rFont val="Calibri"/>
        <family val="2"/>
        <scheme val="minor"/>
      </rPr>
      <t>Alcaldia Calarca:</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de Circasia: </t>
    </r>
    <r>
      <rPr>
        <sz val="10"/>
        <rFont val="Calibri"/>
        <family val="2"/>
        <scheme val="minor"/>
      </rPr>
      <t xml:space="preserve">El municipio de Circasia cuenta con Consejo Municipal de Juventud. Durante el trimestre solo han sesionado 1 vez. Se ha prestado todo el apoyo para que puedan desarrollar sus actividades como Consejeros. </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de Salento:</t>
    </r>
    <r>
      <rPr>
        <sz val="10"/>
        <rFont val="Calibri"/>
        <family val="2"/>
        <scheme val="minor"/>
      </rPr>
      <t xml:space="preserve"> El municipio de Salento solo cuenta con un CMJ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</si>
  <si>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t>
    </r>
    <r>
      <rPr>
        <sz val="10"/>
        <rFont val="Calibri"/>
        <family val="2"/>
        <scheme val="minor"/>
      </rPr>
      <t xml:space="preserve"> Reporta que los doce municipios del Departamento del Quindío, fueron asistidos técnicamente por parte de la Jefatura de Juventud y de esto se pudo inferir, que sólo cuatro de ellos ( Armenia, Quimbaya, Tebaida y Calarcá), cuentan con Plataforma Municipal de Juventud funcionando. Así las cosas, se está a a espera de que los 12 municipios envíen la delegación para poder actualizar la Plataforma Departamental de Juvetud. 
</t>
    </r>
    <r>
      <rPr>
        <b/>
        <sz val="10"/>
        <rFont val="Calibri"/>
        <family val="2"/>
        <scheme val="minor"/>
      </rPr>
      <t xml:space="preserve">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 xml:space="preserve">Alcaldía de Circasia: </t>
    </r>
    <r>
      <rPr>
        <sz val="10"/>
        <rFont val="Calibri"/>
        <family val="2"/>
        <scheme val="minor"/>
      </rPr>
      <t xml:space="preserve">Se desarrollo la actualización de la PMJ.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 xml:space="preserve">Alcaldía de Salento: </t>
    </r>
    <r>
      <rPr>
        <sz val="10"/>
        <rFont val="Calibri"/>
        <family val="2"/>
        <scheme val="minor"/>
      </rPr>
      <t>En proceso de reactivación, ya que no se cuenta con el número para  lograr el respectivo quórum  y tampoco hay intereses por los jóvenes en participar de estos espacios.</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</si>
  <si>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Secretaría de Familia:</t>
    </r>
    <r>
      <rPr>
        <sz val="10"/>
        <rFont val="Calibri"/>
        <family val="2"/>
        <scheme val="minor"/>
      </rPr>
      <t xml:space="preserve"> Reporta según información brindada por los entes territoriales, que se han realizado cuatro asambleas municipales de juventud en el primer trimestre 2024 en: Armenia, Quimbaya, Filandia y Montenegro. Además también se realizó la Primera Asamblea Departamental de Juventud el 08 de febrero de 2024.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</si>
  <si>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12%, según el DANE en su último informe publicado
</t>
    </r>
    <r>
      <rPr>
        <b/>
        <sz val="10"/>
        <color theme="1"/>
        <rFont val="Calibri"/>
        <family val="2"/>
        <scheme val="minor"/>
      </rPr>
      <t>Secretaría de Agricultura:</t>
    </r>
    <r>
      <rPr>
        <sz val="10"/>
        <color theme="1"/>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Secretaría Turismo, Industria y Comercio:</t>
    </r>
    <r>
      <rPr>
        <sz val="10"/>
        <color theme="1"/>
        <rFont val="Calibri"/>
        <family val="2"/>
        <scheme val="minor"/>
      </rPr>
      <t xml:space="preserve"> Fue formulado el proyecto de ciencia , tecnología e innovación para el periodo  2024-2027 el cual tiene en una de sus líneas el fortalecimiento de la asistencia técnica el en este sector.
El Proyecto iniciará su ejecución una vez quede aprobado la Armonización Presupuestal del plan de desarrollo departamental
</t>
    </r>
    <r>
      <rPr>
        <b/>
        <sz val="10"/>
        <color theme="1"/>
        <rFont val="Calibri"/>
        <family val="2"/>
        <scheme val="minor"/>
      </rPr>
      <t xml:space="preserve">Alcaldía Salento: </t>
    </r>
    <r>
      <rPr>
        <sz val="10"/>
        <color theme="1"/>
        <rFont val="Calibri"/>
        <family val="2"/>
        <scheme val="minor"/>
      </rPr>
      <t xml:space="preserve">Actividades desarrolladas por parte del programa Cátedra de la Salentinidad hacia las instituciones educativas (Capacitacion docentes y dotación material pedagógico)
</t>
    </r>
    <r>
      <rPr>
        <b/>
        <sz val="10"/>
        <color theme="1"/>
        <rFont val="Calibri"/>
        <family val="2"/>
        <scheme val="minor"/>
      </rPr>
      <t>Alcaldía Córdoba:</t>
    </r>
    <r>
      <rPr>
        <sz val="10"/>
        <color theme="1"/>
        <rFont val="Calibri"/>
        <family val="2"/>
        <scheme val="minor"/>
      </rPr>
      <t xml:space="preserve"> Actualmente el municipio no cuenta con tasa de desempleo juvenil  
</t>
    </r>
    <r>
      <rPr>
        <b/>
        <sz val="10"/>
        <color theme="1"/>
        <rFont val="Calibri"/>
        <family val="2"/>
        <scheme val="minor"/>
      </rPr>
      <t>Sena:</t>
    </r>
    <r>
      <rPr>
        <sz val="10"/>
        <color theme="1"/>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color theme="1"/>
        <rFont val="Calibri"/>
        <family val="2"/>
        <scheme val="minor"/>
      </rPr>
      <t>Alcaldía Armenia:</t>
    </r>
    <r>
      <rPr>
        <sz val="10"/>
        <color theme="1"/>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color theme="1"/>
        <rFont val="Calibri"/>
        <family val="2"/>
        <scheme val="minor"/>
      </rPr>
      <t xml:space="preserve">Alcaldía Buenavista: </t>
    </r>
    <r>
      <rPr>
        <sz val="10"/>
        <color theme="1"/>
        <rFont val="Calibri"/>
        <family val="2"/>
        <scheme val="minor"/>
      </rPr>
      <t xml:space="preserve">se realizó por medio de la agencia de empleo de confenalco Quindio, una jornada de asistencia en el municipio, dirigida a toda la comunidad.
</t>
    </r>
    <r>
      <rPr>
        <b/>
        <sz val="10"/>
        <color theme="1"/>
        <rFont val="Calibri"/>
        <family val="2"/>
        <scheme val="minor"/>
      </rPr>
      <t xml:space="preserve">Alcaldia Calarca: </t>
    </r>
    <r>
      <rPr>
        <sz val="10"/>
        <color theme="1"/>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color theme="1"/>
        <rFont val="Calibri"/>
        <family val="2"/>
        <scheme val="minor"/>
      </rPr>
      <t>Alcaldia Quimbaya:</t>
    </r>
    <r>
      <rPr>
        <sz val="10"/>
        <color theme="1"/>
        <rFont val="Calibri"/>
        <family val="2"/>
        <scheme val="minor"/>
      </rPr>
      <t xml:space="preserve"> El municipio no cuenta con esta informacion estadistica</t>
    </r>
    <r>
      <rPr>
        <b/>
        <sz val="10"/>
        <color theme="1"/>
        <rFont val="Calibri"/>
        <family val="2"/>
        <scheme val="minor"/>
      </rPr>
      <t xml:space="preserve">
Alcaldía Montenegro: </t>
    </r>
    <r>
      <rPr>
        <sz val="10"/>
        <color theme="1"/>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color theme="1"/>
        <rFont val="Calibri"/>
        <family val="2"/>
        <scheme val="minor"/>
      </rPr>
      <t xml:space="preserve">Alcaldía Pijao: </t>
    </r>
    <r>
      <rPr>
        <sz val="10"/>
        <color theme="1"/>
        <rFont val="Calibri"/>
        <family val="2"/>
        <scheme val="minor"/>
      </rPr>
      <t xml:space="preserve">convocatorias y apoyo a empresas, recepción de hojas de vida.
</t>
    </r>
  </si>
  <si>
    <r>
      <t xml:space="preserve">
</t>
    </r>
    <r>
      <rPr>
        <b/>
        <sz val="10"/>
        <color theme="1"/>
        <rFont val="Calibri"/>
        <family val="2"/>
        <scheme val="minor"/>
      </rPr>
      <t>Secretaría de Familia:</t>
    </r>
    <r>
      <rPr>
        <sz val="10"/>
        <color theme="1"/>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color theme="1"/>
        <rFont val="Calibri"/>
        <family val="2"/>
        <scheme val="minor"/>
      </rPr>
      <t>SENA:</t>
    </r>
    <r>
      <rPr>
        <sz val="10"/>
        <color theme="1"/>
        <rFont val="Calibri"/>
        <family val="2"/>
        <scheme val="minor"/>
      </rPr>
      <t xml:space="preserve"> Durante el trimestre no se realizaron ruedas de negocios regionales o nacionales. Se espera realizar para el segundo semestre del año.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 xml:space="preserve">Secretaria de Turismo Industria y Comercio: </t>
    </r>
    <r>
      <rPr>
        <sz val="10"/>
        <color theme="1"/>
        <rFont val="Calibri"/>
        <family val="2"/>
        <scheme val="minor"/>
      </rPr>
      <t>Se programará eventos y/o actividades de socialización para dar a conocer la ruta de emprendimiento del CINNE (Centro de Innovación y Emprendimiento Empresarial).</t>
    </r>
    <r>
      <rPr>
        <b/>
        <sz val="10"/>
        <color theme="1"/>
        <rFont val="Calibri"/>
        <family val="2"/>
        <scheme val="minor"/>
      </rPr>
      <t xml:space="preserve">
Alcaldía Buenavista: </t>
    </r>
    <r>
      <rPr>
        <sz val="10"/>
        <color theme="1"/>
        <rFont val="Calibri"/>
        <family val="2"/>
        <scheme val="minor"/>
      </rPr>
      <t xml:space="preserve"> los jóvenes no asisten a ruedas de negocios a nivel Departametal y Nacional.
</t>
    </r>
    <r>
      <rPr>
        <b/>
        <sz val="10"/>
        <color theme="1"/>
        <rFont val="Calibri"/>
        <family val="2"/>
        <scheme val="minor"/>
      </rPr>
      <t>Secretaría Turismo, Industria y Comercio:</t>
    </r>
    <r>
      <rPr>
        <sz val="10"/>
        <color theme="1"/>
        <rFont val="Calibri"/>
        <family val="2"/>
        <scheme val="minor"/>
      </rPr>
      <t xml:space="preserve"> Durante el segundo trimestre de  2024 se realizaron dos eventos relacionados con expresiones culturales (artesanias):
* Feria artesanal en el Tambo via a Filandia
* Feria Artesanal Centro de Convenciones
con la participación de 16 Jóvenes siendo en su totalidad representación femenina.
</t>
    </r>
    <r>
      <rPr>
        <b/>
        <sz val="10"/>
        <color theme="1"/>
        <rFont val="Calibri"/>
        <family val="2"/>
        <scheme val="minor"/>
      </rPr>
      <t>Alcaldía Quimbaya:</t>
    </r>
    <r>
      <rPr>
        <sz val="10"/>
        <color theme="1"/>
        <rFont val="Calibri"/>
        <family val="2"/>
        <scheme val="minor"/>
      </rPr>
      <t xml:space="preserve"> Durante el trimestre no se realizaron acciones para dar cumplimiento a la meta.
</t>
    </r>
    <r>
      <rPr>
        <b/>
        <sz val="10"/>
        <color theme="1"/>
        <rFont val="Calibri"/>
        <family val="2"/>
        <scheme val="minor"/>
      </rPr>
      <t>Alcaldía Montenegro:</t>
    </r>
    <r>
      <rPr>
        <sz val="10"/>
        <color theme="1"/>
        <rFont val="Calibri"/>
        <family val="2"/>
        <scheme val="minor"/>
      </rPr>
      <t xml:space="preserve"> Educación para el Trabajo y el Desarrollo Humano, liderazgo y emprendimiento con los jovenes emprendedores caracterizados desde la Plataforma Municipal de Juventud.
</t>
    </r>
    <r>
      <rPr>
        <b/>
        <sz val="10"/>
        <color theme="1"/>
        <rFont val="Calibri"/>
        <family val="2"/>
        <scheme val="minor"/>
      </rPr>
      <t>Alcaldía de Pijao</t>
    </r>
    <r>
      <rPr>
        <sz val="10"/>
        <color theme="1"/>
        <rFont val="Calibri"/>
        <family val="2"/>
        <scheme val="minor"/>
      </rPr>
      <t xml:space="preserve">: no cuenta con un porcentaje de Emprendimientos que participan en Ruedas de Negocios Regionales y Nacionales que son liderados por Jóvenes en el Municipio.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Alcaldia Calarcá:</t>
    </r>
    <r>
      <rPr>
        <sz val="10"/>
        <color theme="1"/>
        <rFont val="Calibri"/>
        <family val="2"/>
        <scheme val="minor"/>
      </rPr>
      <t>Pendiente por ejecución, a partir de la aprobación del nuevo plan de desarrollo municipal  se llevará a cabo las actividades para el cumplimiento de estas  metas.</t>
    </r>
    <r>
      <rPr>
        <b/>
        <sz val="10"/>
        <color theme="1"/>
        <rFont val="Calibri"/>
        <family val="2"/>
        <scheme val="minor"/>
      </rPr>
      <t xml:space="preserve">
Alcaldía Armenia:</t>
    </r>
    <r>
      <rPr>
        <sz val="10"/>
        <color theme="1"/>
        <rFont val="Calibri"/>
        <family val="2"/>
        <scheme val="minor"/>
      </rPr>
      <t xml:space="preserve"> articulación con el ecosistema de la red regional de emprendimiento para asistencia técnica a empresas del municipio de armenia
</t>
    </r>
    <r>
      <rPr>
        <b/>
        <sz val="10"/>
        <color theme="1"/>
        <rFont val="Calibri"/>
        <family val="2"/>
        <scheme val="minor"/>
      </rPr>
      <t xml:space="preserve">Alcaldia de Circasia: </t>
    </r>
    <r>
      <rPr>
        <sz val="10"/>
        <color theme="1"/>
        <rFont val="Calibri"/>
        <family val="2"/>
        <scheme val="minor"/>
      </rPr>
      <t xml:space="preserve">Se realiza proceso de caracterización RUMBO EMPRENDEDOR con la finalidad de crear estrategias para impulsar emprendimientos en el municipio. Se realiza feria empresarial donde participa pobliación joven.
</t>
    </r>
    <r>
      <rPr>
        <b/>
        <sz val="10"/>
        <color theme="1"/>
        <rFont val="Calibri"/>
        <family val="2"/>
        <scheme val="minor"/>
      </rPr>
      <t>Alcaldía de Salento:</t>
    </r>
    <r>
      <rPr>
        <sz val="10"/>
        <color theme="1"/>
        <rFont val="Calibri"/>
        <family val="2"/>
        <scheme val="minor"/>
      </rPr>
      <t xml:space="preserve"> Anualmente se desarrolla la feria de emprendimiento, direccionada a los jóvenes del municipio la cual se lleva a cabo en la semana de la juventud.
</t>
    </r>
  </si>
  <si>
    <r>
      <rPr>
        <b/>
        <sz val="10"/>
        <color theme="1"/>
        <rFont val="Calibri"/>
        <family val="2"/>
        <scheme val="minor"/>
      </rPr>
      <t xml:space="preserve">Secretaría de familia: </t>
    </r>
    <r>
      <rPr>
        <sz val="10"/>
        <color theme="1"/>
        <rFont val="Calibri"/>
        <family val="2"/>
        <scheme val="minor"/>
      </rPr>
      <t xml:space="preserve">La información reportada por los actores responsables no es la adecuada para medir el indicador en porcentaje.
</t>
    </r>
    <r>
      <rPr>
        <b/>
        <sz val="10"/>
        <color theme="1"/>
        <rFont val="Calibri"/>
        <family val="2"/>
        <scheme val="minor"/>
      </rPr>
      <t xml:space="preserve">Universidad Alexander Von Humbolt: </t>
    </r>
    <r>
      <rPr>
        <sz val="10"/>
        <color theme="1"/>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Universidad del Quindío:</t>
    </r>
    <r>
      <rPr>
        <sz val="10"/>
        <color theme="1"/>
        <rFont val="Calibri"/>
        <family val="2"/>
        <scheme val="minor"/>
      </rPr>
      <t xml:space="preserve"> Asesorías en la instalación, siembra y cuidado de huertos orgánicos, sostenibles y rentables, asesorías en la elaboración de planes de negocio y capacitaciones en emprendimiento.</t>
    </r>
    <r>
      <rPr>
        <b/>
        <sz val="10"/>
        <color theme="1"/>
        <rFont val="Calibri"/>
        <family val="2"/>
        <scheme val="minor"/>
      </rPr>
      <t xml:space="preserve">
</t>
    </r>
    <r>
      <rPr>
        <sz val="10"/>
        <color theme="1"/>
        <rFont val="Calibri"/>
        <family val="2"/>
        <scheme val="minor"/>
      </rPr>
      <t xml:space="preserve">Numero de joveres rurales beneficiados: 59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Secretaría de Turismo Industria y Comercio:</t>
    </r>
    <r>
      <rPr>
        <sz val="10"/>
        <color theme="1"/>
        <rFont val="Calibri"/>
        <family val="2"/>
        <scheme val="minor"/>
      </rPr>
      <t>Actividad realizada sobre Oferta de servicio de datafonos gratuitos y la ruta CINNE en feria de servicios NARP en la Tebaida, Quindío con la participación de 1 mujeres en el rango de edad de Jóvenes. Acta 286
Feria artesanal en el centro de convenciones de Armenia, con la participación de 2 mujeres en el rango de edad de juventud.</t>
    </r>
    <r>
      <rPr>
        <b/>
        <sz val="10"/>
        <color theme="1"/>
        <rFont val="Calibri"/>
        <family val="2"/>
        <scheme val="minor"/>
      </rPr>
      <t xml:space="preserve">
Secretaría de Agricultura:</t>
    </r>
    <r>
      <rPr>
        <sz val="10"/>
        <color theme="1"/>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color theme="1"/>
        <rFont val="Calibri"/>
        <family val="2"/>
        <scheme val="minor"/>
      </rPr>
      <t xml:space="preserve">Secretaría de Educación: </t>
    </r>
    <r>
      <rPr>
        <sz val="10"/>
        <color theme="1"/>
        <rFont val="Calibri"/>
        <family val="2"/>
        <scheme val="minor"/>
      </rPr>
      <t xml:space="preserve">Ejecución de etapa productiva de programas técnicos articulados con el SENA, a través del desarrollo de proyectos productivos mediante ruta del emprendimiento.
</t>
    </r>
  </si>
  <si>
    <r>
      <rPr>
        <b/>
        <sz val="10"/>
        <color theme="1"/>
        <rFont val="Calibri"/>
        <family val="2"/>
        <scheme val="minor"/>
      </rPr>
      <t xml:space="preserve">Secretaría de familia: </t>
    </r>
    <r>
      <rPr>
        <sz val="10"/>
        <color theme="1"/>
        <rFont val="Calibri"/>
        <family val="2"/>
        <scheme val="minor"/>
      </rPr>
      <t>La información reportada por los actores responsables no es la adecuada para medir el indicador en porcentaje.</t>
    </r>
    <r>
      <rPr>
        <b/>
        <sz val="10"/>
        <color theme="1"/>
        <rFont val="Calibri"/>
        <family val="2"/>
        <scheme val="minor"/>
      </rPr>
      <t xml:space="preserve">
Sena:</t>
    </r>
    <r>
      <rPr>
        <sz val="10"/>
        <color theme="1"/>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color theme="1"/>
        <rFont val="Calibri"/>
        <family val="2"/>
        <scheme val="minor"/>
      </rPr>
      <t xml:space="preserve">Secretaría de Turismo Industria y Comercio: </t>
    </r>
    <r>
      <rPr>
        <sz val="10"/>
        <color theme="1"/>
        <rFont val="Calibri"/>
        <family val="2"/>
        <scheme val="minor"/>
      </rPr>
      <t xml:space="preserve">En abril de 2024 se programa una Feria artesanal en el Centro de Convenciones con una participación importante de 2 personas de etnia Indígena perteneciente a clasificación de Juventud (23 y 24 años) 
* Actividad realizada sobre Oferta de servicio de datafonos gratuitos y la ruta CINNE en feria
de servicios NARP en la tebaida, Quindío con la participación de 13 personas. Acta 286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1
</t>
    </r>
    <r>
      <rPr>
        <b/>
        <sz val="10"/>
        <color theme="1"/>
        <rFont val="Calibri"/>
        <family val="2"/>
        <scheme val="minor"/>
      </rPr>
      <t>Universidad San Buenaventura:</t>
    </r>
    <r>
      <rPr>
        <sz val="10"/>
        <color theme="1"/>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color theme="1"/>
        <rFont val="Calibri"/>
        <family val="2"/>
        <scheme val="minor"/>
      </rPr>
      <t>Universidad Vom Humbolt:</t>
    </r>
    <r>
      <rPr>
        <sz val="10"/>
        <color theme="1"/>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color theme="1"/>
        <rFont val="Calibri"/>
        <family val="2"/>
        <scheme val="minor"/>
      </rPr>
      <t xml:space="preserve">Universidad La Gran Colombia: </t>
    </r>
    <r>
      <rPr>
        <sz val="10"/>
        <color theme="1"/>
        <rFont val="Calibri"/>
        <family val="2"/>
        <scheme val="minor"/>
      </rPr>
      <t xml:space="preserve">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más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No hay actividades planeadas sobre el tema para mención para este periodo de tiempo.
</t>
    </r>
  </si>
  <si>
    <r>
      <rPr>
        <sz val="10"/>
        <color theme="1"/>
        <rFont val="Calibri"/>
        <family val="2"/>
        <scheme val="minor"/>
      </rPr>
      <t xml:space="preserve">
</t>
    </r>
    <r>
      <rPr>
        <b/>
        <sz val="10"/>
        <color theme="1"/>
        <rFont val="Calibri"/>
        <family val="2"/>
        <scheme val="minor"/>
      </rPr>
      <t xml:space="preserve">Secretaría de Turismo Industria y Comercio: </t>
    </r>
    <r>
      <rPr>
        <sz val="10"/>
        <color theme="1"/>
        <rFont val="Calibri"/>
        <family val="2"/>
        <scheme val="minor"/>
      </rPr>
      <t xml:space="preserve">
En mayo de  2024 se realizó el segunda reunión de la RED REGIONAL DE EMPRENDIMIENTO DEL QUINDÍO en las instalaciones del Centro de Innovación de emprendimiento del Quindío se convocaron  los Participantes que deben estar en la red regional según la ordenanza, en la cual se encuentra un representante del Consejo Departamental de Juventud, el cual no asistió  a la reunión.</t>
    </r>
  </si>
  <si>
    <r>
      <t xml:space="preserve">Secretaria de Turismo, Industria y Comercio: 
</t>
    </r>
    <r>
      <rPr>
        <sz val="10"/>
        <color theme="1"/>
        <rFont val="Calibri"/>
        <family val="2"/>
        <scheme val="minor"/>
      </rPr>
      <t xml:space="preserve">*Se hacen acercamientos con diferentes Alcaldías con el fin de caracterizar las empresas de Turismo y aventura y con esto conseguir brindar apoyo y fortalecer las empresas que actualmente están operando, darles valor y resaltarlas y visibilizarlas a nivel nacional e internacional.  Acompañar a los nuevos emprendimientos y realizar asistencias técnicas. Socializar las buenas prácticas y el impacto medio ambiental. 
*En el municipio de Montenegro se llevó a cabo una asistencia técnica relacionada con la marca Quindío y promoción del destino así como estrategias de mercadeo y difusión de negocios del sector, donde participaron 26 empresarios de los cuales 8 hacen parte de esta política.  
</t>
    </r>
    <r>
      <rPr>
        <b/>
        <sz val="10"/>
        <color theme="1"/>
        <rFont val="Calibri"/>
        <family val="2"/>
        <scheme val="minor"/>
      </rPr>
      <t xml:space="preserve">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Alcaldía de Córdoba:</t>
    </r>
    <r>
      <rPr>
        <sz val="10"/>
        <color theme="1"/>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color theme="1"/>
        <rFont val="Calibri"/>
        <family val="2"/>
        <scheme val="minor"/>
      </rPr>
      <t>Alcaldía de Calarcá:</t>
    </r>
    <r>
      <rPr>
        <sz val="10"/>
        <color theme="1"/>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Alcaldía Buenavista:</t>
    </r>
    <r>
      <rPr>
        <sz val="10"/>
        <color theme="1"/>
        <rFont val="Calibri"/>
        <family val="2"/>
        <scheme val="minor"/>
      </rPr>
      <t xml:space="preserve"> no tiene reportes a la fecha.
</t>
    </r>
    <r>
      <rPr>
        <b/>
        <sz val="10"/>
        <color theme="1"/>
        <rFont val="Calibri"/>
        <family val="2"/>
        <scheme val="minor"/>
      </rPr>
      <t>Alcaldía Quimbaya:</t>
    </r>
    <r>
      <rPr>
        <sz val="10"/>
        <color theme="1"/>
        <rFont val="Calibri"/>
        <family val="2"/>
        <scheme val="minor"/>
      </rPr>
      <t xml:space="preserve"> Esta meta no se encuentra programada para ser ejecutada durante el presente trimestre
</t>
    </r>
    <r>
      <rPr>
        <b/>
        <sz val="10"/>
        <color theme="1"/>
        <rFont val="Calibri"/>
        <family val="2"/>
        <scheme val="minor"/>
      </rPr>
      <t xml:space="preserve">Alcaldia Armenia: </t>
    </r>
    <r>
      <rPr>
        <sz val="10"/>
        <color theme="1"/>
        <rFont val="Calibri"/>
        <family val="2"/>
        <scheme val="minor"/>
      </rPr>
      <t xml:space="preserve">DESARROLLO ECONOMICO NO REPORTA INFORMACION.
</t>
    </r>
    <r>
      <rPr>
        <b/>
        <sz val="10"/>
        <color theme="1"/>
        <rFont val="Calibri"/>
        <family val="2"/>
        <scheme val="minor"/>
      </rPr>
      <t>Alcaldia Montenegro:</t>
    </r>
    <r>
      <rPr>
        <sz val="10"/>
        <color theme="1"/>
        <rFont val="Calibri"/>
        <family val="2"/>
        <scheme val="minor"/>
      </rPr>
      <t xml:space="preserve"> Vinculación de los Jóvenes en actividades pedagógicas para fomentar el cuidado del medio ambiente.
</t>
    </r>
    <r>
      <rPr>
        <b/>
        <sz val="10"/>
        <color theme="1"/>
        <rFont val="Calibri"/>
        <family val="2"/>
        <scheme val="minor"/>
      </rPr>
      <t xml:space="preserve">Secretaria de Cultura: </t>
    </r>
    <r>
      <rPr>
        <sz val="10"/>
        <color theme="1"/>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color theme="1"/>
        <rFont val="Calibri"/>
        <family val="2"/>
        <scheme val="minor"/>
      </rPr>
      <t>Alcaldía de Salento</t>
    </r>
    <r>
      <rPr>
        <sz val="10"/>
        <color theme="1"/>
        <rFont val="Calibri"/>
        <family val="2"/>
        <scheme val="minor"/>
      </rPr>
      <t xml:space="preserve">: No se ha realizado ningún tipo de actividad, ya que se debía esperar el nuevo plan de desarrollo.
</t>
    </r>
    <r>
      <rPr>
        <b/>
        <sz val="10"/>
        <color theme="1"/>
        <rFont val="Calibri"/>
        <family val="2"/>
        <scheme val="minor"/>
      </rPr>
      <t>Alcaldia Géenova:</t>
    </r>
    <r>
      <rPr>
        <sz val="10"/>
        <color theme="1"/>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color theme="1"/>
        <rFont val="Calibri"/>
        <family val="2"/>
        <scheme val="minor"/>
      </rPr>
      <t xml:space="preserve">
</t>
    </r>
  </si>
  <si>
    <r>
      <rPr>
        <b/>
        <sz val="10"/>
        <color theme="1"/>
        <rFont val="Calibri"/>
        <family val="2"/>
        <scheme val="minor"/>
      </rPr>
      <t xml:space="preserve">Observación: </t>
    </r>
    <r>
      <rPr>
        <sz val="10"/>
        <color theme="1"/>
        <rFont val="Calibri"/>
        <family val="2"/>
        <scheme val="minor"/>
      </rPr>
      <t xml:space="preserve">SEGÚN REPORTE DE SEC. EDUCACIÓN, oferta a la fecha 7 metodologias flexibles así: * Acelaración del Aprendizaje  * Escuela Nueva  * Media Rural  * Pensar  * Post Primaria  * Programa para Jóvenes  * Tejiendo Saberes.
</t>
    </r>
    <r>
      <rPr>
        <b/>
        <sz val="10"/>
        <color theme="1"/>
        <rFont val="Calibri"/>
        <family val="2"/>
        <scheme val="minor"/>
      </rPr>
      <t>Alcaldia Buenavista:</t>
    </r>
    <r>
      <rPr>
        <sz val="10"/>
        <color theme="1"/>
        <rFont val="Calibri"/>
        <family val="2"/>
        <scheme val="minor"/>
      </rPr>
      <t xml:space="preserve"> desde la institución educativa se cuenta con un programa de estudio los días sabados que permite a los jovenes con extra edad, terminar su bachillerato.
</t>
    </r>
    <r>
      <rPr>
        <b/>
        <sz val="10"/>
        <color theme="1"/>
        <rFont val="Calibri"/>
        <family val="2"/>
        <scheme val="minor"/>
      </rPr>
      <t>Alcaldía de Pijao:</t>
    </r>
    <r>
      <rPr>
        <sz val="10"/>
        <color theme="1"/>
        <rFont val="Calibri"/>
        <family val="2"/>
        <scheme val="minor"/>
      </rPr>
      <t xml:space="preserve"> no cuenta con metodologias flexibles implementadas
</t>
    </r>
    <r>
      <rPr>
        <b/>
        <sz val="10"/>
        <color theme="1"/>
        <rFont val="Calibri"/>
        <family val="2"/>
        <scheme val="minor"/>
      </rPr>
      <t xml:space="preserve">Alcaldía Armenia: </t>
    </r>
    <r>
      <rPr>
        <sz val="10"/>
        <color theme="1"/>
        <rFont val="Calibri"/>
        <family val="2"/>
        <scheme val="minor"/>
      </rPr>
      <t xml:space="preserve">731 jóvenes y adultos atendido a través de modelo flexibles.
</t>
    </r>
    <r>
      <rPr>
        <b/>
        <sz val="10"/>
        <color theme="1"/>
        <rFont val="Calibri"/>
        <family val="2"/>
        <scheme val="minor"/>
      </rPr>
      <t>Alcaldia Cordoba: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t>
    </r>
  </si>
  <si>
    <r>
      <rPr>
        <b/>
        <sz val="10"/>
        <color theme="1"/>
        <rFont val="Calibri"/>
        <family val="2"/>
        <scheme val="minor"/>
      </rPr>
      <t>Observación:</t>
    </r>
    <r>
      <rPr>
        <sz val="10"/>
        <color theme="1"/>
        <rFont val="Calibri"/>
        <family val="2"/>
        <scheme val="minor"/>
      </rPr>
      <t xml:space="preserve"> Lo que reporta la Secretaría  de Cultura no es insumo para reportar avance del indicador planteado</t>
    </r>
    <r>
      <rPr>
        <b/>
        <sz val="10"/>
        <color theme="1"/>
        <rFont val="Calibri"/>
        <family val="2"/>
        <scheme val="minor"/>
      </rPr>
      <t xml:space="preserve">
Secretaría de Cultura:</t>
    </r>
    <r>
      <rPr>
        <sz val="10"/>
        <color theme="1"/>
        <rFont val="Calibri"/>
        <family val="2"/>
        <scheme val="minor"/>
      </rPr>
      <t xml:space="preserve"> 
La secretaria   está desarrollando los consejos descentralizados de cultura en los diferentes municipios del Quindío, en el que cada Director de casa de la cultura organiza la presentación de eventos artísticos en su localidad, y son puestos en escena en diferentes lugares del municipio, el que ha tenido buena participación Juvenil en géneros con eventos de chirimía, bailes de danza folclórica, hip hop y coros. A la fecha se han realizado en 6 municipios Salento, Filandia, Calarcá, Quimbaya, La Tebaida y Circasia contando con una participación juvenil en 7 producciones artísticas.</t>
    </r>
  </si>
  <si>
    <r>
      <rPr>
        <b/>
        <sz val="10"/>
        <color theme="1"/>
        <rFont val="Calibri"/>
        <family val="2"/>
        <scheme val="minor"/>
      </rPr>
      <t>Observacion</t>
    </r>
    <r>
      <rPr>
        <sz val="10"/>
        <color theme="1"/>
        <rFont val="Calibri"/>
        <family val="2"/>
        <scheme val="minor"/>
      </rPr>
      <t xml:space="preserve">: Lo que reporta la Secretaría  de Cultura no es insumo para reportar avance del indicador planteado
</t>
    </r>
    <r>
      <rPr>
        <b/>
        <sz val="10"/>
        <color theme="1"/>
        <rFont val="Calibri"/>
        <family val="2"/>
        <scheme val="minor"/>
      </rPr>
      <t xml:space="preserve">Secretaría de Cultura: </t>
    </r>
    <r>
      <rPr>
        <sz val="10"/>
        <color theme="1"/>
        <rFont val="Calibri"/>
        <family val="2"/>
        <scheme val="minor"/>
      </rPr>
      <t>se dio  apertura a las convocatorias de concertación resolución 1831/ 21 de marzo y estímulos resolución 1832/ 21 de marzo de 2024,  las que permiten  otorgar  estímulos a los jóvenes creadores y potencializar  sus conocimientos y  talentos en diferentes áreas artísticas, a la fecha la  convocatoria de concertacion  y  estimulos se encuentran en el proceso de evaluacion de contenido de propuestas por parte del jurado evaluador.</t>
    </r>
  </si>
  <si>
    <r>
      <t xml:space="preserve">Secretaría de Familia: </t>
    </r>
    <r>
      <rPr>
        <sz val="10"/>
        <color theme="1"/>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todos cuentan con los espacios que conforman el sistema municipal de juventud, operando.</t>
    </r>
    <r>
      <rPr>
        <b/>
        <sz val="10"/>
        <color theme="1"/>
        <rFont val="Calibri"/>
        <family val="2"/>
        <scheme val="minor"/>
      </rPr>
      <t xml:space="preserve">
Alcaldía de Armenia:</t>
    </r>
    <r>
      <rPr>
        <sz val="10"/>
        <color theme="1"/>
        <rFont val="Calibri"/>
        <family val="2"/>
        <scheme val="minor"/>
      </rPr>
      <t xml:space="preserve"> Mediante el decreto 349 del 09 de noviembre de 2020,  se crea el sistema municipal de juventud, se realizan cuatro reuniones al año </t>
    </r>
    <r>
      <rPr>
        <b/>
        <sz val="10"/>
        <color theme="1"/>
        <rFont val="Calibri"/>
        <family val="2"/>
        <scheme val="minor"/>
      </rPr>
      <t xml:space="preserve">
Alcaldía de Circasia: </t>
    </r>
    <r>
      <rPr>
        <sz val="10"/>
        <color theme="1"/>
        <rFont val="Calibri"/>
        <family val="2"/>
        <scheme val="minor"/>
      </rPr>
      <t>Actualmente el municipio de Circasia cuenta con Consejo Municipal de Juventud y  Plataforma Municipal de Juventudes.</t>
    </r>
    <r>
      <rPr>
        <b/>
        <sz val="10"/>
        <color theme="1"/>
        <rFont val="Calibri"/>
        <family val="2"/>
        <scheme val="minor"/>
      </rPr>
      <t xml:space="preserve">
Alcaldía Quimbaya: </t>
    </r>
    <r>
      <rPr>
        <sz val="10"/>
        <color theme="1"/>
        <rFont val="Calibri"/>
        <family val="2"/>
        <scheme val="minor"/>
      </rPr>
      <t>El municipio de Quimbaya durante el trimestre aportó la información de los delegados departamentales a la plataforma y al consejo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r>
      <rPr>
        <b/>
        <sz val="10"/>
        <color theme="1"/>
        <rFont val="Calibri"/>
        <family val="2"/>
        <scheme val="minor"/>
      </rPr>
      <t>Alcaldiía Córdoba:</t>
    </r>
    <r>
      <rPr>
        <sz val="10"/>
        <color theme="1"/>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color theme="1"/>
        <rFont val="Calibri"/>
        <family val="2"/>
        <scheme val="minor"/>
      </rPr>
      <t xml:space="preserve">Alcaldia Buenavista: </t>
    </r>
    <r>
      <rPr>
        <sz val="10"/>
        <color theme="1"/>
        <rFont val="Calibri"/>
        <family val="2"/>
        <scheme val="minor"/>
      </rPr>
      <t xml:space="preserve"> Cuenta con los delegados a la diferentes instancias que conforman el Sistema de Juventud.
</t>
    </r>
    <r>
      <rPr>
        <b/>
        <sz val="10"/>
        <color theme="1"/>
        <rFont val="Calibri"/>
        <family val="2"/>
        <scheme val="minor"/>
      </rPr>
      <t xml:space="preserve">Alcaldia Montenegro: </t>
    </r>
    <r>
      <rPr>
        <sz val="10"/>
        <color theme="1"/>
        <rFont val="Calibri"/>
        <family val="2"/>
        <scheme val="minor"/>
      </rPr>
      <t>Al</t>
    </r>
    <r>
      <rPr>
        <b/>
        <sz val="10"/>
        <color theme="1"/>
        <rFont val="Calibri"/>
        <family val="2"/>
        <scheme val="minor"/>
      </rPr>
      <t xml:space="preserve"> </t>
    </r>
    <r>
      <rPr>
        <sz val="10"/>
        <color theme="1"/>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color theme="1"/>
        <rFont val="Calibri"/>
        <family val="2"/>
        <scheme val="minor"/>
      </rPr>
      <t xml:space="preserve">Alcadia Calarcá: </t>
    </r>
    <r>
      <rPr>
        <sz val="10"/>
        <color theme="1"/>
        <rFont val="Calibri"/>
        <family val="2"/>
        <scheme val="minor"/>
      </rPr>
      <t>se cuenta con plataforma municipal de juventudes y consejo municipal de juventudes los cuales sesionan 1 vez al mes</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</si>
  <si>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 xml:space="preserve">Observación: </t>
    </r>
    <r>
      <rPr>
        <sz val="10"/>
        <color theme="1"/>
        <rFont val="Calibri"/>
        <family val="2"/>
        <scheme val="minor"/>
      </rPr>
      <t xml:space="preserve">La suma hasta el 2do trimestre 2024, en cuanto a No de Jóvenes vinculados a proyectos innovadores y de emprendimiento es de 275, durante la vigencia de la política hasta el momento, según los reportes realizados por los actores responsables.
</t>
    </r>
    <r>
      <rPr>
        <b/>
        <sz val="10"/>
        <color theme="1"/>
        <rFont val="Calibri"/>
        <family val="2"/>
        <scheme val="minor"/>
      </rPr>
      <t>Secretaría de Turismo, Industri y Comercio:</t>
    </r>
    <r>
      <rPr>
        <sz val="10"/>
        <color theme="1"/>
        <rFont val="Calibri"/>
        <family val="2"/>
        <scheme val="minor"/>
      </rPr>
      <t xml:space="preserve"> En el segundo trimestre del 2024, continuando con la ruta de atencion del Centro de Innovación y Emprendimiento del Quindio CINNE, se pudo evidenciar que fueron realizadas  275 inscripciones y  la participación por parte de  jóvenes alcanzó el 3,6% osea 10 jóvenes, continuando con el proceso han participado en unos ciclos de talleres para conseguir un diagnóstico del perfil y modelo de negocios, conllevando con esto poder obtener la  Pre selección de emprendedores los cuales ya  pasan a consultoría especializada.
</t>
    </r>
    <r>
      <rPr>
        <b/>
        <sz val="10"/>
        <color theme="1"/>
        <rFont val="Calibri"/>
        <family val="2"/>
        <scheme val="minor"/>
      </rPr>
      <t>Universidad EAM:</t>
    </r>
    <r>
      <rPr>
        <sz val="10"/>
        <color theme="1"/>
        <rFont val="Calibri"/>
        <family val="2"/>
        <scheme val="minor"/>
      </rPr>
      <t xml:space="preserve"> 21 estudiantes con 11 proyectos de creación de empresa y/o empresa creada. 9 estudiantes con producto minimo viable PMV y 12 en proceso (opción de grado programas de pregrado).
6  graduados con empresa creada en acompañamiento con 3 emprendimientos.
</t>
    </r>
    <r>
      <rPr>
        <b/>
        <sz val="10"/>
        <color theme="1"/>
        <rFont val="Calibri"/>
        <family val="2"/>
        <scheme val="minor"/>
      </rPr>
      <t>Universidad la Gran Colombia</t>
    </r>
    <r>
      <rPr>
        <sz val="10"/>
        <color theme="1"/>
        <rFont val="Calibri"/>
        <family val="2"/>
        <scheme val="minor"/>
      </rPr>
      <t xml:space="preserve">: En el marco del semillero de emprendimiento 2024 se realiza mentoría a 60 propuestas de negocio en etapa de validación. Este es un proyecto que se realiza durante todo el año 2024
Desde el Centro de Desarrollo Empresarial de la Facultad de Ciencias Económicas y Empresariales se encuentran vinculados 5 estudiantes en opción de grado "Creación de Empresa", estado: en curso.  A la par, la Dirección de Extensión y Proyección Social, la Facultad de Ciencias Económicas Empresariales y el Centro de Desarrollo Empresarial trabajan en alianza con la Universidad del Quindío y Quindío Solidario para elaborar el Plan de Acción para la Asociación de Artesanos Arte Corazón, buscando establecer alianzas entre las diversas instituciones para ejecutar y hacer seguimiento al plan, lo que le permite a la asociación fortalecer su institucionalidad, posicionarse en el mercado y emplear a mujeres en condiciones de vulnerabilidad.
</t>
    </r>
    <r>
      <rPr>
        <b/>
        <sz val="10"/>
        <color theme="1"/>
        <rFont val="Calibri"/>
        <family val="2"/>
        <scheme val="minor"/>
      </rPr>
      <t>Alcaldía Salento:</t>
    </r>
    <r>
      <rPr>
        <sz val="10"/>
        <color theme="1"/>
        <rFont val="Calibri"/>
        <family val="2"/>
        <scheme val="minor"/>
      </rPr>
      <t xml:space="preserve"> no hay ningún jóven vinculado a proyectos innovadores de emprendimiento.
</t>
    </r>
    <r>
      <rPr>
        <b/>
        <sz val="10"/>
        <color theme="1"/>
        <rFont val="Calibri"/>
        <family val="2"/>
        <scheme val="minor"/>
      </rPr>
      <t>Alcaldía Montenegro:</t>
    </r>
    <r>
      <rPr>
        <sz val="10"/>
        <color theme="1"/>
        <rFont val="Calibri"/>
        <family val="2"/>
        <scheme val="minor"/>
      </rPr>
      <t xml:space="preserve"> Se caracterizó el grupo de emprendimiento juvenil para avanzar en las propuesta del Trabajo y el Desarrollo Humano en el Municipio de Montenegro Quindio.  
</t>
    </r>
  </si>
  <si>
    <r>
      <t xml:space="preserve">
</t>
    </r>
    <r>
      <rPr>
        <b/>
        <sz val="10"/>
        <color theme="1"/>
        <rFont val="Calibri"/>
        <family val="2"/>
        <scheme val="minor"/>
      </rPr>
      <t>SENA</t>
    </r>
    <r>
      <rPr>
        <sz val="10"/>
        <color theme="1"/>
        <rFont val="Calibri"/>
        <family val="2"/>
        <scheme val="minor"/>
      </rPr>
      <t xml:space="preserve">: En el segundo trimestre 2024, Se realizó orientación ocupacional a 4440 jóvenes a través de la Agencia Pública de Empleo. De los cuales 959 jóvenes quedaron vinculados en las diferentes ofertas laborales.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</si>
  <si>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17,1%, según el DANE en su último informe en el mes de octubre de 2024.
</t>
    </r>
    <r>
      <rPr>
        <b/>
        <sz val="10"/>
        <color theme="1"/>
        <rFont val="Calibri"/>
        <family val="2"/>
        <scheme val="minor"/>
      </rPr>
      <t>Secretaría de Agricultura:</t>
    </r>
    <r>
      <rPr>
        <sz val="10"/>
        <color theme="1"/>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color theme="1"/>
        <rFont val="Calibri"/>
        <family val="2"/>
        <scheme val="minor"/>
      </rPr>
      <t xml:space="preserve">Alcaldía de Circasia: </t>
    </r>
    <r>
      <rPr>
        <sz val="10"/>
        <color theme="1"/>
        <rFont val="Calibri"/>
        <family val="2"/>
        <scheme val="minor"/>
      </rPr>
      <t xml:space="preserve">Se ha realizado oferta de empleo en el municipio en tres ocasiones / Comfenalco / Ofertas institucionales de formación.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Secretaría Turismo, Industria y Comercio:</t>
    </r>
    <r>
      <rPr>
        <sz val="10"/>
        <color theme="1"/>
        <rFont val="Calibri"/>
        <family val="2"/>
        <scheme val="minor"/>
      </rPr>
      <t xml:space="preserve"> De acuerdo a los indicadores programados para el nuevo Plan de de desarrollo 2024-2027 (a la espera de aprobación por parte de la Asamblea Departamental del Quindío). La Secretaría contará  con un sector llamado Ciencia, Tecnología e Innovación y así mismo con programa y metas producto asociados a este tema.
Por tal motivo, una vez quede aprobado el nuevo Plan de desarrollo se incluirá la acción recomenda en el Plan de acción y se apropiarán los recursos en el plan indicativo respectivo.
</t>
    </r>
    <r>
      <rPr>
        <b/>
        <sz val="10"/>
        <color theme="1"/>
        <rFont val="Calibri"/>
        <family val="2"/>
        <scheme val="minor"/>
      </rPr>
      <t xml:space="preserve">Alcaldía Salento: </t>
    </r>
    <r>
      <rPr>
        <sz val="10"/>
        <color theme="1"/>
        <rFont val="Calibri"/>
        <family val="2"/>
        <scheme val="minor"/>
      </rPr>
      <t xml:space="preserve">Actividades desarrolladas por parte del programa Cátedra de la Salentinidad hacia las instituciones educativas (Capacitacion docentes y dotación material pedagógico)
</t>
    </r>
    <r>
      <rPr>
        <b/>
        <sz val="10"/>
        <color theme="1"/>
        <rFont val="Calibri"/>
        <family val="2"/>
        <scheme val="minor"/>
      </rPr>
      <t>Alcaldía Córdoba:</t>
    </r>
    <r>
      <rPr>
        <sz val="10"/>
        <color theme="1"/>
        <rFont val="Calibri"/>
        <family val="2"/>
        <scheme val="minor"/>
      </rPr>
      <t xml:space="preserve"> Actualmente el municipio no cuenta con tasa de desempleo juvenil  
</t>
    </r>
    <r>
      <rPr>
        <b/>
        <sz val="10"/>
        <color theme="1"/>
        <rFont val="Calibri"/>
        <family val="2"/>
        <scheme val="minor"/>
      </rPr>
      <t>Alcaldía Armenia:</t>
    </r>
    <r>
      <rPr>
        <sz val="10"/>
        <color theme="1"/>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color theme="1"/>
        <rFont val="Calibri"/>
        <family val="2"/>
        <scheme val="minor"/>
      </rPr>
      <t xml:space="preserve">Alcaldía Buenavista: </t>
    </r>
    <r>
      <rPr>
        <sz val="10"/>
        <color theme="1"/>
        <rFont val="Calibri"/>
        <family val="2"/>
        <scheme val="minor"/>
      </rPr>
      <t xml:space="preserve">se realizó por medio de la agencia de empleo de confenalco Quindio, una jornada de asistencia en el municipio, dirigida a toda la comunidad.
</t>
    </r>
    <r>
      <rPr>
        <b/>
        <sz val="10"/>
        <color theme="1"/>
        <rFont val="Calibri"/>
        <family val="2"/>
        <scheme val="minor"/>
      </rPr>
      <t xml:space="preserve">Alcaldia Calarca: </t>
    </r>
    <r>
      <rPr>
        <sz val="10"/>
        <color theme="1"/>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color theme="1"/>
        <rFont val="Calibri"/>
        <family val="2"/>
        <scheme val="minor"/>
      </rPr>
      <t>Alcaldia Quimbaya:</t>
    </r>
    <r>
      <rPr>
        <sz val="10"/>
        <color theme="1"/>
        <rFont val="Calibri"/>
        <family val="2"/>
        <scheme val="minor"/>
      </rPr>
      <t xml:space="preserve"> El municipio no cuenta con esta informacion estadistica</t>
    </r>
    <r>
      <rPr>
        <b/>
        <sz val="10"/>
        <color theme="1"/>
        <rFont val="Calibri"/>
        <family val="2"/>
        <scheme val="minor"/>
      </rPr>
      <t xml:space="preserve">
Alcaldía Montenegro: </t>
    </r>
    <r>
      <rPr>
        <sz val="10"/>
        <color theme="1"/>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color theme="1"/>
        <rFont val="Calibri"/>
        <family val="2"/>
        <scheme val="minor"/>
      </rPr>
      <t xml:space="preserve">Alcaldía Pijao: </t>
    </r>
    <r>
      <rPr>
        <sz val="10"/>
        <color theme="1"/>
        <rFont val="Calibri"/>
        <family val="2"/>
        <scheme val="minor"/>
      </rPr>
      <t xml:space="preserve">convocatorias y apoyo a empresas, recepción de hojas de vida.
</t>
    </r>
  </si>
  <si>
    <r>
      <rPr>
        <b/>
        <sz val="10"/>
        <color theme="1"/>
        <rFont val="Calibri"/>
        <family val="2"/>
        <scheme val="minor"/>
      </rPr>
      <t>OBSERVACIONES:</t>
    </r>
    <r>
      <rPr>
        <sz val="10"/>
        <color theme="1"/>
        <rFont val="Calibri"/>
        <family val="2"/>
        <scheme val="minor"/>
      </rPr>
      <t xml:space="preserve"> Segun el último  Reporte de la Gran Encuesta Integrada de Hogares-DANE correspondiente al año (2021); La tasa de trabajo infantil es del 3 % y la tasa de trabajo infantil ampliado es del 5,3 %, no se encuentran más datos al respecto.
</t>
    </r>
    <r>
      <rPr>
        <b/>
        <sz val="10"/>
        <color theme="1"/>
        <rFont val="Calibri"/>
        <family val="2"/>
        <scheme val="minor"/>
      </rPr>
      <t xml:space="preserve">Secretaría de Familia: </t>
    </r>
    <r>
      <rPr>
        <sz val="10"/>
        <color theme="1"/>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color theme="1"/>
        <rFont val="Calibri"/>
        <family val="2"/>
        <scheme val="minor"/>
      </rPr>
      <t xml:space="preserve">Secretaría de Agricultura: </t>
    </r>
    <r>
      <rPr>
        <sz val="10"/>
        <color theme="1"/>
        <rFont val="Calibri"/>
        <family val="2"/>
        <scheme val="minor"/>
      </rPr>
      <t xml:space="preserve">Se tiene proyectado la inclusión de este indicador para el Plan de Desarrollo Departamental 2024 -2027, puesto que las vigencias anteriores no tuvieron destinación de recursos, para atender a este tipo de población.
</t>
    </r>
    <r>
      <rPr>
        <b/>
        <sz val="10"/>
        <color theme="1"/>
        <rFont val="Calibri"/>
        <family val="2"/>
        <scheme val="minor"/>
      </rPr>
      <t>Alcaldía de Circasia:</t>
    </r>
    <r>
      <rPr>
        <sz val="10"/>
        <color theme="1"/>
        <rFont val="Calibri"/>
        <family val="2"/>
        <scheme val="minor"/>
      </rPr>
      <t xml:space="preserve"> Se desarrolla el comité del CIETI socializando sobre el tema del trabajo infantil y alerta temprana 001. Además la incidencia del trabajo infantil se encuentra en cero. El municipio ha adelantado acciones para erradicar este tipo de situaciones. Visitas aleatorias a establecimientos de comercio. </t>
    </r>
    <r>
      <rPr>
        <b/>
        <sz val="10"/>
        <color theme="1"/>
        <rFont val="Calibri"/>
        <family val="2"/>
        <scheme val="minor"/>
      </rPr>
      <t xml:space="preserve">
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r>
      <rPr>
        <b/>
        <sz val="10"/>
        <color theme="1"/>
        <rFont val="Calibri"/>
        <family val="2"/>
        <scheme val="minor"/>
      </rPr>
      <t>Alcaldía Quimbaya:</t>
    </r>
    <r>
      <rPr>
        <sz val="10"/>
        <color theme="1"/>
        <rFont val="Calibri"/>
        <family val="2"/>
        <scheme val="minor"/>
      </rPr>
      <t xml:space="preserve"> El municipio no cuenta con esta información en tasa. 
</t>
    </r>
    <r>
      <rPr>
        <b/>
        <sz val="10"/>
        <color theme="1"/>
        <rFont val="Calibri"/>
        <family val="2"/>
        <scheme val="minor"/>
      </rPr>
      <t>Alcaldía Buenavista:</t>
    </r>
    <r>
      <rPr>
        <sz val="10"/>
        <color theme="1"/>
        <rFont val="Calibri"/>
        <family val="2"/>
        <scheme val="minor"/>
      </rPr>
      <t xml:space="preserve"> No cuenta con reportes de trabajo infantil, no obstante se realizan campañas para prevenir esta problemática.
</t>
    </r>
    <r>
      <rPr>
        <b/>
        <sz val="10"/>
        <color theme="1"/>
        <rFont val="Calibri"/>
        <family val="2"/>
        <scheme val="minor"/>
      </rPr>
      <t xml:space="preserve">Alcaldía Montenegro: </t>
    </r>
    <r>
      <rPr>
        <sz val="10"/>
        <color theme="1"/>
        <rFont val="Calibri"/>
        <family val="2"/>
        <scheme val="minor"/>
      </rPr>
      <t xml:space="preserve">Campañas en las instituciones educativas y en la poblacion en general con el fin de disminuir la taza de trabajo infantil.
</t>
    </r>
    <r>
      <rPr>
        <b/>
        <sz val="10"/>
        <color theme="1"/>
        <rFont val="Calibri"/>
        <family val="2"/>
        <scheme val="minor"/>
      </rPr>
      <t xml:space="preserve">Alcaldía Salento: </t>
    </r>
    <r>
      <rPr>
        <sz val="10"/>
        <color theme="1"/>
        <rFont val="Calibri"/>
        <family val="2"/>
        <scheme val="minor"/>
      </rPr>
      <t xml:space="preserve">Campañas de sensibilización entorno a la prevención del trabajo infantil en los establecimientos de servicios turísticos.
</t>
    </r>
    <r>
      <rPr>
        <b/>
        <sz val="10"/>
        <color theme="1"/>
        <rFont val="Calibri"/>
        <family val="2"/>
        <scheme val="minor"/>
      </rPr>
      <t>Alcaldía de Pijao</t>
    </r>
    <r>
      <rPr>
        <sz val="10"/>
        <color theme="1"/>
        <rFont val="Calibri"/>
        <family val="2"/>
        <scheme val="minor"/>
      </rPr>
      <t xml:space="preserve">: Comité de radicación del trabajo infantil implementado  bajo el decreto 021 de 01/08/2016. No se presentan casos.
</t>
    </r>
    <r>
      <rPr>
        <b/>
        <sz val="10"/>
        <color theme="1"/>
        <rFont val="Calibri"/>
        <family val="2"/>
        <scheme val="minor"/>
      </rPr>
      <t>Alcaldia Armenia:</t>
    </r>
    <r>
      <rPr>
        <sz val="10"/>
        <color theme="1"/>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color theme="1"/>
        <rFont val="Calibri"/>
        <family val="2"/>
        <scheme val="minor"/>
      </rPr>
      <t xml:space="preserve">Ministerio del Trabajo: </t>
    </r>
    <r>
      <rPr>
        <sz val="10"/>
        <color theme="1"/>
        <rFont val="Calibri"/>
        <family val="2"/>
        <scheme val="minor"/>
      </rPr>
      <t xml:space="preserve">Reporta Matriz sin información.
</t>
    </r>
    <r>
      <rPr>
        <b/>
        <sz val="10"/>
        <color theme="1"/>
        <rFont val="Calibri"/>
        <family val="2"/>
        <scheme val="minor"/>
      </rPr>
      <t>Alcaldia Calarcá:</t>
    </r>
    <r>
      <rPr>
        <sz val="10"/>
        <color theme="1"/>
        <rFont val="Calibri"/>
        <family val="2"/>
        <scheme val="minor"/>
      </rPr>
      <t xml:space="preserve"> se realizan escuelas de padres en las instituciones educativas del municipio con el fin de implementar estrategias de erradicacion del trabajo infantil.
</t>
    </r>
    <r>
      <rPr>
        <b/>
        <sz val="10"/>
        <color theme="1"/>
        <rFont val="Calibri"/>
        <family val="2"/>
        <scheme val="minor"/>
      </rPr>
      <t>ICBF: *</t>
    </r>
    <r>
      <rPr>
        <sz val="10"/>
        <color theme="1"/>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color theme="1"/>
        <rFont val="Calibri"/>
        <family val="2"/>
        <scheme val="minor"/>
      </rPr>
      <t>Secretaría Turismo, Industria y Comercio:</t>
    </r>
    <r>
      <rPr>
        <sz val="10"/>
        <color theme="1"/>
        <rFont val="Calibri"/>
        <family val="2"/>
        <scheme val="minor"/>
      </rPr>
      <t xml:space="preserve"> *Estructuración y formulación campaña de sensibilización hacia unas prácticas de turismo más
incluyente. (Acta 086)
La secretaria de Turismo Industria y Comercio implementa campañas de sensibilización en ESCNNA y la implementación de la Ley 2137 de 2021 tiene por objeto la creación del Sistema Nacional de Alertas Tempranas para la Prevención de la Violencia Sexual contra los Niños, Niñas y Adolescentes lo cual es el sistema de señales, que facilitan el reconocimiento de situaciones difíciles en la vida de niñas, niños, adolescentes, jóvenes y sus familias.
Se ha atendido 19 jóvenes en cinco (5) Instituciones educativas de tres (3) Municipios del departamento, distribuidos de la siguiente manera:
Montenegro: Instituto Montenegro, IE General Santander.
Calarcá: Institución Educativa Robledo, Institución Educativa Baudilio Montoya  
Armenia: Institución Educativa Camilo Torres.
</t>
    </r>
    <r>
      <rPr>
        <b/>
        <sz val="10"/>
        <color theme="1"/>
        <rFont val="Calibri"/>
        <family val="2"/>
        <scheme val="minor"/>
      </rPr>
      <t xml:space="preserve">Alcaldía de Salento: </t>
    </r>
    <r>
      <rPr>
        <sz val="10"/>
        <color theme="1"/>
        <rFont val="Calibri"/>
        <family val="2"/>
        <scheme val="minor"/>
      </rPr>
      <t>se han desarrollado 4 campañas para la prevención y erradicación del trabajo infantil de niños, niñas y adolescentes informando establecimientos abiertos al público acerca de los requisitos que se deben tener para contratar adolescentes mayores de 15 años ,  y las sanciones que pueden ocasionar cuando se contratan menores de 15 años.</t>
    </r>
  </si>
  <si>
    <r>
      <rPr>
        <b/>
        <sz val="10"/>
        <color theme="1"/>
        <rFont val="Calibri"/>
        <family val="2"/>
        <scheme val="minor"/>
      </rPr>
      <t xml:space="preserve">Secretaría de familia: </t>
    </r>
    <r>
      <rPr>
        <sz val="10"/>
        <color theme="1"/>
        <rFont val="Calibri"/>
        <family val="2"/>
        <scheme val="minor"/>
      </rPr>
      <t xml:space="preserve">La tasa de cobertura básica secundaria reportadda por el ministerio de educación (2022) corresponde al 63,34 %. No se encuentran datos mas actualizados.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Desde las I.E se realiza la oferta a los 11 municipios no certificados y es aprobada por la Secretaria Departamental  y el MEN 
</t>
    </r>
    <r>
      <rPr>
        <b/>
        <sz val="10"/>
        <color theme="1"/>
        <rFont val="Calibri"/>
        <family val="2"/>
        <scheme val="minor"/>
      </rPr>
      <t>Alcaldía Córdoba:</t>
    </r>
    <r>
      <rPr>
        <sz val="10"/>
        <color theme="1"/>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color theme="1"/>
        <rFont val="Calibri"/>
        <family val="2"/>
        <scheme val="minor"/>
      </rPr>
      <t>Alcaldia Armenia:</t>
    </r>
    <r>
      <rPr>
        <sz val="10"/>
        <color theme="1"/>
        <rFont val="Calibri"/>
        <family val="2"/>
        <scheme val="minor"/>
      </rPr>
      <t xml:space="preserve"> instituciones educativas en jornada única (Número de instituciones)14904 niños, niñas, jóvenes y adultos.
</t>
    </r>
    <r>
      <rPr>
        <b/>
        <sz val="10"/>
        <color theme="1"/>
        <rFont val="Calibri"/>
        <family val="2"/>
        <scheme val="minor"/>
      </rPr>
      <t xml:space="preserve">Alcaldía de Salento: </t>
    </r>
    <r>
      <rPr>
        <sz val="10"/>
        <color theme="1"/>
        <rFont val="Calibri"/>
        <family val="2"/>
        <scheme val="minor"/>
      </rPr>
      <t xml:space="preserve">Estudiantes matriculados
</t>
    </r>
    <r>
      <rPr>
        <b/>
        <sz val="10"/>
        <color theme="1"/>
        <rFont val="Calibri"/>
        <family val="2"/>
        <scheme val="minor"/>
      </rPr>
      <t>Alcaldía de Circasia:</t>
    </r>
    <r>
      <rPr>
        <sz val="10"/>
        <color theme="1"/>
        <rFont val="Calibri"/>
        <family val="2"/>
        <scheme val="minor"/>
      </rPr>
      <t xml:space="preserve"> Prestar el servicio de transporte escolar zona rural a zona urbana. </t>
    </r>
  </si>
  <si>
    <r>
      <rPr>
        <b/>
        <sz val="10"/>
        <color theme="1"/>
        <rFont val="Calibri"/>
        <family val="2"/>
        <scheme val="minor"/>
      </rPr>
      <t xml:space="preserve">Secretaría de familia: </t>
    </r>
    <r>
      <rPr>
        <sz val="10"/>
        <color theme="1"/>
        <rFont val="Calibri"/>
        <family val="2"/>
        <scheme val="minor"/>
      </rPr>
      <t>La tasa de cobertura neta media vocacional reportada por el ministerio de educación (2022) corresponde al 63,34 %. No se encuentran datos mas actualizados.</t>
    </r>
    <r>
      <rPr>
        <b/>
        <sz val="10"/>
        <color theme="1"/>
        <rFont val="Calibri"/>
        <family val="2"/>
        <scheme val="minor"/>
      </rPr>
      <t xml:space="preserve">
Alcaldía de Buenavista</t>
    </r>
    <r>
      <rPr>
        <sz val="10"/>
        <color theme="1"/>
        <rFont val="Calibri"/>
        <family val="2"/>
        <scheme val="minor"/>
      </rPr>
      <t xml:space="preserve">: Cuenta con la cobertura integral en básica secundaria, no tenemos reportes de jóvenes que esten desescolarizados.
</t>
    </r>
    <r>
      <rPr>
        <b/>
        <sz val="10"/>
        <color theme="1"/>
        <rFont val="Calibri"/>
        <family val="2"/>
        <scheme val="minor"/>
      </rPr>
      <t xml:space="preserve">Secretaría de Educación: </t>
    </r>
    <r>
      <rPr>
        <sz val="10"/>
        <color theme="1"/>
        <rFont val="Calibri"/>
        <family val="2"/>
        <scheme val="minor"/>
      </rPr>
      <t xml:space="preserve">Durante este trimeste la profesional de área continúa  realizando actividades relacionadas con Oferta de Grados para media  a través de la plataforma Simat.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Alcaldía de Circasia:</t>
    </r>
    <r>
      <rPr>
        <sz val="10"/>
        <color theme="1"/>
        <rFont val="Calibri"/>
        <family val="2"/>
        <scheme val="minor"/>
      </rPr>
      <t xml:space="preserve"> Pagos de servicios públicos a todas las instituciones educativas del municipio.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color theme="1"/>
        <rFont val="Calibri"/>
        <family val="2"/>
        <scheme val="minor"/>
      </rPr>
      <t xml:space="preserve">Alcaldía de Armenia: </t>
    </r>
    <r>
      <rPr>
        <sz val="10"/>
        <color theme="1"/>
        <rFont val="Calibri"/>
        <family val="2"/>
        <scheme val="minor"/>
      </rPr>
      <t xml:space="preserve">INúmero de Instituciones educativas vinculadas al proyecto de TECNOACADEMIA 12 I.E  36500 niños, niñas, jóvenes y adultos.
</t>
    </r>
    <r>
      <rPr>
        <b/>
        <sz val="10"/>
        <color theme="1"/>
        <rFont val="Calibri"/>
        <family val="2"/>
        <scheme val="minor"/>
      </rPr>
      <t>Alcaldía Filandia:</t>
    </r>
    <r>
      <rPr>
        <sz val="10"/>
        <color theme="1"/>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color theme="1"/>
        <rFont val="Calibri"/>
        <family val="2"/>
        <scheme val="minor"/>
      </rPr>
      <t>Alcaldía de Calarcá:</t>
    </r>
    <r>
      <rPr>
        <sz val="10"/>
        <color theme="1"/>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</si>
  <si>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color theme="1"/>
        <rFont val="Calibri"/>
        <family val="2"/>
        <scheme val="minor"/>
      </rPr>
      <t xml:space="preserve">Secretaría de Familia: </t>
    </r>
    <r>
      <rPr>
        <sz val="10"/>
        <color theme="1"/>
        <rFont val="Calibri"/>
        <family val="2"/>
        <scheme val="minor"/>
      </rPr>
      <t xml:space="preserve">el número de embarazos en menores de 20 años es de 318 según fuente de verificación. 
</t>
    </r>
    <r>
      <rPr>
        <b/>
        <sz val="10"/>
        <color theme="1"/>
        <rFont val="Calibri"/>
        <family val="2"/>
        <scheme val="minor"/>
      </rPr>
      <t xml:space="preserve">Secretaría de Salud: </t>
    </r>
    <r>
      <rPr>
        <sz val="10"/>
        <color theme="1"/>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color theme="1"/>
        <rFont val="Calibri"/>
        <family val="2"/>
        <scheme val="minor"/>
      </rPr>
      <t>Alcaldía Buenavista:</t>
    </r>
    <r>
      <rPr>
        <sz val="10"/>
        <color theme="1"/>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color theme="1"/>
        <rFont val="Calibri"/>
        <family val="2"/>
        <scheme val="minor"/>
      </rPr>
      <t xml:space="preserve">Alcaldía Armenia: </t>
    </r>
    <r>
      <rPr>
        <sz val="10"/>
        <color theme="1"/>
        <rFont val="Calibri"/>
        <family val="2"/>
        <scheme val="minor"/>
      </rPr>
      <t xml:space="preserve">Adolescentes de las comunas más afectadas por embarazo no deseado cubiertos con estrategia del Servicio Amigable Itinerante, 2469 jóvenes impactados.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al momento se registran 51 embarazos en adolescentes menores de 20 años
</t>
    </r>
    <r>
      <rPr>
        <b/>
        <sz val="10"/>
        <color theme="1"/>
        <rFont val="Calibri"/>
        <family val="2"/>
        <scheme val="minor"/>
      </rPr>
      <t>Alcaldía de Calarcá</t>
    </r>
    <r>
      <rPr>
        <sz val="10"/>
        <color theme="1"/>
        <rFont val="Calibri"/>
        <family val="2"/>
        <scheme val="minor"/>
      </rPr>
      <t xml:space="preserve">: El programa materno infantil  informan 66 usuarias atendidas  incluidas las de 20 años.      
</t>
    </r>
    <r>
      <rPr>
        <b/>
        <sz val="10"/>
        <color theme="1"/>
        <rFont val="Calibri"/>
        <family val="2"/>
        <scheme val="minor"/>
      </rPr>
      <t xml:space="preserve">ICBF: </t>
    </r>
    <r>
      <rPr>
        <sz val="10"/>
        <color theme="1"/>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color theme="1"/>
        <rFont val="Calibri"/>
        <family val="2"/>
        <scheme val="minor"/>
      </rPr>
      <t>Alcaldia Calarcá:</t>
    </r>
    <r>
      <rPr>
        <sz val="10"/>
        <color theme="1"/>
        <rFont val="Calibri"/>
        <family val="2"/>
        <scheme val="minor"/>
      </rPr>
      <t xml:space="preserve"> Seguimiento a casos de interés en salud pública, embarazos en adolescentes, celebración de la Semana Andina, conversatorio para la prevención del embarazo y salud sexual en adolescentes.
</t>
    </r>
    <r>
      <rPr>
        <b/>
        <sz val="10"/>
        <color theme="1"/>
        <rFont val="Calibri"/>
        <family val="2"/>
        <scheme val="minor"/>
      </rPr>
      <t xml:space="preserve">Alcaldía de Pijao: </t>
    </r>
    <r>
      <rPr>
        <sz val="10"/>
        <color theme="1"/>
        <rFont val="Calibri"/>
        <family val="2"/>
        <scheme val="minor"/>
      </rPr>
      <t xml:space="preserve">Se llevó a cabo la proyección de la dimensión de salud sexual, derechos sexuales y reproductivos.
</t>
    </r>
    <r>
      <rPr>
        <b/>
        <sz val="10"/>
        <color theme="1"/>
        <rFont val="Calibri"/>
        <family val="2"/>
        <scheme val="minor"/>
      </rPr>
      <t xml:space="preserve">Alcaldía Salento: </t>
    </r>
    <r>
      <rPr>
        <sz val="10"/>
        <color theme="1"/>
        <rFont val="Calibri"/>
        <family val="2"/>
        <scheme val="minor"/>
      </rPr>
      <t>Se han realizado las sesiones del cove.</t>
    </r>
  </si>
  <si>
    <t>Observaciones</t>
  </si>
  <si>
    <t xml:space="preserve">Programado </t>
  </si>
  <si>
    <t xml:space="preserve">Ejecutado </t>
  </si>
  <si>
    <t>Porcentaje avance</t>
  </si>
  <si>
    <t xml:space="preserve">Programado presupuesto </t>
  </si>
  <si>
    <t xml:space="preserve">Ejecutado presupuesto </t>
  </si>
  <si>
    <t>Responsable</t>
  </si>
  <si>
    <t>Impulso a las políticas públicas de juventud</t>
  </si>
  <si>
    <t>LINEAS ESTRATEGICAS</t>
  </si>
  <si>
    <t xml:space="preserve">No. </t>
  </si>
  <si>
    <t>ESTRATEGIAS</t>
  </si>
  <si>
    <t>No.</t>
  </si>
  <si>
    <t>ACCIONES RECOMENDADAS</t>
  </si>
  <si>
    <t>MEDIOS DE VERIFICACIÓN</t>
  </si>
  <si>
    <t>RESPONSABLES.</t>
  </si>
  <si>
    <t>LINEA BASE</t>
  </si>
  <si>
    <t>METAS 2024</t>
  </si>
  <si>
    <t>Armonizacion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</si>
</sst>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 numFmtId="178" formatCode="&quot;$&quot;#,##0.00;[Red]\-&quot;$&quot;#,##0.00"/>
    <numFmt numFmtId="179" formatCode="&quot;$&quot;#,##0;[Red]\-&quot;$&quot;#,##0"/>
  </numFmts>
  <fonts count="2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theme="1"/>
      <name val="Arial"/>
      <family val="2"/>
    </font>
    <font>
      <sz val="11"/>
      <color theme="1"/>
      <name val="Arial"/>
      <family val="2"/>
    </font>
    <font>
      <sz val="14"/>
      <color theme="1"/>
      <name val="Arial"/>
      <family val="2"/>
    </font>
    <font>
      <sz val="12"/>
      <color theme="1"/>
      <name val="Arial"/>
      <family val="2"/>
    </font>
    <font>
      <sz val="10"/>
      <name val="Arial Narrow"/>
      <family val="2"/>
    </font>
    <font>
      <sz val="10"/>
      <color theme="1"/>
      <name val="Arial Narrow"/>
      <family val="2"/>
    </font>
    <font>
      <b/>
      <sz val="10"/>
      <color theme="1"/>
      <name val="Arial"/>
      <family val="2"/>
    </font>
    <font>
      <b/>
      <sz val="10"/>
      <name val="Arial"/>
      <family val="2"/>
    </font>
  </fonts>
  <fills count="23">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rgb="FF7030A0"/>
        <bgColor indexed="64"/>
      </patternFill>
    </fill>
    <fill>
      <patternFill patternType="solid">
        <fgColor theme="8" tint="0.59999389629810485"/>
        <bgColor indexed="64"/>
      </patternFill>
    </fill>
    <fill>
      <patternFill patternType="solid">
        <fgColor rgb="FFFF99CC"/>
        <bgColor indexed="64"/>
      </patternFill>
    </fill>
    <fill>
      <patternFill patternType="solid">
        <fgColor theme="4" tint="0.79998168889431442"/>
        <bgColor indexed="64"/>
      </patternFill>
    </fill>
    <fill>
      <patternFill patternType="solid">
        <fgColor theme="0" tint="-0.14999847407452621"/>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817">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7"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14"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6" fillId="0" borderId="5" xfId="0" applyFont="1" applyBorder="1" applyAlignment="1">
      <alignment horizontal="center" vertical="center" wrapText="1"/>
    </xf>
    <xf numFmtId="9" fontId="16" fillId="0" borderId="5" xfId="0" applyNumberFormat="1" applyFont="1" applyBorder="1" applyAlignment="1">
      <alignment horizontal="center" vertical="center" wrapText="1"/>
    </xf>
    <xf numFmtId="0" fontId="16" fillId="0" borderId="20" xfId="0" applyFont="1" applyBorder="1" applyAlignment="1">
      <alignment horizontal="center" vertical="center" wrapText="1"/>
    </xf>
    <xf numFmtId="9" fontId="4" fillId="5" borderId="7" xfId="1" applyFont="1" applyFill="1" applyBorder="1" applyAlignment="1">
      <alignment horizontal="center" vertical="center"/>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18" fillId="0" borderId="5" xfId="8" applyNumberFormat="1" applyFont="1" applyFill="1" applyBorder="1" applyAlignment="1">
      <alignment horizontal="center" vertical="center" wrapText="1"/>
    </xf>
    <xf numFmtId="175" fontId="0" fillId="3" borderId="5" xfId="4" applyNumberFormat="1" applyFont="1" applyFill="1" applyBorder="1" applyAlignment="1">
      <alignment horizontal="center" vertical="center"/>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9" fontId="3" fillId="3" borderId="21" xfId="0" applyNumberFormat="1" applyFont="1" applyFill="1" applyBorder="1" applyAlignment="1">
      <alignment horizontal="left" vertical="center" wrapText="1"/>
    </xf>
    <xf numFmtId="0" fontId="3" fillId="3" borderId="21" xfId="0" applyFont="1" applyFill="1" applyBorder="1" applyAlignment="1">
      <alignment horizontal="justify" vertical="center" wrapText="1"/>
    </xf>
    <xf numFmtId="0" fontId="2" fillId="3" borderId="21" xfId="0" applyFont="1" applyFill="1" applyBorder="1" applyAlignment="1">
      <alignment vertical="center" wrapText="1"/>
    </xf>
    <xf numFmtId="0" fontId="3" fillId="3" borderId="21" xfId="0" applyFont="1" applyFill="1" applyBorder="1" applyAlignment="1">
      <alignment horizontal="left" vertical="center" wrapText="1"/>
    </xf>
    <xf numFmtId="0" fontId="3" fillId="0" borderId="20" xfId="0" applyFont="1" applyBorder="1" applyAlignment="1">
      <alignment horizontal="center" vertical="center"/>
    </xf>
    <xf numFmtId="0" fontId="3" fillId="3" borderId="20" xfId="0" applyFont="1" applyFill="1" applyBorder="1" applyAlignment="1">
      <alignment horizontal="center" vertical="center" wrapText="1"/>
    </xf>
    <xf numFmtId="9" fontId="3" fillId="3" borderId="20" xfId="0" applyNumberFormat="1" applyFont="1" applyFill="1" applyBorder="1" applyAlignment="1">
      <alignment horizontal="center" vertical="center" wrapText="1"/>
    </xf>
    <xf numFmtId="1" fontId="3" fillId="3" borderId="20" xfId="0" applyNumberFormat="1" applyFont="1" applyFill="1" applyBorder="1" applyAlignment="1">
      <alignment horizontal="center" vertical="center" wrapText="1"/>
    </xf>
    <xf numFmtId="0" fontId="2" fillId="3" borderId="21" xfId="0" applyFont="1" applyFill="1" applyBorder="1" applyAlignment="1">
      <alignment horizontal="justify" vertical="center" wrapText="1"/>
    </xf>
    <xf numFmtId="0" fontId="3" fillId="3" borderId="20" xfId="0" applyFont="1" applyFill="1" applyBorder="1" applyAlignment="1">
      <alignment vertical="center" wrapText="1"/>
    </xf>
    <xf numFmtId="1" fontId="3" fillId="3" borderId="20" xfId="3" applyNumberFormat="1" applyFont="1" applyFill="1" applyBorder="1" applyAlignment="1">
      <alignment horizontal="center" vertical="center" wrapText="1"/>
    </xf>
    <xf numFmtId="1" fontId="3" fillId="0" borderId="20" xfId="0" applyNumberFormat="1" applyFont="1" applyBorder="1" applyAlignment="1">
      <alignment horizontal="center" vertical="center" wrapText="1"/>
    </xf>
    <xf numFmtId="49" fontId="3" fillId="3" borderId="20" xfId="0" applyNumberFormat="1" applyFont="1" applyFill="1" applyBorder="1" applyAlignment="1">
      <alignment horizontal="center" vertical="center" wrapText="1"/>
    </xf>
    <xf numFmtId="9" fontId="3" fillId="3" borderId="20" xfId="0" applyNumberFormat="1" applyFont="1" applyFill="1" applyBorder="1" applyAlignment="1">
      <alignment horizontal="center"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wrapText="1"/>
    </xf>
    <xf numFmtId="9" fontId="3" fillId="0" borderId="20" xfId="0" applyNumberFormat="1" applyFont="1" applyBorder="1" applyAlignment="1">
      <alignment horizontal="center" vertical="center"/>
    </xf>
    <xf numFmtId="0" fontId="3" fillId="3" borderId="21" xfId="0" applyFont="1" applyFill="1" applyBorder="1" applyAlignment="1">
      <alignment horizontal="justify" vertical="center"/>
    </xf>
    <xf numFmtId="9" fontId="3" fillId="0" borderId="21" xfId="0" applyNumberFormat="1" applyFont="1" applyBorder="1" applyAlignment="1">
      <alignment horizontal="center" vertical="center" wrapText="1"/>
    </xf>
    <xf numFmtId="9" fontId="0" fillId="0" borderId="20" xfId="1" applyFont="1" applyFill="1" applyBorder="1" applyAlignment="1">
      <alignment horizontal="center" vertical="center"/>
    </xf>
    <xf numFmtId="0" fontId="3" fillId="0" borderId="20" xfId="0" applyFont="1" applyBorder="1" applyAlignment="1">
      <alignment horizontal="center" vertical="center" wrapText="1"/>
    </xf>
    <xf numFmtId="9" fontId="3" fillId="0" borderId="20" xfId="1" applyFont="1" applyFill="1" applyBorder="1" applyAlignment="1">
      <alignment horizontal="center" vertical="center"/>
    </xf>
    <xf numFmtId="171" fontId="17"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17" fillId="0" borderId="5" xfId="5" applyNumberFormat="1" applyFont="1" applyFill="1" applyBorder="1" applyAlignment="1">
      <alignment horizontal="center" vertical="center" wrapText="1"/>
    </xf>
    <xf numFmtId="165" fontId="18"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3" fillId="0" borderId="21" xfId="0" applyFont="1" applyBorder="1" applyAlignment="1">
      <alignment horizontal="justify" vertical="center" wrapText="1"/>
    </xf>
    <xf numFmtId="9" fontId="3" fillId="0" borderId="20" xfId="0" applyNumberFormat="1" applyFont="1" applyBorder="1" applyAlignment="1">
      <alignment horizontal="justify" vertical="center" wrapText="1"/>
    </xf>
    <xf numFmtId="0" fontId="3" fillId="0" borderId="20" xfId="0" applyFont="1" applyBorder="1" applyAlignment="1">
      <alignment horizontal="justify" vertical="center" wrapText="1"/>
    </xf>
    <xf numFmtId="9" fontId="0" fillId="0" borderId="21" xfId="1" applyFont="1" applyFill="1" applyBorder="1" applyAlignment="1">
      <alignment horizontal="left" vertical="center" wrapText="1"/>
    </xf>
    <xf numFmtId="49" fontId="3" fillId="3" borderId="20" xfId="0" applyNumberFormat="1" applyFont="1" applyFill="1" applyBorder="1" applyAlignment="1">
      <alignment horizontal="justify" vertical="center" wrapText="1"/>
    </xf>
    <xf numFmtId="0" fontId="3" fillId="0" borderId="20" xfId="0" applyFont="1" applyBorder="1" applyAlignment="1">
      <alignment vertical="center" wrapText="1"/>
    </xf>
    <xf numFmtId="0" fontId="3" fillId="0" borderId="5" xfId="0" applyFont="1" applyBorder="1" applyAlignment="1">
      <alignment vertical="center" wrapText="1"/>
    </xf>
    <xf numFmtId="164" fontId="3" fillId="0" borderId="5" xfId="3" applyFont="1" applyBorder="1" applyAlignment="1">
      <alignment horizontal="center" vertical="center"/>
    </xf>
    <xf numFmtId="9" fontId="4" fillId="7" borderId="27" xfId="1" applyFont="1" applyFill="1" applyBorder="1" applyAlignment="1">
      <alignment horizontal="center" vertical="center" wrapText="1"/>
    </xf>
    <xf numFmtId="9" fontId="4" fillId="4" borderId="27"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8" borderId="27" xfId="1" applyFont="1" applyFill="1" applyBorder="1" applyAlignment="1">
      <alignment horizontal="center" vertical="center" wrapText="1"/>
    </xf>
    <xf numFmtId="9" fontId="0" fillId="0" borderId="0" xfId="0" applyNumberFormat="1"/>
    <xf numFmtId="9" fontId="4" fillId="11" borderId="5" xfId="1" applyFont="1" applyFill="1" applyBorder="1" applyAlignment="1">
      <alignment horizontal="center" vertical="center" wrapText="1"/>
    </xf>
    <xf numFmtId="0" fontId="3" fillId="0" borderId="28"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11" borderId="28" xfId="1" applyFont="1" applyFill="1" applyBorder="1" applyAlignment="1">
      <alignment horizontal="center" vertical="center" wrapText="1"/>
    </xf>
    <xf numFmtId="9" fontId="4" fillId="11" borderId="3" xfId="1" applyFont="1" applyFill="1" applyBorder="1" applyAlignment="1">
      <alignment horizontal="center" vertical="center" wrapText="1"/>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0" fontId="7" fillId="0" borderId="0" xfId="0" applyFont="1" applyAlignment="1">
      <alignment horizontal="center" vertical="center"/>
    </xf>
    <xf numFmtId="165" fontId="4" fillId="3" borderId="27"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177" fontId="4" fillId="3" borderId="28"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7"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8"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7" xfId="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16" fillId="0" borderId="21" xfId="0" applyFont="1" applyBorder="1" applyAlignment="1">
      <alignment horizontal="justify" vertical="center" wrapText="1"/>
    </xf>
    <xf numFmtId="0" fontId="3" fillId="0" borderId="21" xfId="0" applyFont="1" applyBorder="1" applyAlignment="1">
      <alignment vertical="center" wrapText="1"/>
    </xf>
    <xf numFmtId="0" fontId="3" fillId="0" borderId="21" xfId="0" applyFont="1" applyBorder="1" applyAlignment="1">
      <alignment horizontal="left" vertical="center" wrapText="1"/>
    </xf>
    <xf numFmtId="0" fontId="2" fillId="0" borderId="5" xfId="0" applyFont="1" applyBorder="1" applyAlignment="1">
      <alignment horizontal="left" vertical="center" wrapText="1"/>
    </xf>
    <xf numFmtId="9" fontId="16" fillId="0" borderId="20" xfId="0" applyNumberFormat="1" applyFont="1" applyBorder="1" applyAlignment="1">
      <alignment horizontal="center" vertical="center" wrapText="1"/>
    </xf>
    <xf numFmtId="9" fontId="3" fillId="0" borderId="21"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5" xfId="0" applyNumberFormat="1" applyFont="1" applyBorder="1" applyAlignment="1">
      <alignment horizontal="center" vertical="center" wrapText="1"/>
    </xf>
    <xf numFmtId="1" fontId="3" fillId="0" borderId="20" xfId="1" applyNumberFormat="1" applyFont="1" applyFill="1" applyBorder="1" applyAlignment="1">
      <alignment horizontal="center" vertical="center"/>
    </xf>
    <xf numFmtId="0" fontId="2" fillId="0" borderId="28" xfId="0" applyFont="1" applyBorder="1" applyAlignment="1">
      <alignment vertical="center" wrapText="1"/>
    </xf>
    <xf numFmtId="9" fontId="16" fillId="0" borderId="21" xfId="0" applyNumberFormat="1" applyFont="1" applyBorder="1" applyAlignment="1">
      <alignment horizontal="justify" vertical="center" wrapText="1"/>
    </xf>
    <xf numFmtId="10" fontId="3" fillId="0" borderId="20" xfId="0" applyNumberFormat="1" applyFont="1" applyBorder="1" applyAlignment="1">
      <alignment horizontal="center" vertical="center" wrapText="1"/>
    </xf>
    <xf numFmtId="166" fontId="3" fillId="0" borderId="20"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3" fillId="0" borderId="2" xfId="0" applyFont="1" applyBorder="1" applyAlignment="1">
      <alignment horizontal="left" vertical="center" wrapText="1"/>
    </xf>
    <xf numFmtId="0" fontId="0" fillId="0" borderId="20" xfId="1" applyNumberFormat="1" applyFont="1" applyFill="1" applyBorder="1" applyAlignment="1">
      <alignment vertical="center"/>
    </xf>
    <xf numFmtId="9" fontId="3" fillId="0" borderId="20" xfId="0" applyNumberFormat="1" applyFont="1" applyBorder="1" applyAlignment="1">
      <alignment horizontal="center" vertical="center" wrapText="1"/>
    </xf>
    <xf numFmtId="0" fontId="0" fillId="0" borderId="20" xfId="1" applyNumberFormat="1" applyFont="1" applyFill="1" applyBorder="1" applyAlignment="1">
      <alignment horizontal="center" vertical="center"/>
    </xf>
    <xf numFmtId="10" fontId="3" fillId="0" borderId="20"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5" xfId="0" applyFont="1" applyBorder="1" applyAlignment="1">
      <alignment vertical="center"/>
    </xf>
    <xf numFmtId="9" fontId="3" fillId="0" borderId="21" xfId="0" applyNumberFormat="1" applyFont="1" applyBorder="1" applyAlignment="1">
      <alignment horizontal="justify" vertical="center" wrapText="1"/>
    </xf>
    <xf numFmtId="0" fontId="2" fillId="0" borderId="21" xfId="0" applyFont="1" applyBorder="1" applyAlignment="1">
      <alignment horizontal="left" vertical="center" wrapText="1"/>
    </xf>
    <xf numFmtId="0" fontId="2" fillId="0" borderId="28" xfId="0" applyFont="1" applyBorder="1" applyAlignment="1">
      <alignment horizontal="left" vertical="center" wrapText="1"/>
    </xf>
    <xf numFmtId="167" fontId="3" fillId="0" borderId="5" xfId="0" applyNumberFormat="1" applyFont="1" applyBorder="1" applyAlignment="1">
      <alignment horizontal="center" vertical="center" wrapText="1"/>
    </xf>
    <xf numFmtId="10" fontId="15" fillId="0" borderId="5" xfId="0" applyNumberFormat="1" applyFont="1" applyBorder="1" applyAlignment="1">
      <alignment horizontal="center" vertical="center" wrapText="1"/>
    </xf>
    <xf numFmtId="171" fontId="17" fillId="0" borderId="5" xfId="0" applyNumberFormat="1" applyFont="1" applyBorder="1" applyAlignment="1" applyProtection="1">
      <alignment horizontal="center" vertical="center" wrapText="1"/>
      <protection locked="0"/>
    </xf>
    <xf numFmtId="0" fontId="2" fillId="0" borderId="21" xfId="0" applyFont="1" applyBorder="1" applyAlignment="1">
      <alignment horizontal="justify" vertical="center" wrapText="1"/>
    </xf>
    <xf numFmtId="166" fontId="3" fillId="0" borderId="20"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0" fontId="3" fillId="0" borderId="20"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73" fontId="17" fillId="0" borderId="5" xfId="0" applyNumberFormat="1" applyFont="1" applyBorder="1" applyAlignment="1" applyProtection="1">
      <alignment horizontal="center" vertical="center" wrapText="1"/>
      <protection locked="0"/>
    </xf>
    <xf numFmtId="166" fontId="3" fillId="0" borderId="20"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0" fontId="3" fillId="0" borderId="27" xfId="0" applyFont="1" applyBorder="1" applyAlignment="1">
      <alignment vertical="center" wrapText="1"/>
    </xf>
    <xf numFmtId="168" fontId="3" fillId="0" borderId="5" xfId="0" applyNumberFormat="1" applyFont="1" applyBorder="1" applyAlignment="1">
      <alignment horizontal="center" vertical="center" wrapText="1"/>
    </xf>
    <xf numFmtId="0" fontId="3" fillId="0" borderId="28" xfId="0" applyFont="1" applyBorder="1" applyAlignment="1">
      <alignment vertical="center" wrapText="1"/>
    </xf>
    <xf numFmtId="9" fontId="3" fillId="0" borderId="20"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0" fontId="3" fillId="0" borderId="28" xfId="0" applyFont="1" applyBorder="1" applyAlignment="1">
      <alignment horizontal="justify" vertical="center" wrapText="1"/>
    </xf>
    <xf numFmtId="2" fontId="3" fillId="0" borderId="20" xfId="0" applyNumberFormat="1" applyFont="1" applyBorder="1" applyAlignment="1">
      <alignment horizontal="center" vertical="center" wrapText="1"/>
    </xf>
    <xf numFmtId="167" fontId="3" fillId="0" borderId="20" xfId="1"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9" fontId="3" fillId="0" borderId="21" xfId="0" applyNumberFormat="1" applyFont="1" applyBorder="1" applyAlignment="1">
      <alignment vertical="center" wrapText="1"/>
    </xf>
    <xf numFmtId="9" fontId="3" fillId="0" borderId="28" xfId="0" applyNumberFormat="1" applyFont="1" applyBorder="1" applyAlignment="1">
      <alignment vertical="center" wrapText="1"/>
    </xf>
    <xf numFmtId="165" fontId="3" fillId="0" borderId="5" xfId="0" applyNumberFormat="1" applyFont="1" applyBorder="1" applyAlignment="1">
      <alignment vertical="center" wrapText="1"/>
    </xf>
    <xf numFmtId="176" fontId="3" fillId="0" borderId="5" xfId="0" applyNumberFormat="1" applyFont="1" applyBorder="1" applyAlignment="1">
      <alignment horizontal="center" vertical="center"/>
    </xf>
    <xf numFmtId="0" fontId="3" fillId="0" borderId="28" xfId="0" applyFont="1" applyBorder="1" applyAlignment="1">
      <alignment horizontal="left" vertical="center" wrapText="1"/>
    </xf>
    <xf numFmtId="165" fontId="0" fillId="0" borderId="0" xfId="0" applyNumberFormat="1"/>
    <xf numFmtId="0" fontId="12" fillId="0" borderId="0" xfId="0" applyFont="1" applyAlignment="1">
      <alignment horizontal="justify"/>
    </xf>
    <xf numFmtId="0" fontId="4" fillId="0" borderId="5" xfId="0" applyFont="1" applyBorder="1" applyAlignment="1">
      <alignment horizontal="justify" vertical="center" wrapText="1"/>
    </xf>
    <xf numFmtId="0" fontId="11" fillId="0" borderId="5"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28"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9" fontId="4" fillId="0" borderId="28" xfId="0" applyNumberFormat="1"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4" xfId="0" applyFont="1" applyBorder="1" applyAlignment="1">
      <alignment horizontal="justify" vertical="center" wrapText="1"/>
    </xf>
    <xf numFmtId="9" fontId="4" fillId="20" borderId="5" xfId="1" applyFont="1" applyFill="1" applyBorder="1" applyAlignment="1">
      <alignment horizontal="center" vertical="center" wrapText="1"/>
    </xf>
    <xf numFmtId="0" fontId="4" fillId="3" borderId="2" xfId="0" applyFont="1" applyFill="1" applyBorder="1" applyAlignment="1">
      <alignment horizontal="justify" vertical="center" wrapText="1"/>
    </xf>
    <xf numFmtId="165" fontId="4" fillId="0" borderId="4" xfId="0" applyNumberFormat="1" applyFont="1" applyBorder="1" applyAlignment="1">
      <alignment horizontal="center" vertical="center" wrapText="1"/>
    </xf>
    <xf numFmtId="1" fontId="3" fillId="3" borderId="5" xfId="0" applyNumberFormat="1" applyFont="1" applyFill="1" applyBorder="1" applyAlignment="1">
      <alignment horizontal="center" vertical="center"/>
    </xf>
    <xf numFmtId="179" fontId="21" fillId="0" borderId="5" xfId="0" applyNumberFormat="1" applyFont="1" applyBorder="1" applyAlignment="1">
      <alignment horizontal="center" vertical="center" wrapText="1"/>
    </xf>
    <xf numFmtId="179" fontId="21" fillId="0" borderId="21"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xf>
    <xf numFmtId="9" fontId="3" fillId="5" borderId="5" xfId="1" applyFont="1" applyFill="1" applyBorder="1" applyAlignment="1">
      <alignment horizontal="center" vertical="center" wrapText="1"/>
    </xf>
    <xf numFmtId="170" fontId="3" fillId="0" borderId="5" xfId="0" applyNumberFormat="1" applyFont="1" applyBorder="1" applyAlignment="1">
      <alignment horizontal="center" vertical="center" wrapText="1"/>
    </xf>
    <xf numFmtId="0" fontId="0" fillId="0" borderId="20" xfId="0"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xf>
    <xf numFmtId="9" fontId="3" fillId="5" borderId="5" xfId="1" applyFont="1" applyFill="1" applyBorder="1" applyAlignment="1">
      <alignment horizontal="center" vertical="center"/>
    </xf>
    <xf numFmtId="9" fontId="3" fillId="5" borderId="28" xfId="1" applyFont="1" applyFill="1" applyBorder="1" applyAlignment="1">
      <alignment horizontal="center" vertical="center"/>
    </xf>
    <xf numFmtId="170" fontId="3" fillId="0" borderId="0" xfId="0" applyNumberFormat="1" applyFont="1" applyAlignment="1">
      <alignment horizontal="center" vertical="center" wrapText="1"/>
    </xf>
    <xf numFmtId="165" fontId="3" fillId="3" borderId="0" xfId="0" applyNumberFormat="1" applyFont="1" applyFill="1" applyAlignment="1">
      <alignment horizontal="center" vertical="center" wrapText="1"/>
    </xf>
    <xf numFmtId="0" fontId="2" fillId="0" borderId="5" xfId="0" applyFont="1" applyBorder="1" applyAlignment="1">
      <alignment horizontal="justify" vertical="center" wrapText="1"/>
    </xf>
    <xf numFmtId="9" fontId="0" fillId="0" borderId="5" xfId="0" applyNumberFormat="1" applyBorder="1" applyAlignment="1">
      <alignment horizontal="center" vertical="center"/>
    </xf>
    <xf numFmtId="170" fontId="3" fillId="0" borderId="5" xfId="1" applyNumberFormat="1" applyFont="1" applyFill="1" applyBorder="1" applyAlignment="1">
      <alignment horizontal="center" vertical="center" wrapText="1"/>
    </xf>
    <xf numFmtId="9" fontId="3" fillId="3" borderId="5" xfId="0" applyNumberFormat="1" applyFont="1" applyFill="1" applyBorder="1" applyAlignment="1">
      <alignment horizontal="justify" vertical="center" wrapText="1"/>
    </xf>
    <xf numFmtId="0" fontId="3" fillId="0" borderId="21" xfId="1" applyNumberFormat="1" applyFont="1" applyFill="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0" fontId="2" fillId="0" borderId="28" xfId="0" applyFont="1" applyBorder="1" applyAlignment="1">
      <alignment horizontal="justify" vertical="center" wrapText="1"/>
    </xf>
    <xf numFmtId="0" fontId="2" fillId="3" borderId="28" xfId="0" applyFont="1" applyFill="1" applyBorder="1" applyAlignment="1">
      <alignment horizontal="justify" vertical="center" wrapText="1"/>
    </xf>
    <xf numFmtId="9" fontId="3" fillId="11" borderId="5" xfId="1" applyFont="1" applyFill="1" applyBorder="1" applyAlignment="1">
      <alignment horizontal="center" vertical="center"/>
    </xf>
    <xf numFmtId="9" fontId="0" fillId="0" borderId="20" xfId="0" applyNumberFormat="1" applyBorder="1" applyAlignment="1">
      <alignment horizontal="center" vertical="center"/>
    </xf>
    <xf numFmtId="3" fontId="0" fillId="0" borderId="5" xfId="0" applyNumberFormat="1" applyBorder="1" applyAlignment="1">
      <alignment horizontal="center" vertical="center" wrapText="1"/>
    </xf>
    <xf numFmtId="9" fontId="3" fillId="0" borderId="27" xfId="1" applyFont="1" applyFill="1" applyBorder="1" applyAlignment="1">
      <alignment horizontal="center" vertical="center" wrapText="1"/>
    </xf>
    <xf numFmtId="165" fontId="3" fillId="3" borderId="27" xfId="0" applyNumberFormat="1" applyFont="1" applyFill="1" applyBorder="1" applyAlignment="1">
      <alignment horizontal="center" vertical="center" wrapText="1"/>
    </xf>
    <xf numFmtId="9" fontId="3" fillId="7" borderId="27" xfId="1" applyFont="1" applyFill="1" applyBorder="1" applyAlignment="1">
      <alignment horizontal="center" vertical="center" wrapText="1"/>
    </xf>
    <xf numFmtId="0" fontId="3" fillId="3" borderId="27" xfId="0"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3" borderId="4" xfId="0" applyNumberFormat="1" applyFont="1" applyFill="1" applyBorder="1" applyAlignment="1">
      <alignment horizontal="center" vertical="center" wrapText="1"/>
    </xf>
    <xf numFmtId="9" fontId="3" fillId="7" borderId="4" xfId="1" applyFont="1" applyFill="1" applyBorder="1" applyAlignment="1">
      <alignment horizontal="center" vertical="center" wrapText="1"/>
    </xf>
    <xf numFmtId="0" fontId="3" fillId="0" borderId="13" xfId="0" applyFont="1" applyBorder="1" applyAlignment="1">
      <alignment horizontal="center" vertical="center" wrapText="1"/>
    </xf>
    <xf numFmtId="10" fontId="0" fillId="0" borderId="20" xfId="0" applyNumberFormat="1" applyBorder="1" applyAlignment="1">
      <alignment vertical="center"/>
    </xf>
    <xf numFmtId="9" fontId="0" fillId="0" borderId="5" xfId="0" applyNumberFormat="1" applyBorder="1" applyAlignment="1">
      <alignment vertical="center"/>
    </xf>
    <xf numFmtId="166" fontId="0" fillId="0" borderId="21" xfId="0" applyNumberFormat="1" applyBorder="1" applyAlignment="1">
      <alignment vertical="top" wrapText="1"/>
    </xf>
    <xf numFmtId="9" fontId="3" fillId="0" borderId="3" xfId="1" applyFont="1" applyFill="1" applyBorder="1" applyAlignment="1">
      <alignment horizontal="center" vertical="center" wrapText="1"/>
    </xf>
    <xf numFmtId="166" fontId="3" fillId="3" borderId="5" xfId="1" applyNumberFormat="1" applyFont="1" applyFill="1" applyBorder="1" applyAlignment="1">
      <alignment horizontal="center" vertical="center" wrapText="1"/>
    </xf>
    <xf numFmtId="166" fontId="3" fillId="18" borderId="5" xfId="1" applyNumberFormat="1" applyFont="1" applyFill="1" applyBorder="1" applyAlignment="1">
      <alignment horizontal="center" vertical="center" wrapText="1"/>
    </xf>
    <xf numFmtId="9" fontId="3" fillId="11" borderId="3" xfId="1" applyFont="1" applyFill="1" applyBorder="1" applyAlignment="1">
      <alignment horizontal="center" vertical="center" wrapText="1"/>
    </xf>
    <xf numFmtId="0" fontId="3" fillId="3" borderId="2" xfId="0" applyFont="1" applyFill="1" applyBorder="1" applyAlignment="1">
      <alignment horizontal="justify" vertical="center" wrapText="1"/>
    </xf>
    <xf numFmtId="166" fontId="3" fillId="3" borderId="3" xfId="1" applyNumberFormat="1" applyFont="1" applyFill="1" applyBorder="1" applyAlignment="1">
      <alignment horizontal="center" vertical="center" wrapText="1"/>
    </xf>
    <xf numFmtId="0" fontId="0" fillId="0" borderId="5" xfId="0" applyBorder="1" applyAlignment="1">
      <alignment vertical="center"/>
    </xf>
    <xf numFmtId="166" fontId="0" fillId="0" borderId="21" xfId="0" applyNumberFormat="1" applyBorder="1" applyAlignment="1">
      <alignment vertical="center" wrapText="1"/>
    </xf>
    <xf numFmtId="166" fontId="0" fillId="0" borderId="21" xfId="0" applyNumberFormat="1" applyBorder="1" applyAlignment="1">
      <alignment horizontal="left" vertical="center" wrapText="1"/>
    </xf>
    <xf numFmtId="0" fontId="3" fillId="0" borderId="27" xfId="0" applyFont="1" applyBorder="1" applyAlignment="1">
      <alignment horizontal="justify" vertical="center" wrapText="1"/>
    </xf>
    <xf numFmtId="9" fontId="3" fillId="0" borderId="28" xfId="1" applyFont="1" applyFill="1" applyBorder="1" applyAlignment="1">
      <alignment horizontal="center" vertical="center" wrapText="1"/>
    </xf>
    <xf numFmtId="9" fontId="3" fillId="7" borderId="28" xfId="1" applyFont="1" applyFill="1" applyBorder="1" applyAlignment="1">
      <alignment horizontal="center" vertical="center" wrapText="1"/>
    </xf>
    <xf numFmtId="0" fontId="3" fillId="3" borderId="28" xfId="0" applyFont="1" applyFill="1" applyBorder="1" applyAlignment="1">
      <alignment horizontal="center" vertical="center" wrapText="1"/>
    </xf>
    <xf numFmtId="165" fontId="3" fillId="3" borderId="28" xfId="0" applyNumberFormat="1" applyFont="1" applyFill="1" applyBorder="1" applyAlignment="1">
      <alignment horizontal="center" vertical="center" wrapText="1"/>
    </xf>
    <xf numFmtId="9" fontId="3" fillId="11" borderId="5" xfId="1" applyFont="1" applyFill="1" applyBorder="1" applyAlignment="1">
      <alignment horizontal="center" vertical="center" wrapText="1"/>
    </xf>
    <xf numFmtId="10" fontId="0" fillId="0" borderId="20" xfId="0" applyNumberFormat="1" applyBorder="1" applyAlignment="1">
      <alignment horizontal="center" vertical="center"/>
    </xf>
    <xf numFmtId="10" fontId="0" fillId="0" borderId="5" xfId="0" applyNumberFormat="1" applyBorder="1" applyAlignment="1">
      <alignment horizontal="center" vertical="center"/>
    </xf>
    <xf numFmtId="10" fontId="3" fillId="3" borderId="5" xfId="0" applyNumberFormat="1" applyFont="1" applyFill="1" applyBorder="1" applyAlignment="1">
      <alignment horizontal="center" vertical="center" wrapText="1"/>
    </xf>
    <xf numFmtId="9" fontId="3" fillId="11" borderId="4" xfId="1" applyFont="1" applyFill="1" applyBorder="1" applyAlignment="1">
      <alignment horizontal="center" vertical="center" wrapText="1"/>
    </xf>
    <xf numFmtId="0" fontId="0" fillId="0" borderId="21" xfId="0" applyBorder="1" applyAlignment="1">
      <alignment horizontal="left" vertical="top" wrapText="1"/>
    </xf>
    <xf numFmtId="9" fontId="3" fillId="11" borderId="28" xfId="1" applyFont="1" applyFill="1" applyBorder="1" applyAlignment="1">
      <alignment horizontal="center" vertical="center" wrapText="1"/>
    </xf>
    <xf numFmtId="9" fontId="3" fillId="4" borderId="27" xfId="1" applyFont="1" applyFill="1" applyBorder="1" applyAlignment="1">
      <alignment horizontal="center" vertical="center" wrapText="1"/>
    </xf>
    <xf numFmtId="9" fontId="3" fillId="4" borderId="4" xfId="1" applyFont="1" applyFill="1" applyBorder="1" applyAlignment="1">
      <alignment horizontal="center" vertical="center" wrapText="1"/>
    </xf>
    <xf numFmtId="9" fontId="0" fillId="0" borderId="21" xfId="0" applyNumberFormat="1" applyBorder="1" applyAlignment="1">
      <alignment horizontal="left" vertical="center" wrapText="1"/>
    </xf>
    <xf numFmtId="9" fontId="3" fillId="4" borderId="28" xfId="1" applyFont="1" applyFill="1" applyBorder="1" applyAlignment="1">
      <alignment horizontal="center" vertical="center" wrapText="1"/>
    </xf>
    <xf numFmtId="9" fontId="3" fillId="0" borderId="28" xfId="0" applyNumberFormat="1" applyFont="1" applyBorder="1" applyAlignment="1">
      <alignment horizontal="justify" vertical="center" wrapText="1"/>
    </xf>
    <xf numFmtId="9" fontId="3" fillId="18" borderId="28" xfId="1" applyFont="1" applyFill="1" applyBorder="1" applyAlignment="1">
      <alignment horizontal="center" vertical="center" wrapText="1"/>
    </xf>
    <xf numFmtId="0" fontId="0" fillId="0" borderId="21" xfId="0" applyBorder="1" applyAlignment="1">
      <alignment vertical="center" wrapText="1"/>
    </xf>
    <xf numFmtId="171" fontId="17" fillId="0" borderId="5" xfId="5" applyNumberFormat="1" applyFont="1" applyFill="1" applyBorder="1" applyAlignment="1" applyProtection="1">
      <alignment horizontal="center" vertical="center"/>
      <protection locked="0"/>
    </xf>
    <xf numFmtId="9" fontId="3" fillId="0" borderId="5" xfId="1" applyFont="1" applyBorder="1" applyAlignment="1">
      <alignment vertical="center" wrapText="1"/>
    </xf>
    <xf numFmtId="1" fontId="3" fillId="3" borderId="5" xfId="1" applyNumberFormat="1" applyFont="1" applyFill="1" applyBorder="1" applyAlignment="1">
      <alignment horizontal="center" vertical="center" wrapText="1"/>
    </xf>
    <xf numFmtId="0" fontId="0" fillId="0" borderId="21" xfId="0" applyBorder="1" applyAlignment="1">
      <alignment horizontal="left" vertical="center" wrapText="1"/>
    </xf>
    <xf numFmtId="9" fontId="3" fillId="18" borderId="5" xfId="1" applyFont="1" applyFill="1" applyBorder="1" applyAlignment="1">
      <alignment horizontal="center" vertical="center" wrapText="1"/>
    </xf>
    <xf numFmtId="10" fontId="3" fillId="3" borderId="5" xfId="1"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77" fontId="3" fillId="0" borderId="28" xfId="4" applyNumberFormat="1" applyFont="1" applyFill="1" applyBorder="1" applyAlignment="1">
      <alignment horizontal="center" vertical="center" wrapText="1"/>
    </xf>
    <xf numFmtId="168" fontId="3" fillId="0" borderId="28" xfId="0" applyNumberFormat="1" applyFont="1" applyBorder="1" applyAlignment="1">
      <alignment horizontal="center" vertical="center" wrapText="1"/>
    </xf>
    <xf numFmtId="177" fontId="3" fillId="3" borderId="28" xfId="4" applyNumberFormat="1" applyFont="1" applyFill="1" applyBorder="1" applyAlignment="1">
      <alignment horizontal="center" vertical="center" wrapText="1"/>
    </xf>
    <xf numFmtId="0" fontId="3" fillId="0" borderId="4" xfId="0" applyFont="1" applyBorder="1" applyAlignment="1">
      <alignment horizontal="justify" vertical="center" wrapText="1"/>
    </xf>
    <xf numFmtId="9" fontId="3" fillId="3" borderId="28" xfId="1" applyFont="1" applyFill="1" applyBorder="1" applyAlignment="1">
      <alignment horizontal="center" vertical="center" wrapText="1"/>
    </xf>
    <xf numFmtId="0" fontId="0" fillId="0" borderId="21" xfId="0" applyBorder="1" applyAlignment="1">
      <alignment vertical="top" wrapText="1"/>
    </xf>
    <xf numFmtId="2" fontId="3" fillId="0" borderId="5" xfId="1" applyNumberFormat="1" applyFont="1" applyFill="1" applyBorder="1" applyAlignment="1">
      <alignment horizontal="center" vertical="center" wrapText="1"/>
    </xf>
    <xf numFmtId="2" fontId="3" fillId="3" borderId="5" xfId="1" applyNumberFormat="1" applyFont="1" applyFill="1" applyBorder="1" applyAlignment="1">
      <alignment horizontal="center" vertical="center" wrapText="1"/>
    </xf>
    <xf numFmtId="9" fontId="3" fillId="8" borderId="5" xfId="1" applyFont="1" applyFill="1" applyBorder="1" applyAlignment="1">
      <alignment horizontal="center" vertical="center" wrapText="1"/>
    </xf>
    <xf numFmtId="9" fontId="3" fillId="8" borderId="27" xfId="1" applyFont="1" applyFill="1" applyBorder="1" applyAlignment="1">
      <alignment horizontal="center" vertical="center" wrapText="1"/>
    </xf>
    <xf numFmtId="10" fontId="3" fillId="0" borderId="27" xfId="1" applyNumberFormat="1" applyFont="1" applyFill="1" applyBorder="1" applyAlignment="1">
      <alignment horizontal="center" vertical="center" wrapText="1"/>
    </xf>
    <xf numFmtId="176" fontId="3" fillId="0" borderId="5" xfId="1" applyNumberFormat="1" applyFont="1" applyFill="1" applyBorder="1" applyAlignment="1">
      <alignment horizontal="center" vertical="center" wrapText="1"/>
    </xf>
    <xf numFmtId="44" fontId="22" fillId="0" borderId="5" xfId="4" applyFont="1" applyBorder="1" applyAlignment="1">
      <alignment vertical="center" wrapText="1"/>
    </xf>
    <xf numFmtId="171" fontId="3" fillId="0" borderId="20" xfId="3" applyNumberFormat="1" applyFont="1" applyFill="1" applyBorder="1" applyAlignment="1">
      <alignment horizontal="center" vertical="center" wrapText="1"/>
    </xf>
    <xf numFmtId="0" fontId="17" fillId="0" borderId="21" xfId="0" applyFont="1" applyBorder="1" applyAlignment="1">
      <alignment horizontal="justify" vertical="center" wrapText="1"/>
    </xf>
    <xf numFmtId="9" fontId="2" fillId="0" borderId="21" xfId="0" applyNumberFormat="1" applyFont="1" applyBorder="1" applyAlignment="1">
      <alignment vertical="center" wrapText="1"/>
    </xf>
    <xf numFmtId="10" fontId="3" fillId="3" borderId="28" xfId="1" applyNumberFormat="1" applyFont="1" applyFill="1" applyBorder="1" applyAlignment="1">
      <alignment horizontal="center" vertical="center" wrapText="1"/>
    </xf>
    <xf numFmtId="9" fontId="3" fillId="5" borderId="27" xfId="1" applyFont="1" applyFill="1" applyBorder="1" applyAlignment="1">
      <alignment horizontal="center" vertical="center" wrapText="1"/>
    </xf>
    <xf numFmtId="1" fontId="0" fillId="0" borderId="21" xfId="0" applyNumberFormat="1" applyBorder="1" applyAlignment="1">
      <alignment horizontal="left" vertical="center" wrapText="1"/>
    </xf>
    <xf numFmtId="9" fontId="0" fillId="0" borderId="20" xfId="0" applyNumberFormat="1" applyBorder="1" applyAlignment="1">
      <alignment vertical="center"/>
    </xf>
    <xf numFmtId="1" fontId="0" fillId="0" borderId="21" xfId="0" applyNumberFormat="1" applyBorder="1" applyAlignment="1">
      <alignment vertical="center" wrapText="1"/>
    </xf>
    <xf numFmtId="6" fontId="17" fillId="0" borderId="5" xfId="0" applyNumberFormat="1" applyFont="1" applyBorder="1" applyAlignment="1">
      <alignment horizontal="center" vertical="center"/>
    </xf>
    <xf numFmtId="1" fontId="3" fillId="0" borderId="28" xfId="1" applyNumberFormat="1" applyFont="1" applyFill="1" applyBorder="1" applyAlignment="1">
      <alignment horizontal="center" vertical="center" wrapText="1"/>
    </xf>
    <xf numFmtId="6" fontId="0" fillId="0" borderId="5" xfId="0" applyNumberFormat="1" applyBorder="1" applyAlignment="1">
      <alignment horizontal="center" vertical="center" wrapText="1"/>
    </xf>
    <xf numFmtId="165" fontId="0" fillId="0" borderId="5" xfId="0" applyNumberFormat="1" applyBorder="1" applyAlignment="1">
      <alignment horizontal="center" vertical="center" wrapText="1"/>
    </xf>
    <xf numFmtId="178" fontId="22" fillId="0" borderId="5" xfId="0" applyNumberFormat="1" applyFont="1" applyBorder="1" applyAlignment="1">
      <alignment horizontal="center" vertical="center" wrapText="1"/>
    </xf>
    <xf numFmtId="2" fontId="3" fillId="3" borderId="20" xfId="3" applyNumberFormat="1" applyFont="1" applyFill="1" applyBorder="1" applyAlignment="1">
      <alignment horizontal="center" vertical="center" wrapText="1"/>
    </xf>
    <xf numFmtId="164" fontId="3" fillId="3" borderId="5" xfId="3"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6" fontId="3" fillId="3" borderId="5" xfId="4" applyNumberFormat="1" applyFont="1" applyFill="1" applyBorder="1" applyAlignment="1">
      <alignment horizontal="center" vertical="center" wrapText="1"/>
    </xf>
    <xf numFmtId="44" fontId="3" fillId="3" borderId="5" xfId="4" applyFont="1" applyFill="1" applyBorder="1" applyAlignment="1">
      <alignment horizontal="center" vertical="center" wrapText="1"/>
    </xf>
    <xf numFmtId="0" fontId="0" fillId="0" borderId="20" xfId="0" applyBorder="1" applyAlignment="1">
      <alignment vertical="center"/>
    </xf>
    <xf numFmtId="164" fontId="3" fillId="3" borderId="20" xfId="3" applyFont="1" applyFill="1" applyBorder="1" applyAlignment="1">
      <alignment horizontal="center" vertical="center" wrapText="1"/>
    </xf>
    <xf numFmtId="0" fontId="3" fillId="3" borderId="21" xfId="0" applyFont="1" applyFill="1" applyBorder="1" applyAlignment="1">
      <alignment vertical="center" wrapText="1"/>
    </xf>
    <xf numFmtId="0" fontId="3" fillId="0" borderId="13" xfId="0" applyFont="1" applyBorder="1" applyAlignment="1">
      <alignment horizontal="justify" vertical="center" wrapText="1"/>
    </xf>
    <xf numFmtId="42" fontId="3" fillId="0" borderId="5" xfId="0" applyNumberFormat="1" applyFont="1" applyBorder="1" applyAlignment="1">
      <alignment horizontal="center" vertical="center" wrapText="1"/>
    </xf>
    <xf numFmtId="9" fontId="3" fillId="20" borderId="5" xfId="1" applyFont="1" applyFill="1" applyBorder="1" applyAlignment="1">
      <alignment horizontal="center" vertical="center" wrapText="1"/>
    </xf>
    <xf numFmtId="179" fontId="22" fillId="0" borderId="5" xfId="0" applyNumberFormat="1" applyFont="1" applyBorder="1" applyAlignment="1">
      <alignment horizontal="center" vertical="center" wrapText="1"/>
    </xf>
    <xf numFmtId="179" fontId="22" fillId="0" borderId="21"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1" fontId="0" fillId="0" borderId="20" xfId="0" applyNumberFormat="1" applyBorder="1" applyAlignment="1">
      <alignment horizontal="center" vertical="center"/>
    </xf>
    <xf numFmtId="1" fontId="0" fillId="0" borderId="5" xfId="0" applyNumberFormat="1" applyBorder="1" applyAlignment="1">
      <alignment horizontal="center" vertical="center"/>
    </xf>
    <xf numFmtId="49" fontId="3" fillId="0" borderId="4" xfId="0" applyNumberFormat="1" applyFont="1" applyBorder="1" applyAlignment="1">
      <alignment horizontal="center" vertical="center" wrapText="1"/>
    </xf>
    <xf numFmtId="0" fontId="3" fillId="3" borderId="28" xfId="0" applyFont="1" applyFill="1" applyBorder="1" applyAlignment="1">
      <alignment horizontal="center" vertical="center"/>
    </xf>
    <xf numFmtId="178" fontId="22" fillId="0" borderId="21" xfId="0" applyNumberFormat="1" applyFont="1" applyBorder="1" applyAlignment="1">
      <alignment horizontal="center" vertical="center" wrapText="1"/>
    </xf>
    <xf numFmtId="6" fontId="3" fillId="0" borderId="21"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9" fontId="3" fillId="5" borderId="7" xfId="1" applyFont="1" applyFill="1" applyBorder="1" applyAlignment="1">
      <alignment horizontal="center" vertical="center"/>
    </xf>
    <xf numFmtId="0" fontId="0" fillId="3" borderId="7" xfId="0" applyFill="1" applyBorder="1" applyAlignment="1">
      <alignment horizontal="center" vertical="center"/>
    </xf>
    <xf numFmtId="0" fontId="3" fillId="0" borderId="7" xfId="0" applyFont="1" applyBorder="1" applyAlignment="1">
      <alignment horizontal="center" vertical="center"/>
    </xf>
    <xf numFmtId="0" fontId="0" fillId="0" borderId="0" xfId="0" applyProtection="1">
      <protection locked="0"/>
    </xf>
    <xf numFmtId="0" fontId="0" fillId="0" borderId="0" xfId="0" applyAlignment="1">
      <alignment horizontal="justify"/>
    </xf>
    <xf numFmtId="165" fontId="3" fillId="0" borderId="0" xfId="0" applyNumberFormat="1" applyFont="1"/>
    <xf numFmtId="9" fontId="0" fillId="8" borderId="5" xfId="0" applyNumberFormat="1" applyFill="1" applyBorder="1"/>
    <xf numFmtId="9" fontId="3" fillId="17" borderId="22" xfId="1" applyFont="1" applyFill="1" applyBorder="1" applyAlignment="1">
      <alignment horizontal="center" vertical="center"/>
    </xf>
    <xf numFmtId="44" fontId="21" fillId="0" borderId="5" xfId="4" applyFont="1" applyBorder="1" applyAlignment="1">
      <alignment horizontal="center" vertical="center" wrapText="1"/>
    </xf>
    <xf numFmtId="44" fontId="21" fillId="0" borderId="21" xfId="4" applyFont="1" applyBorder="1" applyAlignment="1">
      <alignment horizontal="center" vertical="center" wrapText="1"/>
    </xf>
    <xf numFmtId="44" fontId="21" fillId="0" borderId="5" xfId="4" applyFont="1" applyBorder="1" applyAlignment="1">
      <alignment vertical="center" wrapText="1"/>
    </xf>
    <xf numFmtId="6" fontId="5" fillId="0" borderId="5" xfId="0" applyNumberFormat="1" applyFont="1" applyBorder="1" applyAlignment="1">
      <alignment vertical="top"/>
    </xf>
    <xf numFmtId="178" fontId="21" fillId="0" borderId="5" xfId="0" applyNumberFormat="1" applyFont="1" applyBorder="1" applyAlignment="1">
      <alignment horizontal="center" vertical="center" wrapText="1"/>
    </xf>
    <xf numFmtId="178" fontId="21" fillId="0" borderId="21" xfId="0" applyNumberFormat="1" applyFont="1" applyBorder="1" applyAlignment="1">
      <alignment horizontal="center" vertical="center" wrapText="1"/>
    </xf>
    <xf numFmtId="6" fontId="4" fillId="0" borderId="21" xfId="0" applyNumberFormat="1" applyFont="1" applyBorder="1" applyAlignment="1">
      <alignment horizontal="center" vertical="center" wrapText="1"/>
    </xf>
    <xf numFmtId="165" fontId="4" fillId="0" borderId="0" xfId="0" applyNumberFormat="1" applyFont="1"/>
    <xf numFmtId="6" fontId="22" fillId="0" borderId="5" xfId="4" applyNumberFormat="1" applyFont="1" applyBorder="1" applyAlignment="1">
      <alignment horizontal="center" vertical="center" wrapText="1"/>
    </xf>
    <xf numFmtId="6" fontId="22" fillId="0" borderId="21" xfId="4" applyNumberFormat="1" applyFont="1" applyBorder="1" applyAlignment="1">
      <alignment horizontal="center" vertical="center" wrapText="1"/>
    </xf>
    <xf numFmtId="0" fontId="3" fillId="3" borderId="28" xfId="0" applyFont="1" applyFill="1" applyBorder="1" applyAlignment="1">
      <alignment horizontal="justify" vertical="center" wrapText="1"/>
    </xf>
    <xf numFmtId="9" fontId="3" fillId="5" borderId="22" xfId="1" applyFont="1" applyFill="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vertical="center" wrapText="1"/>
    </xf>
    <xf numFmtId="165" fontId="3" fillId="3" borderId="28" xfId="0" applyNumberFormat="1" applyFont="1" applyFill="1" applyBorder="1" applyAlignment="1">
      <alignment horizontal="center" vertical="center" wrapText="1"/>
    </xf>
    <xf numFmtId="0" fontId="3" fillId="3" borderId="28" xfId="0" applyFont="1" applyFill="1" applyBorder="1" applyAlignment="1">
      <alignment horizontal="justify" vertical="center" wrapText="1"/>
    </xf>
    <xf numFmtId="165" fontId="3" fillId="0" borderId="28" xfId="0" applyNumberFormat="1"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3" fillId="0" borderId="26" xfId="0" applyFont="1" applyBorder="1" applyAlignment="1">
      <alignment horizontal="center" vertical="center" wrapText="1"/>
    </xf>
    <xf numFmtId="0" fontId="16" fillId="0" borderId="21" xfId="0" applyFont="1" applyBorder="1" applyAlignment="1">
      <alignment horizontal="justify" vertical="center" wrapText="1"/>
    </xf>
    <xf numFmtId="9" fontId="16" fillId="0" borderId="21" xfId="0" applyNumberFormat="1" applyFont="1" applyBorder="1" applyAlignment="1">
      <alignment horizontal="justify" vertical="center" wrapText="1"/>
    </xf>
    <xf numFmtId="0" fontId="3" fillId="0" borderId="28" xfId="0" applyFont="1" applyBorder="1" applyAlignment="1">
      <alignment horizontal="justify" vertical="center" wrapText="1"/>
    </xf>
    <xf numFmtId="165" fontId="4" fillId="3" borderId="28" xfId="0" applyNumberFormat="1" applyFont="1" applyFill="1" applyBorder="1" applyAlignment="1">
      <alignment horizontal="center" vertical="center" wrapText="1"/>
    </xf>
    <xf numFmtId="0" fontId="4" fillId="0" borderId="28" xfId="0" applyFont="1" applyBorder="1" applyAlignment="1">
      <alignment horizontal="center" vertical="center" wrapText="1"/>
    </xf>
    <xf numFmtId="165" fontId="4" fillId="0" borderId="28" xfId="0" applyNumberFormat="1" applyFont="1" applyBorder="1" applyAlignment="1">
      <alignment horizontal="center" vertical="center" wrapText="1"/>
    </xf>
    <xf numFmtId="0" fontId="4" fillId="0" borderId="28" xfId="0" applyFont="1" applyBorder="1" applyAlignment="1">
      <alignment horizontal="justify" vertical="center" wrapText="1"/>
    </xf>
    <xf numFmtId="165" fontId="4" fillId="3" borderId="27"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9" fontId="4" fillId="5" borderId="27"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28" xfId="1" applyFont="1" applyFill="1" applyBorder="1" applyAlignment="1">
      <alignment horizontal="center" vertical="center" wrapText="1"/>
    </xf>
    <xf numFmtId="0" fontId="4" fillId="0" borderId="27"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10"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5" borderId="5" xfId="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9" fontId="4" fillId="4" borderId="27"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0" borderId="27"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170" fontId="4" fillId="3" borderId="27" xfId="1" applyNumberFormat="1" applyFont="1" applyFill="1" applyBorder="1" applyAlignment="1">
      <alignment horizontal="center" vertical="center" wrapText="1"/>
    </xf>
    <xf numFmtId="170" fontId="4" fillId="3" borderId="28"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28" xfId="0" applyFont="1" applyFill="1" applyBorder="1" applyAlignment="1">
      <alignment horizontal="justify" vertical="center" wrapText="1"/>
    </xf>
    <xf numFmtId="9" fontId="4" fillId="4" borderId="5" xfId="1" applyFont="1" applyFill="1" applyBorder="1" applyAlignment="1">
      <alignment horizontal="center" vertical="center" wrapText="1"/>
    </xf>
    <xf numFmtId="42" fontId="4" fillId="0" borderId="27"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8" xfId="0" applyNumberFormat="1" applyFont="1" applyBorder="1" applyAlignment="1">
      <alignment horizontal="center" vertical="center" wrapText="1"/>
    </xf>
    <xf numFmtId="165" fontId="4" fillId="0" borderId="27"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9" fontId="4" fillId="4" borderId="4" xfId="1" applyFont="1" applyFill="1" applyBorder="1" applyAlignment="1">
      <alignment horizontal="center" vertical="center" wrapText="1"/>
    </xf>
    <xf numFmtId="9" fontId="4" fillId="8" borderId="27" xfId="1" applyFont="1" applyFill="1" applyBorder="1" applyAlignment="1">
      <alignment horizontal="center" vertical="center" wrapText="1"/>
    </xf>
    <xf numFmtId="9" fontId="4" fillId="8" borderId="28" xfId="1" applyFont="1" applyFill="1" applyBorder="1" applyAlignment="1">
      <alignment horizontal="center" vertical="center" wrapText="1"/>
    </xf>
    <xf numFmtId="165" fontId="4" fillId="3" borderId="5" xfId="4" applyNumberFormat="1" applyFont="1" applyFill="1" applyBorder="1" applyAlignment="1">
      <alignment horizontal="center" vertical="center" wrapText="1"/>
    </xf>
    <xf numFmtId="9" fontId="4" fillId="0" borderId="27" xfId="0" applyNumberFormat="1" applyFont="1" applyBorder="1" applyAlignment="1">
      <alignment horizontal="justify" vertical="center" wrapText="1"/>
    </xf>
    <xf numFmtId="9" fontId="4" fillId="0" borderId="4" xfId="0" applyNumberFormat="1" applyFont="1" applyBorder="1" applyAlignment="1">
      <alignment horizontal="justify" vertical="center" wrapText="1"/>
    </xf>
    <xf numFmtId="9" fontId="4" fillId="0" borderId="28" xfId="0" applyNumberFormat="1" applyFont="1" applyBorder="1" applyAlignment="1">
      <alignment horizontal="justify" vertical="center" wrapText="1"/>
    </xf>
    <xf numFmtId="10" fontId="4" fillId="3" borderId="27" xfId="0" applyNumberFormat="1"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9" fontId="4" fillId="11" borderId="27"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8" xfId="1" applyFont="1" applyFill="1" applyBorder="1" applyAlignment="1">
      <alignment horizontal="center" vertical="center" wrapText="1"/>
    </xf>
    <xf numFmtId="0" fontId="4" fillId="3" borderId="27" xfId="0" applyFont="1" applyFill="1" applyBorder="1" applyAlignment="1">
      <alignment horizontal="justify" vertical="center" wrapText="1"/>
    </xf>
    <xf numFmtId="9" fontId="4" fillId="3" borderId="27" xfId="0" applyNumberFormat="1" applyFont="1" applyFill="1" applyBorder="1" applyAlignment="1">
      <alignment horizontal="justify" vertical="center" wrapText="1"/>
    </xf>
    <xf numFmtId="9" fontId="4" fillId="3" borderId="28" xfId="0" applyNumberFormat="1" applyFont="1" applyFill="1" applyBorder="1" applyAlignment="1">
      <alignment horizontal="justify" vertical="center" wrapText="1"/>
    </xf>
    <xf numFmtId="9" fontId="4" fillId="5" borderId="6" xfId="1" applyFont="1" applyFill="1" applyBorder="1" applyAlignment="1">
      <alignment horizontal="center" vertical="center" wrapText="1"/>
    </xf>
    <xf numFmtId="0" fontId="3" fillId="0" borderId="6" xfId="0" applyFont="1" applyBorder="1" applyAlignment="1">
      <alignment horizontal="center" vertical="center" wrapText="1"/>
    </xf>
    <xf numFmtId="0" fontId="11" fillId="0" borderId="5" xfId="0" applyFont="1" applyBorder="1" applyAlignment="1">
      <alignment horizontal="justify" vertical="center" wrapText="1"/>
    </xf>
    <xf numFmtId="0" fontId="4" fillId="0" borderId="5" xfId="0" applyFont="1" applyBorder="1" applyAlignment="1">
      <alignment horizontal="justify" vertical="center" wrapText="1"/>
    </xf>
    <xf numFmtId="164" fontId="21" fillId="0" borderId="27" xfId="3" applyFont="1" applyBorder="1" applyAlignment="1">
      <alignment horizontal="center" vertical="center" wrapText="1"/>
    </xf>
    <xf numFmtId="164" fontId="21" fillId="0" borderId="28" xfId="3" applyFont="1" applyBorder="1" applyAlignment="1">
      <alignment horizontal="center" vertical="center" wrapText="1"/>
    </xf>
    <xf numFmtId="6" fontId="21" fillId="0" borderId="29" xfId="3" applyNumberFormat="1" applyFont="1" applyBorder="1" applyAlignment="1">
      <alignment horizontal="center" vertical="center" wrapText="1"/>
    </xf>
    <xf numFmtId="43" fontId="21" fillId="0" borderId="30" xfId="3" applyNumberFormat="1" applyFont="1" applyBorder="1" applyAlignment="1">
      <alignment horizontal="center" vertical="center" wrapText="1"/>
    </xf>
    <xf numFmtId="165" fontId="11" fillId="3" borderId="28" xfId="0" applyNumberFormat="1" applyFont="1" applyFill="1" applyBorder="1" applyAlignment="1">
      <alignment horizontal="center" vertical="center" wrapText="1"/>
    </xf>
    <xf numFmtId="9" fontId="4" fillId="6" borderId="27" xfId="1" applyFont="1" applyFill="1" applyBorder="1" applyAlignment="1">
      <alignment horizontal="center" vertical="center" wrapText="1"/>
    </xf>
    <xf numFmtId="9" fontId="4" fillId="6" borderId="28" xfId="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8" borderId="5" xfId="1" applyFont="1" applyFill="1" applyBorder="1" applyAlignment="1">
      <alignment horizontal="center" vertical="center" wrapText="1"/>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0" fontId="11" fillId="0" borderId="27" xfId="0" applyFont="1" applyBorder="1" applyAlignment="1">
      <alignment horizontal="justify" vertical="center" wrapText="1"/>
    </xf>
    <xf numFmtId="9" fontId="4" fillId="7" borderId="27" xfId="1" applyFont="1" applyFill="1" applyBorder="1" applyAlignment="1">
      <alignment horizontal="center" vertical="center" wrapText="1"/>
    </xf>
    <xf numFmtId="9" fontId="4" fillId="7" borderId="28" xfId="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44" fontId="4" fillId="3" borderId="27" xfId="4" applyFont="1" applyFill="1" applyBorder="1" applyAlignment="1">
      <alignment horizontal="center" vertical="center" wrapText="1"/>
    </xf>
    <xf numFmtId="44" fontId="4" fillId="3" borderId="28" xfId="4" applyFont="1" applyFill="1" applyBorder="1" applyAlignment="1">
      <alignment horizontal="center" vertical="center" wrapText="1"/>
    </xf>
    <xf numFmtId="169" fontId="4" fillId="0" borderId="27"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169" fontId="4" fillId="0" borderId="28" xfId="0" applyNumberFormat="1" applyFont="1" applyBorder="1" applyAlignment="1">
      <alignment horizontal="center" vertical="center" wrapText="1"/>
    </xf>
    <xf numFmtId="10" fontId="4" fillId="3" borderId="27"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28" xfId="0" applyNumberFormat="1" applyFont="1" applyFill="1" applyBorder="1" applyAlignment="1">
      <alignment horizontal="justify" vertical="center" wrapText="1"/>
    </xf>
    <xf numFmtId="10"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170" fontId="4" fillId="3" borderId="5" xfId="4" applyNumberFormat="1" applyFont="1" applyFill="1" applyBorder="1" applyAlignment="1">
      <alignment horizontal="center" vertical="center" wrapText="1"/>
    </xf>
    <xf numFmtId="9" fontId="4" fillId="4" borderId="27" xfId="1" applyFont="1" applyFill="1" applyBorder="1" applyAlignment="1">
      <alignment horizontal="center" vertical="center"/>
    </xf>
    <xf numFmtId="9" fontId="4" fillId="4" borderId="28" xfId="1" applyFont="1" applyFill="1" applyBorder="1" applyAlignment="1">
      <alignment horizontal="center" vertical="center"/>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3" borderId="6" xfId="0" applyFont="1" applyFill="1" applyBorder="1" applyAlignment="1">
      <alignment horizontal="justify"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6" fontId="4" fillId="3" borderId="27" xfId="0" applyNumberFormat="1" applyFont="1" applyFill="1" applyBorder="1" applyAlignment="1">
      <alignment horizontal="center" vertical="center" wrapText="1"/>
    </xf>
    <xf numFmtId="42" fontId="4" fillId="3" borderId="28" xfId="0" applyNumberFormat="1" applyFont="1" applyFill="1" applyBorder="1" applyAlignment="1">
      <alignment horizontal="center" vertical="center" wrapText="1"/>
    </xf>
    <xf numFmtId="9" fontId="3" fillId="5" borderId="5" xfId="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9" fontId="3" fillId="5" borderId="27" xfId="1" applyFont="1" applyFill="1" applyBorder="1" applyAlignment="1">
      <alignment horizontal="center" vertical="center" wrapText="1"/>
    </xf>
    <xf numFmtId="9" fontId="3" fillId="5" borderId="4" xfId="1" applyFont="1" applyFill="1" applyBorder="1" applyAlignment="1">
      <alignment horizontal="center" vertical="center" wrapText="1"/>
    </xf>
    <xf numFmtId="9" fontId="3" fillId="5" borderId="28" xfId="1" applyFont="1" applyFill="1" applyBorder="1" applyAlignment="1">
      <alignment horizontal="center" vertical="center" wrapText="1"/>
    </xf>
    <xf numFmtId="0" fontId="3" fillId="3" borderId="4" xfId="0" applyFont="1" applyFill="1" applyBorder="1" applyAlignment="1">
      <alignment horizontal="justify" vertical="center" wrapText="1"/>
    </xf>
    <xf numFmtId="0" fontId="3" fillId="3" borderId="28" xfId="0" applyFont="1" applyFill="1" applyBorder="1" applyAlignment="1">
      <alignment horizontal="justify" vertical="center" wrapText="1"/>
    </xf>
    <xf numFmtId="2" fontId="3" fillId="0" borderId="27"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8" xfId="0" applyNumberFormat="1" applyFont="1" applyBorder="1" applyAlignment="1">
      <alignment horizontal="center" vertical="center"/>
    </xf>
    <xf numFmtId="9" fontId="3" fillId="4" borderId="5" xfId="1" applyFont="1" applyFill="1" applyBorder="1" applyAlignment="1">
      <alignment horizontal="center" vertical="center" wrapText="1"/>
    </xf>
    <xf numFmtId="42" fontId="3" fillId="0" borderId="27" xfId="0" applyNumberFormat="1" applyFont="1" applyBorder="1" applyAlignment="1">
      <alignment horizontal="center" vertical="center" wrapText="1"/>
    </xf>
    <xf numFmtId="42" fontId="3" fillId="0" borderId="4" xfId="0" applyNumberFormat="1" applyFont="1" applyBorder="1" applyAlignment="1">
      <alignment horizontal="center" vertical="center" wrapText="1"/>
    </xf>
    <xf numFmtId="42" fontId="3" fillId="0" borderId="28" xfId="0" applyNumberFormat="1" applyFont="1" applyBorder="1" applyAlignment="1">
      <alignment horizontal="center" vertical="center" wrapText="1"/>
    </xf>
    <xf numFmtId="165" fontId="3" fillId="0" borderId="27"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28" xfId="0" applyNumberFormat="1" applyFont="1" applyBorder="1" applyAlignment="1">
      <alignment horizontal="center" vertical="center" wrapText="1"/>
    </xf>
    <xf numFmtId="9" fontId="3" fillId="4" borderId="27" xfId="1" applyFont="1" applyFill="1" applyBorder="1" applyAlignment="1">
      <alignment horizontal="center" vertical="center" wrapText="1"/>
    </xf>
    <xf numFmtId="9" fontId="3" fillId="4" borderId="4" xfId="1" applyFont="1" applyFill="1" applyBorder="1" applyAlignment="1">
      <alignment horizontal="center" vertical="center" wrapText="1"/>
    </xf>
    <xf numFmtId="9" fontId="3" fillId="4" borderId="28" xfId="1" applyFont="1" applyFill="1" applyBorder="1" applyAlignment="1">
      <alignment horizontal="center" vertical="center" wrapText="1"/>
    </xf>
    <xf numFmtId="0" fontId="3" fillId="0" borderId="27" xfId="0" applyFont="1" applyBorder="1" applyAlignment="1">
      <alignment horizontal="justify" vertical="center" wrapText="1"/>
    </xf>
    <xf numFmtId="0" fontId="3" fillId="0" borderId="4" xfId="0" applyFont="1" applyBorder="1" applyAlignment="1">
      <alignment horizontal="justify" vertical="center" wrapText="1"/>
    </xf>
    <xf numFmtId="165" fontId="3" fillId="3" borderId="27" xfId="0" applyNumberFormat="1" applyFont="1" applyFill="1" applyBorder="1" applyAlignment="1">
      <alignment horizontal="center" vertical="center" wrapText="1"/>
    </xf>
    <xf numFmtId="165" fontId="3" fillId="3" borderId="28" xfId="0" applyNumberFormat="1" applyFont="1" applyFill="1" applyBorder="1" applyAlignment="1">
      <alignment horizontal="center" vertical="center" wrapText="1"/>
    </xf>
    <xf numFmtId="9" fontId="3" fillId="7" borderId="27" xfId="1" applyFont="1" applyFill="1" applyBorder="1" applyAlignment="1">
      <alignment horizontal="center" vertical="center" wrapText="1"/>
    </xf>
    <xf numFmtId="9" fontId="3" fillId="7" borderId="28" xfId="1" applyFont="1" applyFill="1" applyBorder="1" applyAlignment="1">
      <alignment horizontal="center" vertical="center" wrapText="1"/>
    </xf>
    <xf numFmtId="9" fontId="3" fillId="0" borderId="27" xfId="0" applyNumberFormat="1" applyFont="1" applyBorder="1" applyAlignment="1">
      <alignment horizontal="center" vertical="center"/>
    </xf>
    <xf numFmtId="9" fontId="3" fillId="0" borderId="28" xfId="0" applyNumberFormat="1" applyFont="1" applyBorder="1" applyAlignment="1">
      <alignment horizontal="center" vertical="center"/>
    </xf>
    <xf numFmtId="9" fontId="3" fillId="0" borderId="5" xfId="1" applyFont="1" applyFill="1" applyBorder="1" applyAlignment="1">
      <alignment horizontal="center" vertical="center" wrapText="1"/>
    </xf>
    <xf numFmtId="0" fontId="2" fillId="0" borderId="27" xfId="0" applyFont="1" applyBorder="1" applyAlignment="1">
      <alignment horizontal="justify" vertical="center" wrapText="1"/>
    </xf>
    <xf numFmtId="0" fontId="3" fillId="0" borderId="28" xfId="0" applyFont="1" applyBorder="1" applyAlignment="1">
      <alignment horizontal="justify" vertical="center" wrapText="1"/>
    </xf>
    <xf numFmtId="9" fontId="3" fillId="6" borderId="5" xfId="1" applyFont="1" applyFill="1" applyBorder="1" applyAlignment="1">
      <alignment horizontal="center" vertical="center" wrapText="1"/>
    </xf>
    <xf numFmtId="9" fontId="3" fillId="6" borderId="27" xfId="1" applyFont="1" applyFill="1" applyBorder="1" applyAlignment="1">
      <alignment horizontal="center" vertical="center" wrapText="1"/>
    </xf>
    <xf numFmtId="9" fontId="3" fillId="6" borderId="28" xfId="1" applyFont="1" applyFill="1" applyBorder="1" applyAlignment="1">
      <alignment horizontal="center" vertical="center" wrapText="1"/>
    </xf>
    <xf numFmtId="1" fontId="3" fillId="0" borderId="27" xfId="0" applyNumberFormat="1" applyFont="1" applyBorder="1" applyAlignment="1">
      <alignment horizontal="center" vertical="center"/>
    </xf>
    <xf numFmtId="1" fontId="3" fillId="0" borderId="28" xfId="0" applyNumberFormat="1" applyFont="1" applyBorder="1" applyAlignment="1">
      <alignment horizontal="center" vertical="center"/>
    </xf>
    <xf numFmtId="170" fontId="3" fillId="3" borderId="27" xfId="1" applyNumberFormat="1" applyFont="1" applyFill="1" applyBorder="1" applyAlignment="1">
      <alignment horizontal="center" vertical="center" wrapText="1"/>
    </xf>
    <xf numFmtId="170" fontId="3" fillId="3" borderId="28" xfId="1" applyNumberFormat="1" applyFont="1" applyFill="1" applyBorder="1" applyAlignment="1">
      <alignment horizontal="center" vertical="center" wrapText="1"/>
    </xf>
    <xf numFmtId="9" fontId="3" fillId="5" borderId="6" xfId="1" applyFont="1" applyFill="1" applyBorder="1" applyAlignment="1">
      <alignment horizontal="center" vertical="center" wrapText="1"/>
    </xf>
    <xf numFmtId="0" fontId="2" fillId="0" borderId="5" xfId="0" applyFont="1" applyBorder="1" applyAlignment="1">
      <alignment horizontal="justify" vertical="center" wrapText="1"/>
    </xf>
    <xf numFmtId="0" fontId="3" fillId="0" borderId="5" xfId="0" applyFont="1" applyBorder="1" applyAlignment="1">
      <alignment horizontal="justify" vertical="center" wrapText="1"/>
    </xf>
    <xf numFmtId="165" fontId="3" fillId="3" borderId="4" xfId="0" applyNumberFormat="1" applyFont="1" applyFill="1" applyBorder="1" applyAlignment="1">
      <alignment horizontal="center" vertical="center" wrapText="1"/>
    </xf>
    <xf numFmtId="10" fontId="3" fillId="0" borderId="5" xfId="0" applyNumberFormat="1" applyFont="1" applyBorder="1" applyAlignment="1">
      <alignment horizontal="center" vertical="center" wrapText="1"/>
    </xf>
    <xf numFmtId="165" fontId="2" fillId="3" borderId="28" xfId="0" applyNumberFormat="1" applyFont="1" applyFill="1" applyBorder="1" applyAlignment="1">
      <alignment horizontal="center" vertical="center" wrapText="1"/>
    </xf>
    <xf numFmtId="165" fontId="3" fillId="3" borderId="5" xfId="1" applyNumberFormat="1" applyFont="1" applyFill="1" applyBorder="1" applyAlignment="1">
      <alignment horizontal="center" vertical="center" wrapText="1"/>
    </xf>
    <xf numFmtId="1"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xf>
    <xf numFmtId="9" fontId="3" fillId="0" borderId="5" xfId="0" applyNumberFormat="1" applyFont="1" applyBorder="1" applyAlignment="1">
      <alignment horizontal="center"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9" fontId="3" fillId="3" borderId="5" xfId="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9" fontId="3" fillId="8" borderId="5" xfId="1" applyFont="1" applyFill="1" applyBorder="1" applyAlignment="1">
      <alignment horizontal="center" vertical="center" wrapText="1"/>
    </xf>
    <xf numFmtId="44" fontId="3" fillId="3" borderId="27" xfId="4" applyFont="1" applyFill="1" applyBorder="1" applyAlignment="1">
      <alignment horizontal="center" vertical="center" wrapText="1"/>
    </xf>
    <xf numFmtId="44" fontId="3" fillId="3" borderId="28" xfId="4" applyFont="1" applyFill="1" applyBorder="1" applyAlignment="1">
      <alignment horizontal="center" vertical="center" wrapText="1"/>
    </xf>
    <xf numFmtId="9" fontId="3" fillId="8" borderId="27" xfId="1" applyFont="1" applyFill="1" applyBorder="1" applyAlignment="1">
      <alignment horizontal="center" vertical="center" wrapText="1"/>
    </xf>
    <xf numFmtId="9" fontId="3" fillId="8" borderId="28" xfId="1" applyFont="1" applyFill="1" applyBorder="1" applyAlignment="1">
      <alignment horizontal="center" vertical="center" wrapText="1"/>
    </xf>
    <xf numFmtId="1" fontId="3" fillId="0" borderId="5" xfId="0" applyNumberFormat="1" applyFont="1" applyBorder="1" applyAlignment="1">
      <alignment horizontal="center" vertical="center" wrapText="1"/>
    </xf>
    <xf numFmtId="165" fontId="3" fillId="3" borderId="5" xfId="4" applyNumberFormat="1" applyFont="1" applyFill="1" applyBorder="1" applyAlignment="1">
      <alignment horizontal="center" vertical="center" wrapText="1"/>
    </xf>
    <xf numFmtId="10"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70" fontId="3" fillId="3" borderId="5" xfId="4" applyNumberFormat="1" applyFont="1" applyFill="1" applyBorder="1" applyAlignment="1">
      <alignment horizontal="center" vertical="center" wrapText="1"/>
    </xf>
    <xf numFmtId="9" fontId="3" fillId="0" borderId="27" xfId="0" applyNumberFormat="1" applyFont="1" applyBorder="1" applyAlignment="1">
      <alignment horizontal="justify" vertical="center" wrapText="1"/>
    </xf>
    <xf numFmtId="9" fontId="3" fillId="0" borderId="4" xfId="0" applyNumberFormat="1" applyFont="1" applyBorder="1" applyAlignment="1">
      <alignment horizontal="justify" vertical="center" wrapText="1"/>
    </xf>
    <xf numFmtId="9" fontId="3" fillId="0" borderId="28" xfId="0" applyNumberFormat="1" applyFont="1" applyBorder="1" applyAlignment="1">
      <alignment horizontal="justify" vertical="center" wrapText="1"/>
    </xf>
    <xf numFmtId="10" fontId="3" fillId="3" borderId="27" xfId="0" applyNumberFormat="1" applyFont="1" applyFill="1" applyBorder="1" applyAlignment="1">
      <alignment horizontal="center" vertical="center" wrapText="1"/>
    </xf>
    <xf numFmtId="10" fontId="3" fillId="3" borderId="28" xfId="0" applyNumberFormat="1" applyFont="1" applyFill="1" applyBorder="1" applyAlignment="1">
      <alignment horizontal="center" vertical="center" wrapText="1"/>
    </xf>
    <xf numFmtId="9" fontId="3" fillId="11" borderId="27" xfId="1" applyFont="1" applyFill="1" applyBorder="1" applyAlignment="1">
      <alignment horizontal="center" vertical="center" wrapText="1"/>
    </xf>
    <xf numFmtId="9" fontId="3" fillId="11" borderId="4" xfId="1" applyFont="1" applyFill="1" applyBorder="1" applyAlignment="1">
      <alignment horizontal="center" vertical="center" wrapText="1"/>
    </xf>
    <xf numFmtId="9" fontId="3" fillId="11" borderId="28" xfId="1" applyFont="1" applyFill="1" applyBorder="1" applyAlignment="1">
      <alignment horizontal="center" vertical="center" wrapText="1"/>
    </xf>
    <xf numFmtId="0" fontId="3" fillId="3" borderId="27" xfId="0" applyFont="1" applyFill="1" applyBorder="1" applyAlignment="1">
      <alignment horizontal="justify" vertical="center" wrapText="1"/>
    </xf>
    <xf numFmtId="9" fontId="3" fillId="7" borderId="5" xfId="1" applyFont="1" applyFill="1" applyBorder="1" applyAlignment="1">
      <alignment horizontal="center" vertical="center" wrapText="1"/>
    </xf>
    <xf numFmtId="42" fontId="0" fillId="3" borderId="27" xfId="0" applyNumberFormat="1" applyFill="1" applyBorder="1" applyAlignment="1">
      <alignment horizontal="center" vertical="center" wrapText="1"/>
    </xf>
    <xf numFmtId="42" fontId="0" fillId="3" borderId="28" xfId="0" applyNumberFormat="1" applyFill="1" applyBorder="1" applyAlignment="1">
      <alignment horizontal="center" vertical="center" wrapText="1"/>
    </xf>
    <xf numFmtId="165" fontId="0" fillId="3" borderId="27" xfId="0" applyNumberFormat="1" applyFill="1" applyBorder="1" applyAlignment="1">
      <alignment horizontal="center" vertical="center" wrapText="1"/>
    </xf>
    <xf numFmtId="165" fontId="0" fillId="3" borderId="28" xfId="0" applyNumberFormat="1" applyFill="1" applyBorder="1" applyAlignment="1">
      <alignment horizontal="center" vertical="center" wrapText="1"/>
    </xf>
    <xf numFmtId="9" fontId="3" fillId="3" borderId="27" xfId="0" applyNumberFormat="1" applyFont="1" applyFill="1" applyBorder="1" applyAlignment="1">
      <alignment horizontal="justify" vertical="center" wrapText="1"/>
    </xf>
    <xf numFmtId="9" fontId="3" fillId="3" borderId="28" xfId="0" applyNumberFormat="1" applyFont="1" applyFill="1" applyBorder="1" applyAlignment="1">
      <alignment horizontal="justify" vertical="center" wrapText="1"/>
    </xf>
    <xf numFmtId="169" fontId="3" fillId="0" borderId="27"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169" fontId="3" fillId="0" borderId="28" xfId="0" applyNumberFormat="1" applyFont="1" applyBorder="1" applyAlignment="1">
      <alignment horizontal="center" vertical="center" wrapText="1"/>
    </xf>
    <xf numFmtId="10" fontId="3" fillId="3" borderId="27" xfId="0" applyNumberFormat="1" applyFont="1" applyFill="1" applyBorder="1" applyAlignment="1">
      <alignment horizontal="justify" vertical="center" wrapText="1"/>
    </xf>
    <xf numFmtId="10" fontId="3" fillId="3" borderId="4" xfId="0" applyNumberFormat="1" applyFont="1" applyFill="1" applyBorder="1" applyAlignment="1">
      <alignment horizontal="justify" vertical="center" wrapText="1"/>
    </xf>
    <xf numFmtId="10" fontId="3" fillId="3" borderId="28" xfId="0" applyNumberFormat="1" applyFont="1" applyFill="1" applyBorder="1" applyAlignment="1">
      <alignment horizontal="justify" vertical="center" wrapText="1"/>
    </xf>
    <xf numFmtId="9" fontId="3" fillId="0" borderId="25" xfId="0" applyNumberFormat="1" applyFont="1" applyBorder="1" applyAlignment="1">
      <alignment horizontal="center" vertical="center"/>
    </xf>
    <xf numFmtId="9" fontId="3" fillId="0" borderId="26" xfId="0" applyNumberFormat="1" applyFont="1" applyBorder="1" applyAlignment="1">
      <alignment horizontal="center" vertical="center"/>
    </xf>
    <xf numFmtId="9" fontId="3" fillId="4" borderId="27" xfId="1" applyFont="1" applyFill="1" applyBorder="1" applyAlignment="1">
      <alignment horizontal="center" vertical="center"/>
    </xf>
    <xf numFmtId="9" fontId="3" fillId="4" borderId="28" xfId="1" applyFont="1" applyFill="1" applyBorder="1" applyAlignment="1">
      <alignment horizontal="center" vertical="center"/>
    </xf>
    <xf numFmtId="9" fontId="3" fillId="7" borderId="4" xfId="1" applyFont="1" applyFill="1" applyBorder="1" applyAlignment="1">
      <alignment horizontal="center" vertical="center" wrapText="1"/>
    </xf>
    <xf numFmtId="9" fontId="3" fillId="7" borderId="6" xfId="1" applyFont="1" applyFill="1" applyBorder="1" applyAlignment="1">
      <alignment horizontal="center" vertical="center" wrapText="1"/>
    </xf>
    <xf numFmtId="0" fontId="3" fillId="3" borderId="6" xfId="0" applyFont="1" applyFill="1" applyBorder="1" applyAlignment="1">
      <alignment horizontal="justify" vertical="center" wrapText="1"/>
    </xf>
    <xf numFmtId="6" fontId="3" fillId="0" borderId="27" xfId="0" applyNumberFormat="1" applyFont="1" applyBorder="1" applyAlignment="1">
      <alignment horizontal="center" vertical="center" wrapText="1"/>
    </xf>
    <xf numFmtId="9" fontId="3" fillId="0" borderId="27" xfId="0" applyNumberFormat="1" applyFont="1" applyBorder="1" applyAlignment="1">
      <alignment horizontal="center" vertical="center" wrapText="1"/>
    </xf>
    <xf numFmtId="9" fontId="3" fillId="0" borderId="28" xfId="0" applyNumberFormat="1" applyFont="1" applyBorder="1" applyAlignment="1">
      <alignment horizontal="center" vertical="center" wrapText="1"/>
    </xf>
    <xf numFmtId="164" fontId="22" fillId="0" borderId="27" xfId="3" applyFont="1" applyBorder="1" applyAlignment="1">
      <alignment horizontal="center" vertical="center" wrapText="1"/>
    </xf>
    <xf numFmtId="164" fontId="22" fillId="0" borderId="28" xfId="3" applyFont="1" applyBorder="1" applyAlignment="1">
      <alignment horizontal="center" vertical="center" wrapText="1"/>
    </xf>
    <xf numFmtId="9" fontId="3" fillId="3" borderId="5" xfId="0" applyNumberFormat="1" applyFont="1" applyFill="1" applyBorder="1" applyAlignment="1">
      <alignment horizontal="center" vertical="center" wrapText="1"/>
    </xf>
    <xf numFmtId="9" fontId="3" fillId="3" borderId="4" xfId="0" applyNumberFormat="1" applyFont="1" applyFill="1" applyBorder="1" applyAlignment="1">
      <alignment horizontal="justify" vertical="center" wrapText="1"/>
    </xf>
    <xf numFmtId="9" fontId="3" fillId="0" borderId="4" xfId="0" applyNumberFormat="1" applyFont="1" applyBorder="1" applyAlignment="1">
      <alignment horizontal="center" vertical="center" wrapText="1"/>
    </xf>
    <xf numFmtId="9" fontId="3" fillId="20" borderId="27" xfId="1" applyFont="1" applyFill="1" applyBorder="1" applyAlignment="1">
      <alignment horizontal="center" vertical="center" wrapText="1"/>
    </xf>
    <xf numFmtId="9" fontId="3" fillId="20" borderId="4" xfId="1" applyFont="1" applyFill="1" applyBorder="1" applyAlignment="1">
      <alignment horizontal="center" vertical="center" wrapText="1"/>
    </xf>
    <xf numFmtId="9" fontId="3" fillId="20" borderId="6" xfId="1" applyFont="1" applyFill="1" applyBorder="1" applyAlignment="1">
      <alignment horizontal="center" vertical="center" wrapText="1"/>
    </xf>
    <xf numFmtId="0" fontId="3" fillId="0" borderId="20" xfId="0" applyFont="1" applyBorder="1" applyAlignment="1">
      <alignment horizontal="center" vertical="center" wrapText="1"/>
    </xf>
    <xf numFmtId="165" fontId="3" fillId="0" borderId="5" xfId="0" applyNumberFormat="1" applyFont="1" applyBorder="1" applyAlignment="1">
      <alignment horizontal="center" vertical="center" wrapText="1"/>
    </xf>
    <xf numFmtId="2" fontId="16" fillId="0" borderId="5" xfId="0" applyNumberFormat="1" applyFont="1" applyBorder="1" applyAlignment="1">
      <alignment horizontal="center" vertical="center" wrapText="1"/>
    </xf>
    <xf numFmtId="0" fontId="0" fillId="0" borderId="5" xfId="0" applyBorder="1" applyAlignment="1">
      <alignment horizontal="center"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166" fontId="3" fillId="0" borderId="27" xfId="1" applyNumberFormat="1" applyFont="1" applyFill="1" applyBorder="1" applyAlignment="1">
      <alignment horizontal="center" vertical="center"/>
    </xf>
    <xf numFmtId="166" fontId="3" fillId="0" borderId="28" xfId="1" applyNumberFormat="1" applyFont="1" applyFill="1" applyBorder="1" applyAlignment="1">
      <alignment horizontal="center" vertical="center"/>
    </xf>
    <xf numFmtId="10" fontId="3" fillId="0" borderId="27" xfId="0" applyNumberFormat="1" applyFont="1" applyBorder="1" applyAlignment="1">
      <alignment horizontal="center" vertical="center" wrapText="1"/>
    </xf>
    <xf numFmtId="10" fontId="3" fillId="0" borderId="28"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4" xfId="0" applyFont="1" applyBorder="1" applyAlignment="1">
      <alignment horizontal="left" vertical="center" wrapText="1"/>
    </xf>
    <xf numFmtId="0" fontId="3" fillId="0" borderId="15" xfId="0" applyFont="1" applyBorder="1" applyAlignment="1">
      <alignment horizontal="center" vertical="center" wrapText="1"/>
    </xf>
    <xf numFmtId="42" fontId="0" fillId="0" borderId="5" xfId="0" applyNumberFormat="1" applyBorder="1" applyAlignment="1">
      <alignment horizontal="center" vertical="center" wrapText="1"/>
    </xf>
    <xf numFmtId="9" fontId="3" fillId="0" borderId="21"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5"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0" borderId="21" xfId="0" applyFont="1" applyBorder="1" applyAlignment="1">
      <alignment horizontal="left" vertical="center" wrapText="1"/>
    </xf>
    <xf numFmtId="0" fontId="3" fillId="3" borderId="21" xfId="0" applyFont="1" applyFill="1" applyBorder="1" applyAlignment="1">
      <alignment horizontal="left" vertical="center" wrapText="1"/>
    </xf>
    <xf numFmtId="1" fontId="3" fillId="0" borderId="20" xfId="0" applyNumberFormat="1" applyFont="1" applyBorder="1" applyAlignment="1">
      <alignment horizontal="center" vertical="center" wrapText="1"/>
    </xf>
    <xf numFmtId="170" fontId="3" fillId="3" borderId="5" xfId="1" applyNumberFormat="1" applyFont="1" applyFill="1" applyBorder="1" applyAlignment="1">
      <alignment horizontal="center" vertical="center" wrapText="1"/>
    </xf>
    <xf numFmtId="6" fontId="3" fillId="3" borderId="5" xfId="1" applyNumberFormat="1" applyFont="1" applyFill="1" applyBorder="1" applyAlignment="1">
      <alignment horizontal="center" vertical="center" wrapText="1"/>
    </xf>
    <xf numFmtId="164" fontId="16"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9" fontId="3" fillId="0" borderId="20" xfId="0" applyNumberFormat="1" applyFont="1" applyBorder="1" applyAlignment="1">
      <alignment horizontal="center" vertical="center" wrapText="1"/>
    </xf>
    <xf numFmtId="1" fontId="3" fillId="3" borderId="20" xfId="3" applyNumberFormat="1" applyFont="1" applyFill="1" applyBorder="1" applyAlignment="1">
      <alignment horizontal="center" vertical="center" wrapText="1"/>
    </xf>
    <xf numFmtId="1" fontId="3" fillId="0" borderId="20" xfId="3" applyNumberFormat="1" applyFont="1" applyFill="1" applyBorder="1" applyAlignment="1">
      <alignment horizontal="center" vertical="center" wrapText="1"/>
    </xf>
    <xf numFmtId="0" fontId="3" fillId="0" borderId="5" xfId="2" applyFont="1" applyBorder="1" applyAlignment="1">
      <alignment horizontal="center" vertical="center" wrapText="1"/>
    </xf>
    <xf numFmtId="169" fontId="3" fillId="0" borderId="5"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9" fontId="16" fillId="0" borderId="21" xfId="0" applyNumberFormat="1" applyFont="1" applyBorder="1" applyAlignment="1">
      <alignment horizontal="justify" vertical="center" wrapText="1"/>
    </xf>
    <xf numFmtId="165" fontId="3" fillId="0" borderId="5"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3" fillId="0" borderId="20" xfId="0" applyFont="1" applyBorder="1" applyAlignment="1">
      <alignment horizontal="center" vertical="center"/>
    </xf>
    <xf numFmtId="10" fontId="3" fillId="0" borderId="20" xfId="0" applyNumberFormat="1" applyFont="1" applyBorder="1" applyAlignment="1">
      <alignment horizontal="center" vertical="center"/>
    </xf>
    <xf numFmtId="10" fontId="3" fillId="0" borderId="5" xfId="0" applyNumberFormat="1" applyFont="1" applyBorder="1" applyAlignment="1">
      <alignment horizontal="center" vertical="center"/>
    </xf>
    <xf numFmtId="1" fontId="3" fillId="0" borderId="20"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3" fontId="3" fillId="0" borderId="5" xfId="0" applyNumberFormat="1" applyFont="1" applyBorder="1" applyAlignment="1">
      <alignment horizontal="center" vertical="center" wrapText="1"/>
    </xf>
    <xf numFmtId="165" fontId="0" fillId="0" borderId="5" xfId="0" applyNumberFormat="1" applyBorder="1" applyAlignment="1">
      <alignment horizontal="center" vertical="center" wrapText="1"/>
    </xf>
    <xf numFmtId="3" fontId="18" fillId="0" borderId="5" xfId="9" applyNumberFormat="1" applyFont="1" applyBorder="1" applyAlignment="1">
      <alignment horizontal="center" vertical="center"/>
    </xf>
    <xf numFmtId="0" fontId="18" fillId="0" borderId="5" xfId="9" applyNumberFormat="1" applyFont="1" applyBorder="1" applyAlignment="1">
      <alignment horizontal="center" vertical="center"/>
    </xf>
    <xf numFmtId="9" fontId="3" fillId="0" borderId="21" xfId="0" applyNumberFormat="1" applyFont="1" applyBorder="1" applyAlignment="1">
      <alignment horizontal="left" vertical="center" wrapText="1"/>
    </xf>
    <xf numFmtId="3" fontId="17" fillId="0" borderId="5" xfId="0" applyNumberFormat="1" applyFont="1" applyBorder="1" applyAlignment="1">
      <alignment horizontal="center" vertical="center" wrapText="1"/>
    </xf>
    <xf numFmtId="10" fontId="0" fillId="0" borderId="21" xfId="0" applyNumberFormat="1" applyBorder="1" applyAlignment="1">
      <alignment horizontal="center" vertical="center" wrapText="1"/>
    </xf>
    <xf numFmtId="175" fontId="0" fillId="0" borderId="5" xfId="4" applyNumberFormat="1" applyFont="1" applyFill="1" applyBorder="1" applyAlignment="1">
      <alignment horizontal="center" vertical="center" wrapText="1"/>
    </xf>
    <xf numFmtId="10" fontId="3" fillId="0" borderId="20"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175" fontId="0" fillId="0" borderId="5" xfId="4" applyNumberFormat="1" applyFont="1" applyFill="1" applyBorder="1" applyAlignment="1">
      <alignment horizontal="center" vertical="center"/>
    </xf>
    <xf numFmtId="1" fontId="0" fillId="0" borderId="21" xfId="0" applyNumberFormat="1" applyBorder="1" applyAlignment="1">
      <alignment horizontal="center" vertical="center" wrapText="1"/>
    </xf>
    <xf numFmtId="9" fontId="3" fillId="3" borderId="20" xfId="0" applyNumberFormat="1" applyFont="1" applyFill="1" applyBorder="1" applyAlignment="1">
      <alignment horizontal="center" vertical="center" wrapText="1"/>
    </xf>
    <xf numFmtId="0" fontId="3" fillId="0" borderId="20" xfId="3"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10" fontId="3" fillId="0" borderId="20" xfId="1" applyNumberFormat="1" applyFont="1" applyFill="1" applyBorder="1" applyAlignment="1">
      <alignment horizontal="center" vertical="center" wrapText="1"/>
    </xf>
    <xf numFmtId="10" fontId="2" fillId="0" borderId="21" xfId="0" applyNumberFormat="1" applyFont="1" applyBorder="1" applyAlignment="1">
      <alignment horizontal="left" vertical="center" wrapText="1"/>
    </xf>
    <xf numFmtId="10" fontId="3" fillId="0" borderId="21" xfId="0" applyNumberFormat="1" applyFont="1" applyBorder="1" applyAlignment="1">
      <alignment horizontal="left" vertical="center" wrapText="1"/>
    </xf>
    <xf numFmtId="171" fontId="3" fillId="0" borderId="20" xfId="3" applyNumberFormat="1" applyFont="1" applyFill="1" applyBorder="1" applyAlignment="1">
      <alignment vertical="center" wrapText="1"/>
    </xf>
    <xf numFmtId="0" fontId="2" fillId="0" borderId="21" xfId="0" applyFont="1" applyBorder="1" applyAlignment="1">
      <alignment horizontal="left" vertical="center" wrapText="1"/>
    </xf>
    <xf numFmtId="9" fontId="3" fillId="0" borderId="20" xfId="1" applyFont="1" applyFill="1" applyBorder="1" applyAlignment="1">
      <alignment horizontal="center" vertical="center" wrapText="1"/>
    </xf>
    <xf numFmtId="0" fontId="3" fillId="0" borderId="21" xfId="0" applyFont="1" applyBorder="1" applyAlignment="1">
      <alignment vertical="center" wrapText="1"/>
    </xf>
    <xf numFmtId="42" fontId="0" fillId="0" borderId="27" xfId="0" applyNumberFormat="1" applyBorder="1" applyAlignment="1">
      <alignment horizontal="center" vertical="center" wrapText="1"/>
    </xf>
    <xf numFmtId="42" fontId="0" fillId="0" borderId="28" xfId="0" applyNumberFormat="1" applyBorder="1" applyAlignment="1">
      <alignment horizontal="center"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9" fontId="3" fillId="0" borderId="27" xfId="1" applyFont="1" applyFill="1" applyBorder="1" applyAlignment="1">
      <alignment horizontal="center" vertical="center" wrapText="1"/>
    </xf>
    <xf numFmtId="9" fontId="3" fillId="0" borderId="28" xfId="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2" fillId="0" borderId="27" xfId="0" applyFont="1" applyBorder="1" applyAlignment="1">
      <alignment horizontal="left" vertical="center" wrapText="1"/>
    </xf>
    <xf numFmtId="9" fontId="3" fillId="0" borderId="4" xfId="1" applyFont="1" applyFill="1" applyBorder="1" applyAlignment="1">
      <alignment horizontal="center" vertical="center" wrapText="1"/>
    </xf>
    <xf numFmtId="10" fontId="3" fillId="0" borderId="27"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10" fontId="3" fillId="0" borderId="28" xfId="0" applyNumberFormat="1" applyFont="1" applyBorder="1" applyAlignment="1">
      <alignment horizontal="left" vertical="center" wrapText="1"/>
    </xf>
    <xf numFmtId="170" fontId="3" fillId="0" borderId="5" xfId="4" applyNumberFormat="1" applyFont="1" applyFill="1" applyBorder="1" applyAlignment="1">
      <alignment horizontal="center" vertical="center" wrapText="1"/>
    </xf>
    <xf numFmtId="44" fontId="3" fillId="0" borderId="5" xfId="4" applyFont="1" applyFill="1" applyBorder="1" applyAlignment="1">
      <alignment horizontal="center" vertical="center" wrapText="1"/>
    </xf>
    <xf numFmtId="9" fontId="3" fillId="0" borderId="27" xfId="0" applyNumberFormat="1" applyFont="1" applyBorder="1" applyAlignment="1">
      <alignment horizontal="left" vertical="center" wrapText="1"/>
    </xf>
    <xf numFmtId="9" fontId="3" fillId="0" borderId="4" xfId="0" applyNumberFormat="1" applyFont="1" applyBorder="1" applyAlignment="1">
      <alignment horizontal="left" vertical="center" wrapText="1"/>
    </xf>
    <xf numFmtId="9" fontId="3" fillId="0" borderId="28" xfId="0" applyNumberFormat="1" applyFont="1" applyBorder="1" applyAlignment="1">
      <alignment horizontal="left" vertical="center" wrapText="1"/>
    </xf>
    <xf numFmtId="0" fontId="2" fillId="3" borderId="21" xfId="0" applyFont="1" applyFill="1" applyBorder="1" applyAlignment="1">
      <alignment horizontal="left" vertical="center" wrapText="1"/>
    </xf>
    <xf numFmtId="3" fontId="3" fillId="0" borderId="5" xfId="0" applyNumberFormat="1" applyFont="1" applyBorder="1" applyAlignment="1">
      <alignment horizontal="center" vertical="center"/>
    </xf>
    <xf numFmtId="0" fontId="16" fillId="0" borderId="20" xfId="0" applyFont="1" applyBorder="1" applyAlignment="1">
      <alignment horizontal="center" vertical="center" wrapText="1"/>
    </xf>
    <xf numFmtId="9" fontId="3" fillId="0" borderId="20" xfId="1" applyFont="1" applyFill="1" applyBorder="1" applyAlignment="1">
      <alignment horizontal="center" vertical="center"/>
    </xf>
    <xf numFmtId="9" fontId="3" fillId="0" borderId="5" xfId="1" applyFont="1" applyFill="1"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18" fillId="0" borderId="20" xfId="0" applyFont="1" applyBorder="1" applyAlignment="1">
      <alignment horizontal="center" vertical="center" wrapText="1"/>
    </xf>
    <xf numFmtId="9" fontId="0" fillId="0" borderId="20" xfId="0" applyNumberFormat="1" applyBorder="1" applyAlignment="1">
      <alignment horizontal="center" vertical="center"/>
    </xf>
    <xf numFmtId="9" fontId="0" fillId="0" borderId="5" xfId="0" applyNumberFormat="1" applyBorder="1" applyAlignment="1">
      <alignment horizontal="center" vertical="center"/>
    </xf>
    <xf numFmtId="3" fontId="0" fillId="0" borderId="5" xfId="0" applyNumberFormat="1" applyBorder="1" applyAlignment="1">
      <alignment horizontal="center" vertical="center"/>
    </xf>
    <xf numFmtId="10" fontId="0" fillId="0" borderId="20"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3" fontId="0" fillId="0" borderId="5" xfId="0" applyNumberFormat="1" applyBorder="1" applyAlignment="1">
      <alignment horizontal="center" vertical="center" wrapText="1"/>
    </xf>
    <xf numFmtId="175" fontId="0" fillId="0" borderId="5" xfId="4" applyNumberFormat="1" applyFont="1" applyBorder="1" applyAlignment="1">
      <alignment horizontal="center" vertical="center"/>
    </xf>
    <xf numFmtId="175" fontId="0" fillId="3" borderId="5" xfId="4" applyNumberFormat="1" applyFont="1" applyFill="1" applyBorder="1" applyAlignment="1">
      <alignment horizontal="center" vertical="center"/>
    </xf>
    <xf numFmtId="164" fontId="20"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65" fontId="3" fillId="3" borderId="7" xfId="0" applyNumberFormat="1" applyFont="1" applyFill="1" applyBorder="1" applyAlignment="1">
      <alignment horizontal="center" vertical="center" wrapText="1"/>
    </xf>
    <xf numFmtId="0" fontId="0" fillId="0" borderId="21" xfId="0" applyBorder="1" applyAlignment="1">
      <alignment horizontal="left" vertical="center" wrapText="1"/>
    </xf>
    <xf numFmtId="9" fontId="0" fillId="0" borderId="21" xfId="0" applyNumberFormat="1" applyBorder="1" applyAlignment="1">
      <alignment horizontal="left" vertical="center" wrapText="1"/>
    </xf>
    <xf numFmtId="1" fontId="3" fillId="3" borderId="20" xfId="0" applyNumberFormat="1" applyFont="1" applyFill="1" applyBorder="1" applyAlignment="1">
      <alignment horizontal="center" vertical="center" wrapText="1"/>
    </xf>
    <xf numFmtId="0" fontId="0" fillId="0" borderId="21" xfId="0" applyBorder="1" applyAlignment="1">
      <alignment horizontal="center" vertical="top" wrapText="1"/>
    </xf>
    <xf numFmtId="0" fontId="3" fillId="0" borderId="27" xfId="0" applyFont="1" applyBorder="1" applyAlignment="1">
      <alignment horizontal="center" vertical="center"/>
    </xf>
    <xf numFmtId="170" fontId="3" fillId="3" borderId="4"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8" xfId="0" applyFont="1" applyFill="1" applyBorder="1" applyAlignment="1">
      <alignment horizontal="left" vertical="center" wrapText="1"/>
    </xf>
    <xf numFmtId="9" fontId="3" fillId="0" borderId="20" xfId="3" applyNumberFormat="1"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2" fontId="3" fillId="0" borderId="5" xfId="1" applyNumberFormat="1" applyFont="1" applyFill="1" applyBorder="1" applyAlignment="1">
      <alignment horizontal="center" vertical="center" wrapText="1"/>
    </xf>
    <xf numFmtId="44" fontId="3" fillId="0" borderId="27" xfId="4" applyFont="1" applyFill="1" applyBorder="1" applyAlignment="1">
      <alignment horizontal="center" vertical="center" wrapText="1"/>
    </xf>
    <xf numFmtId="44" fontId="3" fillId="0" borderId="28" xfId="4" applyFont="1" applyFill="1" applyBorder="1" applyAlignment="1">
      <alignment horizontal="center" vertical="center" wrapText="1"/>
    </xf>
    <xf numFmtId="9" fontId="3" fillId="0" borderId="27" xfId="1" applyFont="1" applyBorder="1" applyAlignment="1">
      <alignment horizontal="center" vertical="center" wrapText="1"/>
    </xf>
    <xf numFmtId="9" fontId="3" fillId="0" borderId="28" xfId="1" applyFont="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9" fontId="3" fillId="11" borderId="5" xfId="1"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6" fontId="3" fillId="3" borderId="27" xfId="0" applyNumberFormat="1" applyFont="1" applyFill="1" applyBorder="1" applyAlignment="1">
      <alignment horizontal="center" vertical="center" wrapText="1"/>
    </xf>
    <xf numFmtId="42" fontId="3" fillId="3" borderId="28" xfId="0" applyNumberFormat="1" applyFont="1" applyFill="1" applyBorder="1" applyAlignment="1">
      <alignment horizontal="center" vertical="center" wrapText="1"/>
    </xf>
    <xf numFmtId="0" fontId="0" fillId="0" borderId="0" xfId="0" applyAlignment="1">
      <alignment horizont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9" fontId="3" fillId="3" borderId="27" xfId="1" applyFont="1" applyFill="1" applyBorder="1" applyAlignment="1">
      <alignment horizontal="center" vertical="center" wrapText="1"/>
    </xf>
    <xf numFmtId="9" fontId="3" fillId="3" borderId="4" xfId="1" applyFont="1" applyFill="1" applyBorder="1" applyAlignment="1">
      <alignment horizontal="center" vertical="center" wrapText="1"/>
    </xf>
    <xf numFmtId="9" fontId="3" fillId="3" borderId="28" xfId="1" applyFont="1" applyFill="1" applyBorder="1" applyAlignment="1">
      <alignment horizontal="center" vertical="center" wrapText="1"/>
    </xf>
    <xf numFmtId="10" fontId="3" fillId="0" borderId="27" xfId="1" applyNumberFormat="1" applyFont="1" applyFill="1" applyBorder="1" applyAlignment="1">
      <alignment horizontal="center" vertical="center" wrapText="1"/>
    </xf>
    <xf numFmtId="10" fontId="3" fillId="0" borderId="28" xfId="1" applyNumberFormat="1" applyFont="1" applyFill="1" applyBorder="1" applyAlignment="1">
      <alignment horizontal="center" vertical="center" wrapText="1"/>
    </xf>
    <xf numFmtId="9" fontId="3" fillId="0" borderId="6" xfId="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8" xfId="0" applyFont="1" applyFill="1" applyBorder="1" applyAlignment="1">
      <alignment horizontal="right" vertical="center"/>
    </xf>
    <xf numFmtId="0" fontId="8" fillId="15" borderId="16" xfId="0" applyFont="1" applyFill="1" applyBorder="1" applyAlignment="1">
      <alignment horizontal="right" vertical="center"/>
    </xf>
    <xf numFmtId="0" fontId="8" fillId="15" borderId="11" xfId="0" applyFont="1" applyFill="1" applyBorder="1" applyAlignment="1">
      <alignment horizontal="right" vertical="center"/>
    </xf>
    <xf numFmtId="0" fontId="15" fillId="16" borderId="5" xfId="0" applyFont="1" applyFill="1" applyBorder="1" applyAlignment="1">
      <alignment horizontal="center" vertical="center" wrapText="1"/>
    </xf>
    <xf numFmtId="0" fontId="15" fillId="16" borderId="5" xfId="0" applyFont="1" applyFill="1" applyBorder="1" applyAlignment="1">
      <alignment horizontal="justify" vertical="center" wrapText="1"/>
    </xf>
    <xf numFmtId="9" fontId="3" fillId="0" borderId="21" xfId="0" applyNumberFormat="1" applyFont="1" applyBorder="1" applyAlignment="1">
      <alignment horizontal="justify" vertical="center" wrapText="1"/>
    </xf>
    <xf numFmtId="166"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10" fontId="3" fillId="0" borderId="21" xfId="0" applyNumberFormat="1" applyFont="1" applyBorder="1" applyAlignment="1">
      <alignment horizontal="justify" vertical="center" wrapText="1"/>
    </xf>
    <xf numFmtId="1" fontId="3" fillId="0" borderId="21" xfId="0" applyNumberFormat="1" applyFont="1" applyBorder="1" applyAlignment="1">
      <alignment horizontal="justify" vertical="center" wrapText="1"/>
    </xf>
    <xf numFmtId="9" fontId="3" fillId="0" borderId="21" xfId="1" applyFont="1" applyFill="1" applyBorder="1" applyAlignment="1">
      <alignment horizontal="justify" vertical="center" wrapText="1"/>
    </xf>
    <xf numFmtId="1" fontId="3" fillId="0" borderId="21" xfId="0" applyNumberFormat="1" applyFont="1" applyBorder="1" applyAlignment="1">
      <alignment horizontal="justify" vertical="center" wrapText="1"/>
    </xf>
    <xf numFmtId="0" fontId="3" fillId="3" borderId="22" xfId="0" applyFont="1" applyFill="1" applyBorder="1" applyAlignment="1">
      <alignment horizontal="justify" vertical="center" wrapText="1"/>
    </xf>
    <xf numFmtId="0" fontId="0" fillId="3" borderId="0" xfId="0" applyFill="1" applyAlignment="1">
      <alignment horizontal="justify"/>
    </xf>
    <xf numFmtId="0" fontId="3" fillId="3" borderId="21" xfId="0" applyFont="1" applyFill="1" applyBorder="1" applyAlignment="1">
      <alignment horizontal="justify" vertical="center" wrapText="1"/>
    </xf>
    <xf numFmtId="9" fontId="3" fillId="3" borderId="21" xfId="0" applyNumberFormat="1" applyFont="1" applyFill="1" applyBorder="1" applyAlignment="1">
      <alignment horizontal="justify" vertical="center" wrapText="1"/>
    </xf>
    <xf numFmtId="0" fontId="3" fillId="0" borderId="30" xfId="0" applyFont="1" applyBorder="1" applyAlignment="1">
      <alignment horizontal="center" vertical="center" wrapText="1"/>
    </xf>
    <xf numFmtId="0" fontId="15" fillId="16" borderId="5" xfId="0" applyFont="1" applyFill="1" applyBorder="1" applyAlignment="1">
      <alignment horizontal="center" vertical="center"/>
    </xf>
    <xf numFmtId="0" fontId="15" fillId="2" borderId="5" xfId="0" applyFont="1" applyFill="1" applyBorder="1" applyAlignment="1">
      <alignment horizontal="center" vertical="center"/>
    </xf>
    <xf numFmtId="0" fontId="20" fillId="0" borderId="21" xfId="0" applyFont="1" applyBorder="1" applyAlignment="1">
      <alignment horizontal="justify" vertical="top" wrapText="1"/>
    </xf>
    <xf numFmtId="0" fontId="20" fillId="0" borderId="21" xfId="0" applyFont="1" applyBorder="1" applyAlignment="1">
      <alignment horizontal="justify" vertical="top" wrapText="1"/>
    </xf>
    <xf numFmtId="10" fontId="0" fillId="0" borderId="21" xfId="0" applyNumberFormat="1" applyBorder="1" applyAlignment="1">
      <alignment horizontal="justify" vertical="center" wrapText="1"/>
    </xf>
    <xf numFmtId="0" fontId="0" fillId="0" borderId="21" xfId="0" applyBorder="1" applyAlignment="1">
      <alignment horizontal="justify" vertical="center" wrapText="1"/>
    </xf>
    <xf numFmtId="0" fontId="0" fillId="3" borderId="21" xfId="0" applyFill="1" applyBorder="1" applyAlignment="1">
      <alignment horizontal="justify" vertical="center" wrapText="1"/>
    </xf>
    <xf numFmtId="0" fontId="0" fillId="3" borderId="22" xfId="0" applyFill="1" applyBorder="1" applyAlignment="1">
      <alignment horizontal="justify" vertical="center" wrapText="1"/>
    </xf>
    <xf numFmtId="0" fontId="15" fillId="19" borderId="5" xfId="0" applyFont="1" applyFill="1" applyBorder="1" applyAlignment="1">
      <alignment horizontal="center"/>
    </xf>
    <xf numFmtId="0" fontId="15" fillId="19"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0" borderId="26" xfId="0" applyFont="1" applyBorder="1" applyAlignment="1">
      <alignment horizontal="center" vertical="center" wrapText="1"/>
    </xf>
    <xf numFmtId="2" fontId="16" fillId="0" borderId="28" xfId="0" applyNumberFormat="1" applyFont="1" applyBorder="1" applyAlignment="1">
      <alignment horizontal="center" vertical="center" wrapText="1"/>
    </xf>
    <xf numFmtId="0" fontId="16" fillId="0" borderId="30" xfId="0" applyFont="1" applyBorder="1" applyAlignment="1">
      <alignment horizontal="justify" vertical="center" wrapText="1"/>
    </xf>
    <xf numFmtId="0" fontId="16" fillId="0" borderId="28" xfId="0" applyFont="1" applyBorder="1" applyAlignment="1">
      <alignment horizontal="center" vertical="center" wrapText="1"/>
    </xf>
    <xf numFmtId="9" fontId="3" fillId="0" borderId="28" xfId="1" applyFont="1" applyFill="1" applyBorder="1" applyAlignment="1">
      <alignment horizontal="center" vertical="center"/>
    </xf>
    <xf numFmtId="170" fontId="3" fillId="0" borderId="28" xfId="0" applyNumberFormat="1" applyFont="1" applyBorder="1" applyAlignment="1">
      <alignment horizontal="center" vertical="center" wrapText="1"/>
    </xf>
    <xf numFmtId="0" fontId="3" fillId="0" borderId="30" xfId="0" applyFont="1" applyBorder="1" applyAlignment="1">
      <alignment horizontal="justify" vertical="center" wrapText="1"/>
    </xf>
    <xf numFmtId="165" fontId="3" fillId="0" borderId="28" xfId="0" applyNumberFormat="1" applyFont="1" applyBorder="1" applyAlignment="1">
      <alignment horizontal="center" vertical="center"/>
    </xf>
    <xf numFmtId="3" fontId="0" fillId="0" borderId="28" xfId="0" applyNumberFormat="1" applyBorder="1" applyAlignment="1">
      <alignment horizontal="center" vertical="center"/>
    </xf>
    <xf numFmtId="0" fontId="3" fillId="0" borderId="30" xfId="0" applyFont="1" applyBorder="1" applyAlignment="1">
      <alignment vertical="center" wrapText="1"/>
    </xf>
    <xf numFmtId="170" fontId="3" fillId="0" borderId="28" xfId="0" applyNumberFormat="1" applyFont="1" applyBorder="1" applyAlignment="1">
      <alignment horizontal="center" vertical="center"/>
    </xf>
    <xf numFmtId="0" fontId="4" fillId="0" borderId="28" xfId="0" applyFont="1" applyBorder="1" applyAlignment="1">
      <alignment horizontal="center" vertical="center"/>
    </xf>
    <xf numFmtId="9" fontId="4" fillId="5" borderId="28" xfId="1" applyFont="1" applyFill="1" applyBorder="1" applyAlignment="1">
      <alignment horizontal="center" vertical="center"/>
    </xf>
    <xf numFmtId="0" fontId="15" fillId="19" borderId="5" xfId="0" applyFont="1" applyFill="1" applyBorder="1" applyAlignment="1">
      <alignment horizontal="center"/>
    </xf>
    <xf numFmtId="0" fontId="15" fillId="21" borderId="13" xfId="0" applyFont="1" applyFill="1" applyBorder="1" applyAlignment="1">
      <alignment horizontal="center" vertical="center"/>
    </xf>
    <xf numFmtId="0" fontId="15" fillId="21" borderId="32" xfId="0" applyFont="1" applyFill="1" applyBorder="1" applyAlignment="1">
      <alignment horizontal="center" vertical="center"/>
    </xf>
    <xf numFmtId="0" fontId="15" fillId="21" borderId="31" xfId="0" applyFont="1" applyFill="1" applyBorder="1" applyAlignment="1">
      <alignment horizontal="center" vertical="center"/>
    </xf>
    <xf numFmtId="0" fontId="23" fillId="21" borderId="5" xfId="0" applyFont="1" applyFill="1" applyBorder="1" applyAlignment="1">
      <alignment wrapText="1"/>
    </xf>
    <xf numFmtId="0" fontId="23" fillId="21" borderId="5" xfId="0" applyFont="1" applyFill="1" applyBorder="1" applyAlignment="1">
      <alignment horizontal="center" vertical="center" wrapText="1"/>
    </xf>
    <xf numFmtId="0" fontId="23" fillId="22" borderId="14" xfId="0" applyFont="1" applyFill="1" applyBorder="1" applyAlignment="1">
      <alignment horizontal="center" vertical="center" wrapText="1"/>
    </xf>
    <xf numFmtId="0" fontId="23" fillId="22" borderId="33" xfId="0" applyFont="1" applyFill="1" applyBorder="1" applyAlignment="1">
      <alignment horizontal="center" vertical="center" wrapText="1"/>
    </xf>
    <xf numFmtId="0" fontId="23" fillId="22" borderId="34"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23" fillId="22" borderId="35" xfId="0" applyFont="1" applyFill="1" applyBorder="1" applyAlignment="1">
      <alignment horizontal="center" vertical="center" wrapText="1"/>
    </xf>
    <xf numFmtId="0" fontId="23" fillId="22" borderId="36" xfId="0" applyFont="1" applyFill="1" applyBorder="1" applyAlignment="1">
      <alignment horizontal="center" vertical="center" wrapText="1"/>
    </xf>
    <xf numFmtId="0" fontId="24" fillId="21" borderId="5" xfId="0" applyFont="1" applyFill="1" applyBorder="1" applyAlignment="1">
      <alignment wrapText="1"/>
    </xf>
    <xf numFmtId="0" fontId="11" fillId="0" borderId="4"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1" fillId="0" borderId="5"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2" fillId="0" borderId="0" xfId="0" applyFont="1"/>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85">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99CC"/>
      <color rgb="FFF98607"/>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17</c:v>
                </c:pt>
                <c:pt idx="1">
                  <c:v>8</c:v>
                </c:pt>
                <c:pt idx="2">
                  <c:v>3</c:v>
                </c:pt>
                <c:pt idx="3">
                  <c:v>1</c:v>
                </c:pt>
                <c:pt idx="4">
                  <c:v>32</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91"/>
  <sheetViews>
    <sheetView showGridLines="0" tabSelected="1" zoomScale="60" zoomScaleNormal="60" zoomScalePageLayoutView="50" workbookViewId="0">
      <selection sqref="A1:J1"/>
    </sheetView>
  </sheetViews>
  <sheetFormatPr baseColWidth="10" defaultRowHeight="15" x14ac:dyDescent="0.25"/>
  <cols>
    <col min="1" max="1" width="21" style="816" customWidth="1"/>
    <col min="2" max="2" width="9.5703125" customWidth="1"/>
    <col min="3" max="3" width="18.42578125" customWidth="1"/>
    <col min="4" max="4" width="9.140625" style="59" customWidth="1"/>
    <col min="5" max="5" width="23.85546875" style="59" customWidth="1"/>
    <col min="6" max="6" width="19.7109375" style="59" customWidth="1"/>
    <col min="7" max="7" width="22.5703125" style="59" customWidth="1"/>
    <col min="8" max="8" width="21.140625" style="59" customWidth="1"/>
    <col min="9" max="9" width="17.7109375" style="59" customWidth="1"/>
    <col min="10" max="10" width="12.140625" style="59" customWidth="1"/>
    <col min="11" max="11" width="10.140625" style="59" customWidth="1"/>
    <col min="12" max="12" width="13" style="59" customWidth="1"/>
    <col min="13" max="13" width="8.28515625" style="59" customWidth="1"/>
    <col min="14" max="14" width="10.42578125" style="59" customWidth="1"/>
    <col min="15" max="15" width="11.42578125" style="59" customWidth="1"/>
    <col min="16" max="16" width="9.5703125" style="59" customWidth="1"/>
    <col min="17" max="17" width="37.5703125" style="59" bestFit="1" customWidth="1"/>
    <col min="18" max="18" width="11.42578125" style="4" customWidth="1"/>
    <col min="19" max="19" width="11.5703125" style="4" customWidth="1"/>
    <col min="20" max="20" width="10.5703125" style="16" customWidth="1"/>
    <col min="21" max="21" width="14.28515625" style="30" customWidth="1"/>
    <col min="22" max="22" width="17.28515625" style="30" customWidth="1"/>
    <col min="23" max="23" width="19.7109375" customWidth="1"/>
    <col min="24" max="24" width="39.7109375" customWidth="1"/>
    <col min="25" max="25" width="14.7109375" style="4" customWidth="1"/>
    <col min="26" max="26" width="11.5703125" style="4" customWidth="1"/>
    <col min="27" max="27" width="12.7109375" style="16" customWidth="1"/>
    <col min="28" max="28" width="18.7109375" style="30" customWidth="1"/>
    <col min="29" max="29" width="20.28515625" style="30" customWidth="1"/>
    <col min="30" max="30" width="22.140625" customWidth="1"/>
    <col min="31" max="31" width="35.42578125" style="370" customWidth="1"/>
    <col min="32" max="32" width="13.42578125" customWidth="1"/>
    <col min="33" max="34" width="11.42578125" customWidth="1"/>
    <col min="35" max="35" width="16.5703125" customWidth="1"/>
    <col min="36" max="36" width="18.140625" customWidth="1"/>
    <col min="37" max="37" width="19.85546875" customWidth="1"/>
    <col min="38" max="38" width="44.85546875" customWidth="1"/>
    <col min="39" max="39" width="10" customWidth="1"/>
    <col min="40" max="41" width="13.42578125" customWidth="1"/>
    <col min="42" max="42" width="15.42578125" customWidth="1"/>
    <col min="43" max="43" width="13.7109375" customWidth="1"/>
    <col min="44" max="44" width="34.42578125" customWidth="1"/>
    <col min="45" max="45" width="31.5703125" style="370" customWidth="1"/>
    <col min="46" max="46" width="10.7109375" customWidth="1"/>
    <col min="47" max="47" width="8.5703125" customWidth="1"/>
    <col min="48" max="48" width="10.140625" customWidth="1"/>
    <col min="49" max="49" width="17.140625" customWidth="1"/>
    <col min="50" max="50" width="16.140625" customWidth="1"/>
    <col min="51" max="51" width="19.140625" customWidth="1"/>
    <col min="52" max="52" width="43.42578125" customWidth="1"/>
    <col min="53" max="53" width="12.7109375" customWidth="1"/>
    <col min="54" max="54" width="9" customWidth="1"/>
    <col min="55" max="55" width="10.85546875" customWidth="1"/>
    <col min="56" max="56" width="14.140625" customWidth="1"/>
    <col min="57" max="57" width="11.42578125" customWidth="1"/>
    <col min="58" max="58" width="18" customWidth="1"/>
    <col min="59" max="59" width="41.42578125" style="370" customWidth="1"/>
    <col min="60" max="60" width="13.5703125" customWidth="1"/>
    <col min="61" max="61" width="12.42578125" customWidth="1"/>
    <col min="62" max="62" width="17.28515625" customWidth="1"/>
    <col min="63" max="63" width="18.85546875" customWidth="1"/>
    <col min="64" max="64" width="19.7109375" customWidth="1"/>
    <col min="65" max="65" width="37.7109375" customWidth="1"/>
    <col min="66" max="66" width="61.7109375" customWidth="1"/>
    <col min="67" max="67" width="14.7109375" customWidth="1"/>
    <col min="68" max="68" width="9.85546875" customWidth="1"/>
    <col min="69" max="69" width="20.42578125" customWidth="1"/>
    <col min="70" max="70" width="17.140625" customWidth="1"/>
    <col min="71" max="71" width="13.28515625" customWidth="1"/>
    <col min="72" max="72" width="18.140625" customWidth="1"/>
    <col min="73" max="73" width="57.85546875" customWidth="1"/>
    <col min="74" max="74" width="20.28515625" customWidth="1"/>
    <col min="75" max="75" width="18" customWidth="1"/>
    <col min="76" max="76" width="17.85546875" customWidth="1"/>
    <col min="77" max="77" width="21.7109375" customWidth="1"/>
    <col min="78" max="78" width="30.7109375" customWidth="1"/>
    <col min="79" max="79" width="20.28515625" customWidth="1"/>
    <col min="80" max="80" width="29.5703125" customWidth="1"/>
    <col min="81" max="81" width="64.140625" customWidth="1"/>
    <col min="82" max="83" width="15.85546875" customWidth="1"/>
    <col min="84" max="85" width="14.140625" customWidth="1"/>
    <col min="86" max="87" width="17.85546875" customWidth="1"/>
    <col min="88" max="88" width="29.85546875" customWidth="1"/>
    <col min="89" max="89" width="68.28515625" customWidth="1"/>
    <col min="90" max="90" width="10.7109375" hidden="1" customWidth="1"/>
    <col min="91" max="91" width="7.7109375" hidden="1" customWidth="1"/>
    <col min="92" max="92" width="6.5703125" hidden="1" customWidth="1"/>
    <col min="93" max="93" width="16.85546875" hidden="1" customWidth="1"/>
    <col min="94" max="94" width="15.7109375" hidden="1" customWidth="1"/>
    <col min="95" max="95" width="5.7109375" hidden="1" customWidth="1"/>
    <col min="96" max="96" width="35.5703125" hidden="1" customWidth="1"/>
    <col min="97" max="97" width="87" hidden="1" customWidth="1"/>
    <col min="98" max="98" width="19" customWidth="1"/>
    <col min="99" max="99" width="14" customWidth="1"/>
    <col min="100" max="100" width="17.7109375" customWidth="1"/>
    <col min="101" max="101" width="25.140625" customWidth="1"/>
    <col min="102" max="102" width="21.140625" style="231" customWidth="1"/>
    <col min="103" max="103" width="19.140625" customWidth="1"/>
    <col min="104" max="104" width="19.28515625" customWidth="1"/>
    <col min="105" max="105" width="40.140625" style="232" customWidth="1"/>
    <col min="106" max="106" width="16.140625" customWidth="1"/>
    <col min="107" max="107" width="19.5703125" customWidth="1"/>
    <col min="108" max="108" width="26.85546875" customWidth="1"/>
  </cols>
  <sheetData>
    <row r="1" spans="1:109" ht="36.75" customHeight="1" x14ac:dyDescent="0.25">
      <c r="A1" s="798" t="s">
        <v>467</v>
      </c>
      <c r="B1" s="799"/>
      <c r="C1" s="799"/>
      <c r="D1" s="799"/>
      <c r="E1" s="799"/>
      <c r="F1" s="799"/>
      <c r="G1" s="799"/>
      <c r="H1" s="799"/>
      <c r="I1" s="799"/>
      <c r="J1" s="800"/>
      <c r="K1" s="803" t="s">
        <v>1252</v>
      </c>
      <c r="L1" s="804"/>
      <c r="M1" s="804"/>
      <c r="N1" s="804"/>
      <c r="O1" s="804"/>
      <c r="P1" s="804"/>
      <c r="Q1" s="805"/>
      <c r="R1" s="773">
        <v>2014</v>
      </c>
      <c r="S1" s="773"/>
      <c r="T1" s="773"/>
      <c r="U1" s="773"/>
      <c r="V1" s="773"/>
      <c r="W1" s="773"/>
      <c r="X1" s="773"/>
      <c r="Y1" s="773">
        <v>2015</v>
      </c>
      <c r="Z1" s="773"/>
      <c r="AA1" s="773"/>
      <c r="AB1" s="773"/>
      <c r="AC1" s="773"/>
      <c r="AD1" s="773"/>
      <c r="AE1" s="773"/>
      <c r="AF1" s="773">
        <v>2016</v>
      </c>
      <c r="AG1" s="773"/>
      <c r="AH1" s="773"/>
      <c r="AI1" s="773"/>
      <c r="AJ1" s="773"/>
      <c r="AK1" s="773"/>
      <c r="AL1" s="773"/>
      <c r="AM1" s="773">
        <v>2017</v>
      </c>
      <c r="AN1" s="773"/>
      <c r="AO1" s="773"/>
      <c r="AP1" s="773"/>
      <c r="AQ1" s="773"/>
      <c r="AR1" s="773"/>
      <c r="AS1" s="773"/>
      <c r="AT1" s="773">
        <v>2018</v>
      </c>
      <c r="AU1" s="773"/>
      <c r="AV1" s="773"/>
      <c r="AW1" s="773"/>
      <c r="AX1" s="773"/>
      <c r="AY1" s="773"/>
      <c r="AZ1" s="773"/>
      <c r="BA1" s="773">
        <v>2019</v>
      </c>
      <c r="BB1" s="773"/>
      <c r="BC1" s="773"/>
      <c r="BD1" s="773"/>
      <c r="BE1" s="773"/>
      <c r="BF1" s="773"/>
      <c r="BG1" s="773"/>
      <c r="BH1" s="773">
        <v>2020</v>
      </c>
      <c r="BI1" s="773"/>
      <c r="BJ1" s="773"/>
      <c r="BK1" s="773"/>
      <c r="BL1" s="773"/>
      <c r="BM1" s="773"/>
      <c r="BN1" s="773"/>
      <c r="BO1" s="773">
        <v>2021</v>
      </c>
      <c r="BP1" s="773"/>
      <c r="BQ1" s="773"/>
      <c r="BR1" s="773"/>
      <c r="BS1" s="773"/>
      <c r="BT1" s="773"/>
      <c r="BU1" s="773"/>
      <c r="BV1" s="774">
        <v>2022</v>
      </c>
      <c r="BW1" s="774"/>
      <c r="BX1" s="774"/>
      <c r="BY1" s="774"/>
      <c r="BZ1" s="774"/>
      <c r="CA1" s="774"/>
      <c r="CB1" s="774"/>
      <c r="CC1" s="774"/>
      <c r="CD1" s="774">
        <v>2023</v>
      </c>
      <c r="CE1" s="774"/>
      <c r="CF1" s="774"/>
      <c r="CG1" s="774"/>
      <c r="CH1" s="774"/>
      <c r="CI1" s="774"/>
      <c r="CJ1" s="774"/>
      <c r="CK1" s="774"/>
      <c r="CL1" s="781" t="s">
        <v>1176</v>
      </c>
      <c r="CM1" s="781"/>
      <c r="CN1" s="781"/>
      <c r="CO1" s="781"/>
      <c r="CP1" s="781"/>
      <c r="CQ1" s="781"/>
      <c r="CR1" s="781"/>
      <c r="CS1" s="781"/>
      <c r="CT1" s="774" t="s">
        <v>1034</v>
      </c>
      <c r="CU1" s="774"/>
      <c r="CV1" s="774"/>
      <c r="CW1" s="774"/>
      <c r="CX1" s="774"/>
      <c r="CY1" s="774"/>
      <c r="CZ1" s="774"/>
      <c r="DA1" s="774"/>
      <c r="DB1" s="781" t="s">
        <v>896</v>
      </c>
      <c r="DC1" s="781"/>
      <c r="DD1" s="781"/>
    </row>
    <row r="2" spans="1:109" ht="36.75" customHeight="1" x14ac:dyDescent="0.25">
      <c r="A2" s="809" t="s">
        <v>1243</v>
      </c>
      <c r="B2" s="801" t="s">
        <v>1244</v>
      </c>
      <c r="C2" s="801" t="s">
        <v>1245</v>
      </c>
      <c r="D2" s="802" t="s">
        <v>1246</v>
      </c>
      <c r="E2" s="802" t="s">
        <v>1247</v>
      </c>
      <c r="F2" s="802" t="s">
        <v>0</v>
      </c>
      <c r="G2" s="802" t="s">
        <v>1248</v>
      </c>
      <c r="H2" s="802" t="s">
        <v>1249</v>
      </c>
      <c r="I2" s="802" t="s">
        <v>1250</v>
      </c>
      <c r="J2" s="802" t="s">
        <v>1251</v>
      </c>
      <c r="K2" s="806"/>
      <c r="L2" s="807"/>
      <c r="M2" s="807"/>
      <c r="N2" s="807"/>
      <c r="O2" s="807"/>
      <c r="P2" s="807"/>
      <c r="Q2" s="808"/>
      <c r="R2" s="759" t="s">
        <v>1236</v>
      </c>
      <c r="S2" s="759" t="s">
        <v>1237</v>
      </c>
      <c r="T2" s="759" t="s">
        <v>1238</v>
      </c>
      <c r="U2" s="759" t="s">
        <v>1239</v>
      </c>
      <c r="V2" s="759" t="s">
        <v>1240</v>
      </c>
      <c r="W2" s="759" t="s">
        <v>1241</v>
      </c>
      <c r="X2" s="759" t="s">
        <v>1235</v>
      </c>
      <c r="Y2" s="759" t="s">
        <v>1236</v>
      </c>
      <c r="Z2" s="759" t="s">
        <v>1237</v>
      </c>
      <c r="AA2" s="759" t="s">
        <v>1238</v>
      </c>
      <c r="AB2" s="759" t="s">
        <v>1239</v>
      </c>
      <c r="AC2" s="759" t="s">
        <v>1240</v>
      </c>
      <c r="AD2" s="759" t="s">
        <v>1241</v>
      </c>
      <c r="AE2" s="760" t="s">
        <v>1235</v>
      </c>
      <c r="AF2" s="759" t="s">
        <v>1236</v>
      </c>
      <c r="AG2" s="759" t="s">
        <v>1237</v>
      </c>
      <c r="AH2" s="759" t="s">
        <v>1238</v>
      </c>
      <c r="AI2" s="759" t="s">
        <v>1239</v>
      </c>
      <c r="AJ2" s="759" t="s">
        <v>1240</v>
      </c>
      <c r="AK2" s="759" t="s">
        <v>1241</v>
      </c>
      <c r="AL2" s="759" t="s">
        <v>1235</v>
      </c>
      <c r="AM2" s="759" t="s">
        <v>1236</v>
      </c>
      <c r="AN2" s="759" t="s">
        <v>1237</v>
      </c>
      <c r="AO2" s="759" t="s">
        <v>1238</v>
      </c>
      <c r="AP2" s="759" t="s">
        <v>1239</v>
      </c>
      <c r="AQ2" s="759" t="s">
        <v>1240</v>
      </c>
      <c r="AR2" s="759" t="s">
        <v>1241</v>
      </c>
      <c r="AS2" s="760" t="s">
        <v>1235</v>
      </c>
      <c r="AT2" s="759" t="s">
        <v>1236</v>
      </c>
      <c r="AU2" s="759" t="s">
        <v>1237</v>
      </c>
      <c r="AV2" s="759" t="s">
        <v>1238</v>
      </c>
      <c r="AW2" s="759" t="s">
        <v>1239</v>
      </c>
      <c r="AX2" s="759" t="s">
        <v>1240</v>
      </c>
      <c r="AY2" s="759" t="s">
        <v>1241</v>
      </c>
      <c r="AZ2" s="759" t="s">
        <v>1235</v>
      </c>
      <c r="BA2" s="759" t="s">
        <v>1236</v>
      </c>
      <c r="BB2" s="759" t="s">
        <v>1237</v>
      </c>
      <c r="BC2" s="759" t="s">
        <v>1238</v>
      </c>
      <c r="BD2" s="759" t="s">
        <v>1239</v>
      </c>
      <c r="BE2" s="759" t="s">
        <v>1240</v>
      </c>
      <c r="BF2" s="759" t="s">
        <v>1241</v>
      </c>
      <c r="BG2" s="759" t="s">
        <v>1235</v>
      </c>
      <c r="BH2" s="759" t="s">
        <v>1236</v>
      </c>
      <c r="BI2" s="759" t="s">
        <v>1237</v>
      </c>
      <c r="BJ2" s="759" t="s">
        <v>1238</v>
      </c>
      <c r="BK2" s="759" t="s">
        <v>1239</v>
      </c>
      <c r="BL2" s="759" t="s">
        <v>1240</v>
      </c>
      <c r="BM2" s="759" t="s">
        <v>1241</v>
      </c>
      <c r="BN2" s="759" t="s">
        <v>1235</v>
      </c>
      <c r="BO2" s="759" t="s">
        <v>1236</v>
      </c>
      <c r="BP2" s="759" t="s">
        <v>1237</v>
      </c>
      <c r="BQ2" s="759" t="s">
        <v>1238</v>
      </c>
      <c r="BR2" s="759" t="s">
        <v>1239</v>
      </c>
      <c r="BS2" s="759" t="s">
        <v>1240</v>
      </c>
      <c r="BT2" s="759" t="s">
        <v>1241</v>
      </c>
      <c r="BU2" s="759" t="s">
        <v>1235</v>
      </c>
      <c r="BV2" s="759" t="s">
        <v>1236</v>
      </c>
      <c r="BW2" s="759" t="s">
        <v>1237</v>
      </c>
      <c r="BX2" s="759" t="s">
        <v>1238</v>
      </c>
      <c r="BY2" s="759" t="s">
        <v>1239</v>
      </c>
      <c r="BZ2" s="759" t="s">
        <v>1240</v>
      </c>
      <c r="CA2" s="759" t="s">
        <v>1238</v>
      </c>
      <c r="CB2" s="759" t="s">
        <v>1241</v>
      </c>
      <c r="CC2" s="759" t="s">
        <v>1235</v>
      </c>
      <c r="CD2" s="759" t="s">
        <v>1236</v>
      </c>
      <c r="CE2" s="759" t="s">
        <v>1237</v>
      </c>
      <c r="CF2" s="759" t="s">
        <v>1238</v>
      </c>
      <c r="CG2" s="759" t="s">
        <v>1239</v>
      </c>
      <c r="CH2" s="759" t="s">
        <v>1240</v>
      </c>
      <c r="CI2" s="759" t="s">
        <v>1238</v>
      </c>
      <c r="CJ2" s="759" t="s">
        <v>1241</v>
      </c>
      <c r="CK2" s="759" t="s">
        <v>1235</v>
      </c>
      <c r="CL2" s="797"/>
      <c r="CM2" s="797"/>
      <c r="CN2" s="797"/>
      <c r="CO2" s="797"/>
      <c r="CP2" s="797"/>
      <c r="CQ2" s="797"/>
      <c r="CR2" s="797"/>
      <c r="CS2" s="797"/>
      <c r="CT2" s="783" t="s">
        <v>1236</v>
      </c>
      <c r="CU2" s="783" t="s">
        <v>1237</v>
      </c>
      <c r="CV2" s="783" t="s">
        <v>1238</v>
      </c>
      <c r="CW2" s="783" t="s">
        <v>1239</v>
      </c>
      <c r="CX2" s="783" t="s">
        <v>1240</v>
      </c>
      <c r="CY2" s="783" t="s">
        <v>1238</v>
      </c>
      <c r="CZ2" s="783" t="s">
        <v>1241</v>
      </c>
      <c r="DA2" s="783" t="s">
        <v>1235</v>
      </c>
      <c r="DB2" s="782" t="s">
        <v>1236</v>
      </c>
      <c r="DC2" s="782" t="s">
        <v>1237</v>
      </c>
      <c r="DD2" s="782" t="s">
        <v>1238</v>
      </c>
    </row>
    <row r="3" spans="1:109" ht="178.5" customHeight="1" x14ac:dyDescent="0.25">
      <c r="A3" s="810" t="s">
        <v>1</v>
      </c>
      <c r="B3" s="431" t="s">
        <v>2</v>
      </c>
      <c r="C3" s="609" t="s">
        <v>1242</v>
      </c>
      <c r="D3" s="648" t="s">
        <v>435</v>
      </c>
      <c r="E3" s="418" t="s">
        <v>3</v>
      </c>
      <c r="F3" s="386" t="s">
        <v>4</v>
      </c>
      <c r="G3" s="386" t="s">
        <v>5</v>
      </c>
      <c r="H3" s="386" t="s">
        <v>906</v>
      </c>
      <c r="I3" s="386" t="s">
        <v>6</v>
      </c>
      <c r="J3" s="386">
        <v>12</v>
      </c>
      <c r="K3" s="418" t="s">
        <v>272</v>
      </c>
      <c r="L3" s="418" t="s">
        <v>347</v>
      </c>
      <c r="M3" s="418" t="s">
        <v>274</v>
      </c>
      <c r="N3" s="418" t="s">
        <v>404</v>
      </c>
      <c r="O3" s="418" t="s">
        <v>274</v>
      </c>
      <c r="P3" s="418" t="s">
        <v>275</v>
      </c>
      <c r="Q3" s="772">
        <v>12</v>
      </c>
      <c r="R3" s="784">
        <v>3</v>
      </c>
      <c r="S3" s="785"/>
      <c r="T3" s="785">
        <v>0</v>
      </c>
      <c r="U3" s="785"/>
      <c r="V3" s="785" t="s">
        <v>468</v>
      </c>
      <c r="W3" s="418" t="s">
        <v>243</v>
      </c>
      <c r="X3" s="786" t="s">
        <v>469</v>
      </c>
      <c r="Y3" s="784">
        <v>3</v>
      </c>
      <c r="Z3" s="787">
        <v>3</v>
      </c>
      <c r="AA3" s="788">
        <f>Z3/Y3</f>
        <v>1</v>
      </c>
      <c r="AB3" s="789"/>
      <c r="AC3" s="390"/>
      <c r="AD3" s="418" t="s">
        <v>243</v>
      </c>
      <c r="AE3" s="786" t="s">
        <v>583</v>
      </c>
      <c r="AF3" s="395">
        <v>5</v>
      </c>
      <c r="AG3" s="386">
        <v>2</v>
      </c>
      <c r="AH3" s="788">
        <f>AG3/AF3</f>
        <v>0.4</v>
      </c>
      <c r="AI3" s="515" t="s">
        <v>614</v>
      </c>
      <c r="AJ3" s="515" t="s">
        <v>615</v>
      </c>
      <c r="AK3" s="418" t="s">
        <v>243</v>
      </c>
      <c r="AL3" s="790" t="s">
        <v>647</v>
      </c>
      <c r="AM3" s="391">
        <v>7</v>
      </c>
      <c r="AN3" s="392">
        <v>2</v>
      </c>
      <c r="AO3" s="788">
        <f>AN3/AM3</f>
        <v>0.2857142857142857</v>
      </c>
      <c r="AP3" s="791" t="s">
        <v>700</v>
      </c>
      <c r="AQ3" s="791" t="s">
        <v>701</v>
      </c>
      <c r="AR3" s="418" t="s">
        <v>243</v>
      </c>
      <c r="AS3" s="790" t="s">
        <v>730</v>
      </c>
      <c r="AT3" s="393">
        <v>10</v>
      </c>
      <c r="AU3" s="394">
        <v>5</v>
      </c>
      <c r="AV3" s="788">
        <f>AU3/AT3</f>
        <v>0.5</v>
      </c>
      <c r="AW3" s="792">
        <v>25000000</v>
      </c>
      <c r="AX3" s="792">
        <v>23993333</v>
      </c>
      <c r="AY3" s="418" t="s">
        <v>243</v>
      </c>
      <c r="AZ3" s="793" t="s">
        <v>779</v>
      </c>
      <c r="BA3" s="391">
        <v>12</v>
      </c>
      <c r="BB3" s="394">
        <v>7</v>
      </c>
      <c r="BC3" s="788">
        <f>BB3/BA3</f>
        <v>0.58333333333333337</v>
      </c>
      <c r="BD3" s="515">
        <v>32000000</v>
      </c>
      <c r="BE3" s="515">
        <v>31440300</v>
      </c>
      <c r="BF3" s="418" t="s">
        <v>243</v>
      </c>
      <c r="BG3" s="790" t="s">
        <v>851</v>
      </c>
      <c r="BH3" s="391">
        <v>9</v>
      </c>
      <c r="BI3" s="392">
        <v>8</v>
      </c>
      <c r="BJ3" s="788">
        <f>(BI3/BH3)*1</f>
        <v>0.88888888888888884</v>
      </c>
      <c r="BK3" s="390" t="s">
        <v>477</v>
      </c>
      <c r="BL3" s="390">
        <v>6400000</v>
      </c>
      <c r="BM3" s="418" t="s">
        <v>243</v>
      </c>
      <c r="BN3" s="793" t="s">
        <v>478</v>
      </c>
      <c r="BO3" s="391">
        <v>9</v>
      </c>
      <c r="BP3" s="392">
        <v>8</v>
      </c>
      <c r="BQ3" s="788">
        <f>BP3/BO3</f>
        <v>0.88888888888888884</v>
      </c>
      <c r="BR3" s="794">
        <v>8655000</v>
      </c>
      <c r="BS3" s="390">
        <v>8655000</v>
      </c>
      <c r="BT3" s="418" t="s">
        <v>243</v>
      </c>
      <c r="BU3" s="793" t="s">
        <v>1035</v>
      </c>
      <c r="BV3" s="392">
        <v>10</v>
      </c>
      <c r="BW3" s="392">
        <v>9</v>
      </c>
      <c r="BX3" s="788">
        <f>BW3/BV3</f>
        <v>0.9</v>
      </c>
      <c r="BY3" s="789">
        <f>34620000+26400000</f>
        <v>61020000</v>
      </c>
      <c r="BZ3" s="390">
        <v>28850000</v>
      </c>
      <c r="CA3" s="788">
        <f>BZ3/BY3</f>
        <v>0.47279580465421173</v>
      </c>
      <c r="CB3" s="386" t="s">
        <v>906</v>
      </c>
      <c r="CC3" s="387" t="s">
        <v>955</v>
      </c>
      <c r="CD3" s="392">
        <v>12</v>
      </c>
      <c r="CE3" s="392">
        <v>9</v>
      </c>
      <c r="CF3" s="257">
        <f>CE3/CD3</f>
        <v>0.75</v>
      </c>
      <c r="CG3" s="390">
        <f>28850000+700000+714286+124337067+209114628</f>
        <v>363715981</v>
      </c>
      <c r="CH3" s="388">
        <f>34620000+26400000+700000+714286+40697760+169897310</f>
        <v>273029356</v>
      </c>
      <c r="CI3" s="257">
        <f>CH3/CG3</f>
        <v>0.75066637228678712</v>
      </c>
      <c r="CJ3" s="386" t="s">
        <v>906</v>
      </c>
      <c r="CK3" s="398" t="s">
        <v>1036</v>
      </c>
      <c r="CL3" s="400">
        <v>12</v>
      </c>
      <c r="CM3" s="795">
        <v>9</v>
      </c>
      <c r="CN3" s="796">
        <f>CM3/CL3</f>
        <v>0.75</v>
      </c>
      <c r="CO3" s="401">
        <v>55500000</v>
      </c>
      <c r="CP3" s="399">
        <v>14800000</v>
      </c>
      <c r="CQ3" s="796">
        <f>CP3/CO3</f>
        <v>0.26666666666666666</v>
      </c>
      <c r="CR3" s="386" t="s">
        <v>906</v>
      </c>
      <c r="CS3" s="402" t="s">
        <v>1177</v>
      </c>
      <c r="CT3" s="386">
        <v>12</v>
      </c>
      <c r="CU3" s="392">
        <v>9</v>
      </c>
      <c r="CV3" s="257">
        <f>CU3/CT3</f>
        <v>0.75</v>
      </c>
      <c r="CW3" s="390">
        <v>5100000</v>
      </c>
      <c r="CX3" s="388">
        <v>5100000</v>
      </c>
      <c r="CY3" s="257">
        <f>CX3/CW3</f>
        <v>1</v>
      </c>
      <c r="CZ3" s="386" t="s">
        <v>906</v>
      </c>
      <c r="DA3" s="389" t="s">
        <v>1037</v>
      </c>
      <c r="DB3" s="149">
        <v>12</v>
      </c>
      <c r="DC3" s="250">
        <v>9</v>
      </c>
      <c r="DD3" s="257">
        <f>DC3/DB3</f>
        <v>0.75</v>
      </c>
    </row>
    <row r="4" spans="1:109" ht="174.75" customHeight="1" x14ac:dyDescent="0.25">
      <c r="A4" s="811"/>
      <c r="B4" s="431"/>
      <c r="C4" s="609"/>
      <c r="D4" s="604"/>
      <c r="E4" s="492"/>
      <c r="F4" s="77" t="s">
        <v>7</v>
      </c>
      <c r="G4" s="77" t="s">
        <v>405</v>
      </c>
      <c r="H4" s="77" t="s">
        <v>907</v>
      </c>
      <c r="I4" s="77">
        <v>0</v>
      </c>
      <c r="J4" s="77">
        <v>12</v>
      </c>
      <c r="K4" s="492"/>
      <c r="L4" s="492"/>
      <c r="M4" s="492"/>
      <c r="N4" s="492"/>
      <c r="O4" s="492"/>
      <c r="P4" s="492"/>
      <c r="Q4" s="118">
        <v>12</v>
      </c>
      <c r="R4" s="84">
        <v>0</v>
      </c>
      <c r="S4" s="606"/>
      <c r="T4" s="606"/>
      <c r="U4" s="606"/>
      <c r="V4" s="606"/>
      <c r="W4" s="492"/>
      <c r="X4" s="181" t="s">
        <v>470</v>
      </c>
      <c r="Y4" s="84">
        <v>0</v>
      </c>
      <c r="Z4" s="82">
        <v>0</v>
      </c>
      <c r="AA4" s="64">
        <v>1</v>
      </c>
      <c r="AB4" s="252"/>
      <c r="AC4" s="62"/>
      <c r="AD4" s="492"/>
      <c r="AE4" s="396" t="s">
        <v>584</v>
      </c>
      <c r="AF4" s="123">
        <v>4</v>
      </c>
      <c r="AG4" s="77">
        <v>2</v>
      </c>
      <c r="AH4" s="64">
        <v>1</v>
      </c>
      <c r="AI4" s="605"/>
      <c r="AJ4" s="605"/>
      <c r="AK4" s="492"/>
      <c r="AL4" s="133" t="s">
        <v>648</v>
      </c>
      <c r="AM4" s="102">
        <v>4</v>
      </c>
      <c r="AN4" s="61">
        <v>4</v>
      </c>
      <c r="AO4" s="64">
        <v>1</v>
      </c>
      <c r="AP4" s="640"/>
      <c r="AQ4" s="640"/>
      <c r="AR4" s="492"/>
      <c r="AS4" s="133" t="s">
        <v>731</v>
      </c>
      <c r="AT4" s="253">
        <v>4</v>
      </c>
      <c r="AU4" s="254">
        <v>8</v>
      </c>
      <c r="AV4" s="64">
        <v>1</v>
      </c>
      <c r="AW4" s="697"/>
      <c r="AX4" s="697"/>
      <c r="AY4" s="492"/>
      <c r="AZ4" s="118" t="s">
        <v>780</v>
      </c>
      <c r="BA4" s="102">
        <v>8</v>
      </c>
      <c r="BB4" s="254">
        <v>8</v>
      </c>
      <c r="BC4" s="64">
        <v>1</v>
      </c>
      <c r="BD4" s="605"/>
      <c r="BE4" s="605"/>
      <c r="BF4" s="492"/>
      <c r="BG4" s="133" t="s">
        <v>780</v>
      </c>
      <c r="BH4" s="102">
        <v>8</v>
      </c>
      <c r="BI4" s="61">
        <v>7</v>
      </c>
      <c r="BJ4" s="64">
        <f t="shared" ref="BJ4:BJ7" si="0">(BI4/BH4)*1</f>
        <v>0.875</v>
      </c>
      <c r="BK4" s="62" t="s">
        <v>479</v>
      </c>
      <c r="BL4" s="62" t="s">
        <v>480</v>
      </c>
      <c r="BM4" s="492"/>
      <c r="BN4" s="183" t="s">
        <v>481</v>
      </c>
      <c r="BO4" s="102">
        <v>12</v>
      </c>
      <c r="BP4" s="61">
        <v>12</v>
      </c>
      <c r="BQ4" s="64">
        <v>1</v>
      </c>
      <c r="BR4" s="62">
        <v>8655000</v>
      </c>
      <c r="BS4" s="62">
        <v>8655000</v>
      </c>
      <c r="BT4" s="492"/>
      <c r="BU4" s="203" t="s">
        <v>1038</v>
      </c>
      <c r="BV4" s="61">
        <v>10</v>
      </c>
      <c r="BW4" s="61">
        <v>0</v>
      </c>
      <c r="BX4" s="64">
        <f>BW4/BV4</f>
        <v>0</v>
      </c>
      <c r="BY4" s="258">
        <v>34620000</v>
      </c>
      <c r="BZ4" s="62">
        <f>28850000+6600000</f>
        <v>35450000</v>
      </c>
      <c r="CA4" s="64">
        <v>1</v>
      </c>
      <c r="CB4" s="77" t="s">
        <v>907</v>
      </c>
      <c r="CC4" s="184" t="s">
        <v>1007</v>
      </c>
      <c r="CD4" s="61">
        <v>12</v>
      </c>
      <c r="CE4" s="61">
        <v>0</v>
      </c>
      <c r="CF4" s="256">
        <f>CE4/CD4</f>
        <v>0</v>
      </c>
      <c r="CG4" s="62">
        <f>28850000+6600000+124337067+209114628</f>
        <v>368901695</v>
      </c>
      <c r="CH4" s="259">
        <f>34620000+40697760+169897310</f>
        <v>245215070</v>
      </c>
      <c r="CI4" s="256">
        <f t="shared" ref="CI4:CI5" si="1">CH4/CG4</f>
        <v>0.66471657171431542</v>
      </c>
      <c r="CJ4" s="77" t="s">
        <v>907</v>
      </c>
      <c r="CK4" s="260" t="s">
        <v>1039</v>
      </c>
      <c r="CL4" s="45">
        <v>12</v>
      </c>
      <c r="CM4" s="32">
        <v>1</v>
      </c>
      <c r="CN4" s="31">
        <f>CM4/CL4</f>
        <v>8.3333333333333329E-2</v>
      </c>
      <c r="CO4" s="180">
        <f>55500000+8000000</f>
        <v>63500000</v>
      </c>
      <c r="CP4" s="50">
        <f>14800000+2000000</f>
        <v>16800000</v>
      </c>
      <c r="CQ4" s="31">
        <f t="shared" ref="CQ4:CQ5" si="2">CP4/CO4</f>
        <v>0.26456692913385826</v>
      </c>
      <c r="CR4" s="77" t="s">
        <v>907</v>
      </c>
      <c r="CS4" s="234" t="s">
        <v>1178</v>
      </c>
      <c r="CT4" s="77">
        <v>12</v>
      </c>
      <c r="CU4" s="80">
        <v>1</v>
      </c>
      <c r="CV4" s="256">
        <f>CU4/CT4</f>
        <v>8.3333333333333329E-2</v>
      </c>
      <c r="CW4" s="62">
        <v>5100000</v>
      </c>
      <c r="CX4" s="66">
        <v>5100000</v>
      </c>
      <c r="CY4" s="256">
        <f t="shared" ref="CY4:CY5" si="3">CX4/CW4</f>
        <v>1</v>
      </c>
      <c r="CZ4" s="77" t="s">
        <v>907</v>
      </c>
      <c r="DA4" s="170" t="s">
        <v>1040</v>
      </c>
      <c r="DB4" s="77">
        <v>12</v>
      </c>
      <c r="DC4" s="61">
        <v>0</v>
      </c>
      <c r="DD4" s="256">
        <f>DC4/DB4</f>
        <v>0</v>
      </c>
    </row>
    <row r="5" spans="1:109" ht="185.25" customHeight="1" x14ac:dyDescent="0.25">
      <c r="A5" s="811"/>
      <c r="B5" s="431"/>
      <c r="C5" s="609"/>
      <c r="D5" s="604"/>
      <c r="E5" s="492"/>
      <c r="F5" s="77" t="s">
        <v>406</v>
      </c>
      <c r="G5" s="77" t="s">
        <v>8</v>
      </c>
      <c r="H5" s="77" t="s">
        <v>908</v>
      </c>
      <c r="I5" s="77" t="s">
        <v>407</v>
      </c>
      <c r="J5" s="188">
        <v>1</v>
      </c>
      <c r="K5" s="492"/>
      <c r="L5" s="492"/>
      <c r="M5" s="492"/>
      <c r="N5" s="492"/>
      <c r="O5" s="492"/>
      <c r="P5" s="492"/>
      <c r="Q5" s="121">
        <v>1</v>
      </c>
      <c r="R5" s="185">
        <v>0.01</v>
      </c>
      <c r="S5" s="606"/>
      <c r="T5" s="606"/>
      <c r="U5" s="606"/>
      <c r="V5" s="606"/>
      <c r="W5" s="492"/>
      <c r="X5" s="181" t="s">
        <v>471</v>
      </c>
      <c r="Y5" s="185">
        <v>0.01</v>
      </c>
      <c r="Z5" s="83">
        <v>0.05</v>
      </c>
      <c r="AA5" s="64">
        <f t="shared" ref="AA5:AA7" si="4">(Z5/Y5)*1</f>
        <v>5</v>
      </c>
      <c r="AB5" s="252"/>
      <c r="AC5" s="62"/>
      <c r="AD5" s="492"/>
      <c r="AE5" s="396" t="s">
        <v>584</v>
      </c>
      <c r="AF5" s="123">
        <v>5</v>
      </c>
      <c r="AG5" s="77">
        <v>5</v>
      </c>
      <c r="AH5" s="64">
        <f t="shared" ref="AH5:AH7" si="5">(AG5/AF5)*1</f>
        <v>1</v>
      </c>
      <c r="AI5" s="605"/>
      <c r="AJ5" s="605"/>
      <c r="AK5" s="492"/>
      <c r="AL5" s="133" t="s">
        <v>649</v>
      </c>
      <c r="AM5" s="119">
        <v>1</v>
      </c>
      <c r="AN5" s="88">
        <v>1</v>
      </c>
      <c r="AO5" s="64">
        <f t="shared" ref="AO5:AO7" si="6">(AN5/AM5)*1</f>
        <v>1</v>
      </c>
      <c r="AP5" s="640"/>
      <c r="AQ5" s="640"/>
      <c r="AR5" s="492"/>
      <c r="AS5" s="202" t="s">
        <v>732</v>
      </c>
      <c r="AT5" s="253">
        <v>100</v>
      </c>
      <c r="AU5" s="254">
        <v>100</v>
      </c>
      <c r="AV5" s="64">
        <f t="shared" ref="AV5:AV7" si="7">(AU5/AT5)*1</f>
        <v>1</v>
      </c>
      <c r="AW5" s="697"/>
      <c r="AX5" s="697"/>
      <c r="AY5" s="492"/>
      <c r="AZ5" s="121" t="s">
        <v>781</v>
      </c>
      <c r="BA5" s="119">
        <v>1</v>
      </c>
      <c r="BB5" s="261">
        <v>0.75</v>
      </c>
      <c r="BC5" s="64">
        <f t="shared" ref="BC5:BC7" si="8">(BB5/BA5)*1</f>
        <v>0.75</v>
      </c>
      <c r="BD5" s="605"/>
      <c r="BE5" s="605"/>
      <c r="BF5" s="492"/>
      <c r="BG5" s="202" t="s">
        <v>852</v>
      </c>
      <c r="BH5" s="124">
        <v>1</v>
      </c>
      <c r="BI5" s="64">
        <v>1</v>
      </c>
      <c r="BJ5" s="64">
        <f t="shared" si="0"/>
        <v>1</v>
      </c>
      <c r="BK5" s="14"/>
      <c r="BL5" s="62"/>
      <c r="BM5" s="492"/>
      <c r="BN5" s="186" t="s">
        <v>482</v>
      </c>
      <c r="BO5" s="124">
        <v>1</v>
      </c>
      <c r="BP5" s="64">
        <v>1</v>
      </c>
      <c r="BQ5" s="64">
        <f t="shared" ref="BQ5:BQ7" si="9">(BP5/BO5)*1</f>
        <v>1</v>
      </c>
      <c r="BR5" s="262">
        <v>8655000</v>
      </c>
      <c r="BS5" s="62">
        <v>8655000</v>
      </c>
      <c r="BT5" s="492"/>
      <c r="BU5" s="186" t="s">
        <v>1041</v>
      </c>
      <c r="BV5" s="88">
        <v>1</v>
      </c>
      <c r="BW5" s="64">
        <v>1</v>
      </c>
      <c r="BX5" s="64">
        <f t="shared" ref="BX5:BX6" si="10">(BW5/BV5)*1</f>
        <v>1</v>
      </c>
      <c r="BY5" s="252">
        <v>34620000</v>
      </c>
      <c r="BZ5" s="62">
        <v>28850000</v>
      </c>
      <c r="CA5" s="64">
        <f>BZ5/BY5</f>
        <v>0.83333333333333337</v>
      </c>
      <c r="CB5" s="77" t="s">
        <v>908</v>
      </c>
      <c r="CC5" s="187" t="s">
        <v>956</v>
      </c>
      <c r="CD5" s="188">
        <v>1</v>
      </c>
      <c r="CE5" s="64">
        <v>1</v>
      </c>
      <c r="CF5" s="63">
        <f t="shared" ref="CF5:CF6" si="11">(CE5/CD5)*1</f>
        <v>1</v>
      </c>
      <c r="CG5" s="62">
        <f>28850000+124337067</f>
        <v>153187067</v>
      </c>
      <c r="CH5" s="66">
        <f>34620000+40697760</f>
        <v>75317760</v>
      </c>
      <c r="CI5" s="256">
        <f t="shared" si="1"/>
        <v>0.49167179367694269</v>
      </c>
      <c r="CJ5" s="77" t="s">
        <v>908</v>
      </c>
      <c r="CK5" s="263" t="s">
        <v>1042</v>
      </c>
      <c r="CL5" s="56">
        <v>1</v>
      </c>
      <c r="CM5" s="33">
        <v>1</v>
      </c>
      <c r="CN5" s="34">
        <f t="shared" ref="CN5:CN6" si="12">(CM5/CL5)*1</f>
        <v>1</v>
      </c>
      <c r="CO5" s="180">
        <v>8000000</v>
      </c>
      <c r="CP5" s="50">
        <v>2000000</v>
      </c>
      <c r="CQ5" s="31">
        <f t="shared" si="2"/>
        <v>0.25</v>
      </c>
      <c r="CR5" s="77" t="s">
        <v>908</v>
      </c>
      <c r="CS5" s="235" t="s">
        <v>1179</v>
      </c>
      <c r="CT5" s="188">
        <v>1</v>
      </c>
      <c r="CU5" s="64">
        <v>1</v>
      </c>
      <c r="CV5" s="256">
        <f>CT5/CU5</f>
        <v>1</v>
      </c>
      <c r="CW5" s="62">
        <v>5100000</v>
      </c>
      <c r="CX5" s="66">
        <v>5100000</v>
      </c>
      <c r="CY5" s="256">
        <f t="shared" si="3"/>
        <v>1</v>
      </c>
      <c r="CZ5" s="77" t="s">
        <v>908</v>
      </c>
      <c r="DA5" s="263" t="s">
        <v>1043</v>
      </c>
      <c r="DB5" s="188">
        <v>1</v>
      </c>
      <c r="DC5" s="64">
        <v>1</v>
      </c>
      <c r="DD5" s="63">
        <f>DC5/DB5</f>
        <v>1</v>
      </c>
    </row>
    <row r="6" spans="1:109" ht="64.5" customHeight="1" x14ac:dyDescent="0.25">
      <c r="A6" s="811"/>
      <c r="B6" s="431"/>
      <c r="C6" s="609"/>
      <c r="D6" s="604" t="s">
        <v>9</v>
      </c>
      <c r="E6" s="492" t="s">
        <v>10</v>
      </c>
      <c r="F6" s="77" t="s">
        <v>11</v>
      </c>
      <c r="G6" s="77" t="s">
        <v>408</v>
      </c>
      <c r="H6" s="77" t="s">
        <v>909</v>
      </c>
      <c r="I6" s="77">
        <v>0</v>
      </c>
      <c r="J6" s="77">
        <v>1</v>
      </c>
      <c r="K6" s="492"/>
      <c r="L6" s="492"/>
      <c r="M6" s="492"/>
      <c r="N6" s="492"/>
      <c r="O6" s="492"/>
      <c r="P6" s="492"/>
      <c r="Q6" s="264">
        <v>1</v>
      </c>
      <c r="R6" s="84">
        <v>1</v>
      </c>
      <c r="S6" s="606"/>
      <c r="T6" s="606"/>
      <c r="U6" s="606"/>
      <c r="V6" s="606"/>
      <c r="W6" s="492" t="s">
        <v>243</v>
      </c>
      <c r="X6" s="181" t="s">
        <v>472</v>
      </c>
      <c r="Y6" s="84">
        <v>1</v>
      </c>
      <c r="Z6" s="82">
        <v>1</v>
      </c>
      <c r="AA6" s="64">
        <f t="shared" si="4"/>
        <v>1</v>
      </c>
      <c r="AB6" s="605"/>
      <c r="AC6" s="605"/>
      <c r="AD6" s="492" t="s">
        <v>243</v>
      </c>
      <c r="AE6" s="396" t="s">
        <v>585</v>
      </c>
      <c r="AF6" s="123">
        <v>1</v>
      </c>
      <c r="AG6" s="77">
        <v>1</v>
      </c>
      <c r="AH6" s="64">
        <f t="shared" si="5"/>
        <v>1</v>
      </c>
      <c r="AI6" s="605" t="s">
        <v>614</v>
      </c>
      <c r="AJ6" s="605" t="s">
        <v>615</v>
      </c>
      <c r="AK6" s="492" t="s">
        <v>243</v>
      </c>
      <c r="AL6" s="133" t="s">
        <v>650</v>
      </c>
      <c r="AM6" s="102">
        <v>1</v>
      </c>
      <c r="AN6" s="61">
        <v>1</v>
      </c>
      <c r="AO6" s="64">
        <f t="shared" si="6"/>
        <v>1</v>
      </c>
      <c r="AP6" s="640" t="s">
        <v>702</v>
      </c>
      <c r="AQ6" s="640" t="s">
        <v>703</v>
      </c>
      <c r="AR6" s="492" t="s">
        <v>243</v>
      </c>
      <c r="AS6" s="133" t="s">
        <v>733</v>
      </c>
      <c r="AT6" s="253">
        <v>1</v>
      </c>
      <c r="AU6" s="254">
        <v>1</v>
      </c>
      <c r="AV6" s="64">
        <f t="shared" si="7"/>
        <v>1</v>
      </c>
      <c r="AW6" s="661">
        <v>25000000</v>
      </c>
      <c r="AX6" s="701">
        <v>23933333</v>
      </c>
      <c r="AY6" s="492" t="s">
        <v>243</v>
      </c>
      <c r="AZ6" s="118" t="s">
        <v>782</v>
      </c>
      <c r="BA6" s="102">
        <v>1</v>
      </c>
      <c r="BB6" s="254">
        <v>1</v>
      </c>
      <c r="BC6" s="64">
        <f t="shared" si="8"/>
        <v>1</v>
      </c>
      <c r="BD6" s="605"/>
      <c r="BE6" s="605"/>
      <c r="BF6" s="492" t="s">
        <v>243</v>
      </c>
      <c r="BG6" s="133" t="s">
        <v>853</v>
      </c>
      <c r="BH6" s="189">
        <v>1</v>
      </c>
      <c r="BI6" s="65">
        <v>1</v>
      </c>
      <c r="BJ6" s="64">
        <f t="shared" si="0"/>
        <v>1</v>
      </c>
      <c r="BK6" s="605"/>
      <c r="BL6" s="605"/>
      <c r="BM6" s="492" t="s">
        <v>243</v>
      </c>
      <c r="BN6" s="626" t="s">
        <v>483</v>
      </c>
      <c r="BO6" s="189">
        <v>1</v>
      </c>
      <c r="BP6" s="65">
        <v>1</v>
      </c>
      <c r="BQ6" s="64">
        <f t="shared" si="9"/>
        <v>1</v>
      </c>
      <c r="BR6" s="605">
        <v>8655000</v>
      </c>
      <c r="BS6" s="605">
        <v>8655000</v>
      </c>
      <c r="BT6" s="492" t="s">
        <v>243</v>
      </c>
      <c r="BU6" s="182" t="s">
        <v>1044</v>
      </c>
      <c r="BV6" s="77">
        <v>1</v>
      </c>
      <c r="BW6" s="65">
        <v>1</v>
      </c>
      <c r="BX6" s="64">
        <f t="shared" si="10"/>
        <v>1</v>
      </c>
      <c r="BY6" s="513">
        <v>0</v>
      </c>
      <c r="BZ6" s="513">
        <v>0</v>
      </c>
      <c r="CA6" s="64">
        <v>0</v>
      </c>
      <c r="CB6" s="77" t="s">
        <v>909</v>
      </c>
      <c r="CC6" s="139" t="s">
        <v>957</v>
      </c>
      <c r="CD6" s="61">
        <v>1</v>
      </c>
      <c r="CE6" s="65">
        <v>1</v>
      </c>
      <c r="CF6" s="63">
        <f t="shared" si="11"/>
        <v>1</v>
      </c>
      <c r="CG6" s="513">
        <f>714286+124337067+40000000</f>
        <v>165051353</v>
      </c>
      <c r="CH6" s="513">
        <f>714286+40697760+20000000</f>
        <v>61412046</v>
      </c>
      <c r="CI6" s="588">
        <f>CH6/CG6</f>
        <v>0.37207841610362319</v>
      </c>
      <c r="CJ6" s="77" t="s">
        <v>909</v>
      </c>
      <c r="CK6" s="165" t="s">
        <v>1045</v>
      </c>
      <c r="CL6" s="45">
        <v>1</v>
      </c>
      <c r="CM6" s="35">
        <v>1</v>
      </c>
      <c r="CN6" s="34">
        <f t="shared" si="12"/>
        <v>1</v>
      </c>
      <c r="CO6" s="438">
        <f>55500000+8000000</f>
        <v>63500000</v>
      </c>
      <c r="CP6" s="438">
        <f>14800000+2000000</f>
        <v>16800000</v>
      </c>
      <c r="CQ6" s="488">
        <f>CP6/CO6</f>
        <v>0.26456692913385826</v>
      </c>
      <c r="CR6" s="77" t="s">
        <v>909</v>
      </c>
      <c r="CS6" s="236" t="s">
        <v>1013</v>
      </c>
      <c r="CT6" s="77">
        <v>1</v>
      </c>
      <c r="CU6" s="65">
        <v>1</v>
      </c>
      <c r="CV6" s="63">
        <f>(CU6/CT6)*1</f>
        <v>1</v>
      </c>
      <c r="CW6" s="513">
        <v>5100000</v>
      </c>
      <c r="CX6" s="513">
        <v>5100000</v>
      </c>
      <c r="CY6" s="588">
        <f>CX6/CW6</f>
        <v>1</v>
      </c>
      <c r="CZ6" s="77" t="s">
        <v>909</v>
      </c>
      <c r="DA6" s="165" t="s">
        <v>1045</v>
      </c>
      <c r="DB6" s="77">
        <v>1</v>
      </c>
      <c r="DC6" s="65">
        <v>1</v>
      </c>
      <c r="DD6" s="63">
        <f>DC6/DB6</f>
        <v>1</v>
      </c>
    </row>
    <row r="7" spans="1:109" ht="180.75" customHeight="1" x14ac:dyDescent="0.25">
      <c r="A7" s="811"/>
      <c r="B7" s="431"/>
      <c r="C7" s="609"/>
      <c r="D7" s="604"/>
      <c r="E7" s="492"/>
      <c r="F7" s="77" t="s">
        <v>12</v>
      </c>
      <c r="G7" s="77" t="s">
        <v>13</v>
      </c>
      <c r="H7" s="77" t="s">
        <v>906</v>
      </c>
      <c r="I7" s="77" t="s">
        <v>909</v>
      </c>
      <c r="J7" s="77">
        <v>12</v>
      </c>
      <c r="K7" s="492"/>
      <c r="L7" s="492"/>
      <c r="M7" s="492"/>
      <c r="N7" s="492"/>
      <c r="O7" s="492"/>
      <c r="P7" s="492"/>
      <c r="Q7" s="118">
        <v>12</v>
      </c>
      <c r="R7" s="693">
        <v>3</v>
      </c>
      <c r="S7" s="606"/>
      <c r="T7" s="606"/>
      <c r="U7" s="606"/>
      <c r="V7" s="606"/>
      <c r="W7" s="492"/>
      <c r="X7" s="623" t="s">
        <v>473</v>
      </c>
      <c r="Y7" s="693">
        <v>3</v>
      </c>
      <c r="Z7" s="82">
        <v>2</v>
      </c>
      <c r="AA7" s="64">
        <f t="shared" si="4"/>
        <v>0.66666666666666663</v>
      </c>
      <c r="AB7" s="605"/>
      <c r="AC7" s="605"/>
      <c r="AD7" s="492"/>
      <c r="AE7" s="396" t="s">
        <v>586</v>
      </c>
      <c r="AF7" s="123">
        <v>12</v>
      </c>
      <c r="AG7" s="77">
        <v>12</v>
      </c>
      <c r="AH7" s="64">
        <f t="shared" si="5"/>
        <v>1</v>
      </c>
      <c r="AI7" s="605"/>
      <c r="AJ7" s="605"/>
      <c r="AK7" s="492"/>
      <c r="AL7" s="133" t="s">
        <v>651</v>
      </c>
      <c r="AM7" s="102">
        <v>12</v>
      </c>
      <c r="AN7" s="61">
        <v>12</v>
      </c>
      <c r="AO7" s="64">
        <f t="shared" si="6"/>
        <v>1</v>
      </c>
      <c r="AP7" s="640"/>
      <c r="AQ7" s="640"/>
      <c r="AR7" s="492"/>
      <c r="AS7" s="133" t="s">
        <v>734</v>
      </c>
      <c r="AT7" s="253">
        <v>12</v>
      </c>
      <c r="AU7" s="254">
        <v>12</v>
      </c>
      <c r="AV7" s="64">
        <f t="shared" si="7"/>
        <v>1</v>
      </c>
      <c r="AW7" s="661"/>
      <c r="AX7" s="697"/>
      <c r="AY7" s="492"/>
      <c r="AZ7" s="118" t="s">
        <v>783</v>
      </c>
      <c r="BA7" s="102">
        <v>12</v>
      </c>
      <c r="BB7" s="254">
        <v>12</v>
      </c>
      <c r="BC7" s="64">
        <f t="shared" si="8"/>
        <v>1</v>
      </c>
      <c r="BD7" s="605"/>
      <c r="BE7" s="605"/>
      <c r="BF7" s="492"/>
      <c r="BG7" s="133" t="s">
        <v>783</v>
      </c>
      <c r="BH7" s="102">
        <v>12</v>
      </c>
      <c r="BI7" s="61">
        <v>11</v>
      </c>
      <c r="BJ7" s="64">
        <f t="shared" si="0"/>
        <v>0.91666666666666663</v>
      </c>
      <c r="BK7" s="605"/>
      <c r="BL7" s="605"/>
      <c r="BM7" s="492"/>
      <c r="BN7" s="626"/>
      <c r="BO7" s="102">
        <v>11</v>
      </c>
      <c r="BP7" s="61">
        <v>11</v>
      </c>
      <c r="BQ7" s="64">
        <f t="shared" si="9"/>
        <v>1</v>
      </c>
      <c r="BR7" s="605"/>
      <c r="BS7" s="605"/>
      <c r="BT7" s="492"/>
      <c r="BU7" s="182" t="s">
        <v>1046</v>
      </c>
      <c r="BV7" s="61">
        <v>11</v>
      </c>
      <c r="BW7" s="61">
        <v>11</v>
      </c>
      <c r="BX7" s="64">
        <v>1</v>
      </c>
      <c r="BY7" s="515"/>
      <c r="BZ7" s="515"/>
      <c r="CA7" s="64">
        <v>0</v>
      </c>
      <c r="CB7" s="77" t="s">
        <v>906</v>
      </c>
      <c r="CC7" s="190" t="s">
        <v>958</v>
      </c>
      <c r="CD7" s="61">
        <v>12</v>
      </c>
      <c r="CE7" s="61">
        <v>12</v>
      </c>
      <c r="CF7" s="63">
        <v>1</v>
      </c>
      <c r="CG7" s="515"/>
      <c r="CH7" s="515"/>
      <c r="CI7" s="589"/>
      <c r="CJ7" s="77" t="s">
        <v>906</v>
      </c>
      <c r="CK7" s="267" t="s">
        <v>1047</v>
      </c>
      <c r="CL7" s="45">
        <v>12</v>
      </c>
      <c r="CM7" s="57">
        <v>12</v>
      </c>
      <c r="CN7" s="34">
        <v>1</v>
      </c>
      <c r="CO7" s="440"/>
      <c r="CP7" s="440"/>
      <c r="CQ7" s="489"/>
      <c r="CR7" s="77" t="s">
        <v>906</v>
      </c>
      <c r="CS7" s="237" t="s">
        <v>1180</v>
      </c>
      <c r="CT7" s="77">
        <v>12</v>
      </c>
      <c r="CU7" s="80">
        <v>12</v>
      </c>
      <c r="CV7" s="63">
        <v>1</v>
      </c>
      <c r="CW7" s="515"/>
      <c r="CX7" s="515"/>
      <c r="CY7" s="589"/>
      <c r="CZ7" s="77" t="s">
        <v>906</v>
      </c>
      <c r="DA7" s="268" t="s">
        <v>1227</v>
      </c>
      <c r="DB7" s="77">
        <v>12</v>
      </c>
      <c r="DC7" s="61">
        <v>12</v>
      </c>
      <c r="DD7" s="269">
        <f>DC7/DB7</f>
        <v>1</v>
      </c>
    </row>
    <row r="8" spans="1:109" ht="47.25" customHeight="1" x14ac:dyDescent="0.25">
      <c r="A8" s="811"/>
      <c r="B8" s="431"/>
      <c r="C8" s="609"/>
      <c r="D8" s="604" t="s">
        <v>14</v>
      </c>
      <c r="E8" s="492" t="s">
        <v>15</v>
      </c>
      <c r="F8" s="562" t="s">
        <v>16</v>
      </c>
      <c r="G8" s="562" t="s">
        <v>17</v>
      </c>
      <c r="H8" s="492" t="s">
        <v>910</v>
      </c>
      <c r="I8" s="492">
        <v>0</v>
      </c>
      <c r="J8" s="548">
        <v>0.35</v>
      </c>
      <c r="K8" s="492" t="s">
        <v>276</v>
      </c>
      <c r="L8" s="492" t="s">
        <v>360</v>
      </c>
      <c r="M8" s="492" t="s">
        <v>348</v>
      </c>
      <c r="N8" s="492" t="s">
        <v>428</v>
      </c>
      <c r="O8" s="492" t="s">
        <v>349</v>
      </c>
      <c r="P8" s="492" t="s">
        <v>380</v>
      </c>
      <c r="Q8" s="621">
        <v>0.35</v>
      </c>
      <c r="R8" s="693"/>
      <c r="S8" s="607"/>
      <c r="T8" s="607"/>
      <c r="U8" s="607"/>
      <c r="V8" s="607"/>
      <c r="W8" s="492" t="s">
        <v>265</v>
      </c>
      <c r="X8" s="623"/>
      <c r="Y8" s="693"/>
      <c r="Z8" s="83">
        <v>0.03</v>
      </c>
      <c r="AA8" s="527">
        <v>0</v>
      </c>
      <c r="AB8" s="605"/>
      <c r="AC8" s="605"/>
      <c r="AD8" s="492" t="s">
        <v>265</v>
      </c>
      <c r="AE8" s="396" t="s">
        <v>587</v>
      </c>
      <c r="AF8" s="633">
        <v>0.13</v>
      </c>
      <c r="AG8" s="548">
        <v>0.13</v>
      </c>
      <c r="AH8" s="527">
        <v>0</v>
      </c>
      <c r="AI8" s="605" t="s">
        <v>616</v>
      </c>
      <c r="AJ8" s="605" t="s">
        <v>617</v>
      </c>
      <c r="AK8" s="492" t="s">
        <v>265</v>
      </c>
      <c r="AL8" s="622" t="s">
        <v>652</v>
      </c>
      <c r="AM8" s="641">
        <v>0.13</v>
      </c>
      <c r="AN8" s="550">
        <v>0</v>
      </c>
      <c r="AO8" s="527">
        <v>0</v>
      </c>
      <c r="AP8" s="605" t="s">
        <v>704</v>
      </c>
      <c r="AQ8" s="605" t="s">
        <v>705</v>
      </c>
      <c r="AR8" s="492" t="s">
        <v>265</v>
      </c>
      <c r="AS8" s="761" t="s">
        <v>735</v>
      </c>
      <c r="AT8" s="699">
        <v>0.15</v>
      </c>
      <c r="AU8" s="700">
        <v>0.15</v>
      </c>
      <c r="AV8" s="527">
        <v>0</v>
      </c>
      <c r="AW8" s="705" t="s">
        <v>775</v>
      </c>
      <c r="AX8" s="656" t="s">
        <v>776</v>
      </c>
      <c r="AY8" s="492" t="s">
        <v>265</v>
      </c>
      <c r="AZ8" s="621" t="s">
        <v>784</v>
      </c>
      <c r="BA8" s="604">
        <v>1</v>
      </c>
      <c r="BB8" s="492" t="s">
        <v>835</v>
      </c>
      <c r="BC8" s="527">
        <v>0</v>
      </c>
      <c r="BD8" s="605">
        <v>34750000</v>
      </c>
      <c r="BE8" s="605">
        <v>25081000</v>
      </c>
      <c r="BF8" s="492" t="s">
        <v>265</v>
      </c>
      <c r="BG8" s="763" t="s">
        <v>854</v>
      </c>
      <c r="BH8" s="666">
        <v>8.7499999999999994E-2</v>
      </c>
      <c r="BI8" s="492">
        <v>0</v>
      </c>
      <c r="BJ8" s="527">
        <v>0</v>
      </c>
      <c r="BK8" s="605"/>
      <c r="BL8" s="605"/>
      <c r="BM8" s="492" t="s">
        <v>265</v>
      </c>
      <c r="BN8" s="626" t="s">
        <v>484</v>
      </c>
      <c r="BO8" s="666">
        <v>8.7499999999999994E-2</v>
      </c>
      <c r="BP8" s="492">
        <v>0</v>
      </c>
      <c r="BQ8" s="527">
        <v>0</v>
      </c>
      <c r="BR8" s="605" t="s">
        <v>555</v>
      </c>
      <c r="BS8" s="605" t="s">
        <v>556</v>
      </c>
      <c r="BT8" s="492" t="s">
        <v>265</v>
      </c>
      <c r="BU8" s="626" t="s">
        <v>1048</v>
      </c>
      <c r="BV8" s="550" t="s">
        <v>897</v>
      </c>
      <c r="BW8" s="492">
        <v>0</v>
      </c>
      <c r="BX8" s="527">
        <v>0</v>
      </c>
      <c r="BY8" s="513">
        <v>0</v>
      </c>
      <c r="BZ8" s="513">
        <v>0</v>
      </c>
      <c r="CA8" s="677">
        <v>0</v>
      </c>
      <c r="CB8" s="492" t="s">
        <v>910</v>
      </c>
      <c r="CC8" s="675" t="s">
        <v>992</v>
      </c>
      <c r="CD8" s="550" t="s">
        <v>897</v>
      </c>
      <c r="CE8" s="562">
        <v>0</v>
      </c>
      <c r="CF8" s="573">
        <v>0</v>
      </c>
      <c r="CG8" s="521">
        <v>124337067</v>
      </c>
      <c r="CH8" s="521">
        <v>124337067</v>
      </c>
      <c r="CI8" s="523">
        <v>0</v>
      </c>
      <c r="CJ8" s="492" t="s">
        <v>910</v>
      </c>
      <c r="CK8" s="572" t="s">
        <v>1049</v>
      </c>
      <c r="CL8" s="421">
        <v>0.35</v>
      </c>
      <c r="CM8" s="486">
        <v>0</v>
      </c>
      <c r="CN8" s="484">
        <v>0</v>
      </c>
      <c r="CO8" s="403">
        <v>124337067</v>
      </c>
      <c r="CP8" s="403">
        <v>124337067</v>
      </c>
      <c r="CQ8" s="472">
        <v>0</v>
      </c>
      <c r="CR8" s="492" t="s">
        <v>910</v>
      </c>
      <c r="CS8" s="453" t="s">
        <v>1021</v>
      </c>
      <c r="CT8" s="594">
        <v>0.35</v>
      </c>
      <c r="CU8" s="562">
        <v>0</v>
      </c>
      <c r="CV8" s="573">
        <v>0</v>
      </c>
      <c r="CW8" s="521">
        <v>124337067</v>
      </c>
      <c r="CX8" s="521">
        <v>124337067</v>
      </c>
      <c r="CY8" s="601">
        <v>0</v>
      </c>
      <c r="CZ8" s="492" t="s">
        <v>910</v>
      </c>
      <c r="DA8" s="572" t="s">
        <v>1050</v>
      </c>
      <c r="DB8" s="548">
        <v>0.35</v>
      </c>
      <c r="DC8" s="736">
        <v>0</v>
      </c>
      <c r="DD8" s="573">
        <v>0</v>
      </c>
    </row>
    <row r="9" spans="1:109" ht="57.75" customHeight="1" x14ac:dyDescent="0.25">
      <c r="A9" s="811"/>
      <c r="B9" s="431"/>
      <c r="C9" s="609"/>
      <c r="D9" s="604"/>
      <c r="E9" s="492"/>
      <c r="F9" s="562"/>
      <c r="G9" s="562"/>
      <c r="H9" s="492"/>
      <c r="I9" s="492"/>
      <c r="J9" s="548"/>
      <c r="K9" s="492"/>
      <c r="L9" s="492"/>
      <c r="M9" s="492"/>
      <c r="N9" s="492"/>
      <c r="O9" s="492"/>
      <c r="P9" s="492"/>
      <c r="Q9" s="621"/>
      <c r="R9" s="84">
        <v>0</v>
      </c>
      <c r="S9" s="624"/>
      <c r="T9" s="624"/>
      <c r="U9" s="624"/>
      <c r="V9" s="624"/>
      <c r="W9" s="492"/>
      <c r="X9" s="181"/>
      <c r="Y9" s="84">
        <v>0</v>
      </c>
      <c r="Z9" s="82"/>
      <c r="AA9" s="527"/>
      <c r="AB9" s="605"/>
      <c r="AC9" s="605"/>
      <c r="AD9" s="492"/>
      <c r="AE9" s="396" t="s">
        <v>588</v>
      </c>
      <c r="AF9" s="633"/>
      <c r="AG9" s="548"/>
      <c r="AH9" s="527"/>
      <c r="AI9" s="605"/>
      <c r="AJ9" s="605"/>
      <c r="AK9" s="492"/>
      <c r="AL9" s="622"/>
      <c r="AM9" s="642"/>
      <c r="AN9" s="550"/>
      <c r="AO9" s="527"/>
      <c r="AP9" s="640" t="s">
        <v>706</v>
      </c>
      <c r="AQ9" s="640" t="s">
        <v>707</v>
      </c>
      <c r="AR9" s="492"/>
      <c r="AS9" s="761" t="s">
        <v>736</v>
      </c>
      <c r="AT9" s="696"/>
      <c r="AU9" s="697"/>
      <c r="AV9" s="527"/>
      <c r="AW9" s="697"/>
      <c r="AX9" s="661"/>
      <c r="AY9" s="492"/>
      <c r="AZ9" s="621" t="s">
        <v>736</v>
      </c>
      <c r="BA9" s="604"/>
      <c r="BB9" s="492"/>
      <c r="BC9" s="527"/>
      <c r="BD9" s="605"/>
      <c r="BE9" s="605"/>
      <c r="BF9" s="492"/>
      <c r="BG9" s="763"/>
      <c r="BH9" s="666"/>
      <c r="BI9" s="492"/>
      <c r="BJ9" s="527"/>
      <c r="BK9" s="605"/>
      <c r="BL9" s="605"/>
      <c r="BM9" s="492"/>
      <c r="BN9" s="626"/>
      <c r="BO9" s="666"/>
      <c r="BP9" s="492"/>
      <c r="BQ9" s="527"/>
      <c r="BR9" s="605"/>
      <c r="BS9" s="605"/>
      <c r="BT9" s="492"/>
      <c r="BU9" s="626"/>
      <c r="BV9" s="550"/>
      <c r="BW9" s="492"/>
      <c r="BX9" s="527"/>
      <c r="BY9" s="514"/>
      <c r="BZ9" s="514"/>
      <c r="CA9" s="682"/>
      <c r="CB9" s="492"/>
      <c r="CC9" s="679"/>
      <c r="CD9" s="550"/>
      <c r="CE9" s="562"/>
      <c r="CF9" s="573"/>
      <c r="CG9" s="540"/>
      <c r="CH9" s="540"/>
      <c r="CI9" s="590"/>
      <c r="CJ9" s="492"/>
      <c r="CK9" s="504"/>
      <c r="CL9" s="485"/>
      <c r="CM9" s="486"/>
      <c r="CN9" s="484"/>
      <c r="CO9" s="404"/>
      <c r="CP9" s="404"/>
      <c r="CQ9" s="490"/>
      <c r="CR9" s="492"/>
      <c r="CS9" s="432"/>
      <c r="CT9" s="600"/>
      <c r="CU9" s="562"/>
      <c r="CV9" s="573"/>
      <c r="CW9" s="540"/>
      <c r="CX9" s="540"/>
      <c r="CY9" s="602"/>
      <c r="CZ9" s="492"/>
      <c r="DA9" s="504"/>
      <c r="DB9" s="548"/>
      <c r="DC9" s="741"/>
      <c r="DD9" s="573"/>
    </row>
    <row r="10" spans="1:109" ht="52.5" customHeight="1" thickBot="1" x14ac:dyDescent="0.3">
      <c r="A10" s="811"/>
      <c r="B10" s="431"/>
      <c r="C10" s="609"/>
      <c r="D10" s="604"/>
      <c r="E10" s="492"/>
      <c r="F10" s="562"/>
      <c r="G10" s="562"/>
      <c r="H10" s="493"/>
      <c r="I10" s="492"/>
      <c r="J10" s="548"/>
      <c r="K10" s="492"/>
      <c r="L10" s="492"/>
      <c r="M10" s="492"/>
      <c r="N10" s="492"/>
      <c r="O10" s="492"/>
      <c r="P10" s="492"/>
      <c r="Q10" s="621"/>
      <c r="R10" s="84" t="s">
        <v>33</v>
      </c>
      <c r="S10" s="607"/>
      <c r="T10" s="607"/>
      <c r="U10" s="607"/>
      <c r="V10" s="607"/>
      <c r="W10" s="492"/>
      <c r="X10" s="181"/>
      <c r="Y10" s="84" t="s">
        <v>33</v>
      </c>
      <c r="Z10" s="82" t="s">
        <v>29</v>
      </c>
      <c r="AA10" s="527"/>
      <c r="AB10" s="605"/>
      <c r="AC10" s="605"/>
      <c r="AD10" s="492"/>
      <c r="AE10" s="396" t="s">
        <v>588</v>
      </c>
      <c r="AF10" s="633"/>
      <c r="AG10" s="548"/>
      <c r="AH10" s="527"/>
      <c r="AI10" s="605"/>
      <c r="AJ10" s="605"/>
      <c r="AK10" s="492"/>
      <c r="AL10" s="622"/>
      <c r="AM10" s="642"/>
      <c r="AN10" s="550"/>
      <c r="AO10" s="527"/>
      <c r="AP10" s="640" t="s">
        <v>706</v>
      </c>
      <c r="AQ10" s="640" t="s">
        <v>707</v>
      </c>
      <c r="AR10" s="492"/>
      <c r="AS10" s="761" t="s">
        <v>736</v>
      </c>
      <c r="AT10" s="696"/>
      <c r="AU10" s="697"/>
      <c r="AV10" s="527"/>
      <c r="AW10" s="697"/>
      <c r="AX10" s="661"/>
      <c r="AY10" s="492"/>
      <c r="AZ10" s="621" t="s">
        <v>736</v>
      </c>
      <c r="BA10" s="604"/>
      <c r="BB10" s="492"/>
      <c r="BC10" s="527"/>
      <c r="BD10" s="605"/>
      <c r="BE10" s="605"/>
      <c r="BF10" s="492"/>
      <c r="BG10" s="763"/>
      <c r="BH10" s="666"/>
      <c r="BI10" s="492"/>
      <c r="BJ10" s="527"/>
      <c r="BK10" s="605"/>
      <c r="BL10" s="605"/>
      <c r="BM10" s="492"/>
      <c r="BN10" s="626"/>
      <c r="BO10" s="666"/>
      <c r="BP10" s="492"/>
      <c r="BQ10" s="527"/>
      <c r="BR10" s="605"/>
      <c r="BS10" s="605"/>
      <c r="BT10" s="492"/>
      <c r="BU10" s="626"/>
      <c r="BV10" s="550"/>
      <c r="BW10" s="492"/>
      <c r="BX10" s="527"/>
      <c r="BY10" s="514"/>
      <c r="BZ10" s="514"/>
      <c r="CA10" s="748"/>
      <c r="CB10" s="493"/>
      <c r="CC10" s="680"/>
      <c r="CD10" s="550"/>
      <c r="CE10" s="562"/>
      <c r="CF10" s="573"/>
      <c r="CG10" s="540"/>
      <c r="CH10" s="540"/>
      <c r="CI10" s="591"/>
      <c r="CJ10" s="493"/>
      <c r="CK10" s="592"/>
      <c r="CL10" s="422"/>
      <c r="CM10" s="486"/>
      <c r="CN10" s="484"/>
      <c r="CO10" s="404"/>
      <c r="CP10" s="404"/>
      <c r="CQ10" s="491"/>
      <c r="CR10" s="493"/>
      <c r="CS10" s="494"/>
      <c r="CT10" s="595"/>
      <c r="CU10" s="562"/>
      <c r="CV10" s="573"/>
      <c r="CW10" s="540"/>
      <c r="CX10" s="540"/>
      <c r="CY10" s="603"/>
      <c r="CZ10" s="493"/>
      <c r="DA10" s="592"/>
      <c r="DB10" s="548"/>
      <c r="DC10" s="742"/>
      <c r="DD10" s="573"/>
    </row>
    <row r="11" spans="1:109" ht="165.75" customHeight="1" x14ac:dyDescent="0.25">
      <c r="A11" s="812" t="s">
        <v>18</v>
      </c>
      <c r="B11" s="492" t="s">
        <v>19</v>
      </c>
      <c r="C11" s="614" t="s">
        <v>20</v>
      </c>
      <c r="D11" s="123" t="s">
        <v>21</v>
      </c>
      <c r="E11" s="77" t="s">
        <v>22</v>
      </c>
      <c r="F11" s="77" t="s">
        <v>23</v>
      </c>
      <c r="G11" s="77" t="s">
        <v>24</v>
      </c>
      <c r="H11" s="151" t="s">
        <v>911</v>
      </c>
      <c r="I11" s="77" t="s">
        <v>25</v>
      </c>
      <c r="J11" s="77" t="s">
        <v>26</v>
      </c>
      <c r="K11" s="77" t="s">
        <v>276</v>
      </c>
      <c r="L11" s="77" t="s">
        <v>361</v>
      </c>
      <c r="M11" s="77" t="s">
        <v>277</v>
      </c>
      <c r="N11" s="77" t="s">
        <v>409</v>
      </c>
      <c r="O11" s="77" t="s">
        <v>278</v>
      </c>
      <c r="P11" s="77" t="s">
        <v>379</v>
      </c>
      <c r="Q11" s="118" t="s">
        <v>26</v>
      </c>
      <c r="R11" s="185" t="s">
        <v>33</v>
      </c>
      <c r="S11" s="607"/>
      <c r="T11" s="607"/>
      <c r="U11" s="607"/>
      <c r="V11" s="607"/>
      <c r="W11" s="492" t="s">
        <v>264</v>
      </c>
      <c r="X11" s="191"/>
      <c r="Y11" s="185" t="s">
        <v>33</v>
      </c>
      <c r="Z11" s="83" t="s">
        <v>29</v>
      </c>
      <c r="AA11" s="14">
        <v>0.77</v>
      </c>
      <c r="AB11" s="62"/>
      <c r="AC11" s="62"/>
      <c r="AD11" s="492" t="s">
        <v>264</v>
      </c>
      <c r="AE11" s="397" t="s">
        <v>589</v>
      </c>
      <c r="AF11" s="192">
        <v>0.125</v>
      </c>
      <c r="AG11" s="188">
        <v>0.22</v>
      </c>
      <c r="AH11" s="14">
        <v>0.64449999999999996</v>
      </c>
      <c r="AI11" s="605" t="s">
        <v>618</v>
      </c>
      <c r="AJ11" s="605" t="s">
        <v>619</v>
      </c>
      <c r="AK11" s="492" t="s">
        <v>264</v>
      </c>
      <c r="AL11" s="133" t="s">
        <v>653</v>
      </c>
      <c r="AM11" s="193">
        <v>0.12</v>
      </c>
      <c r="AN11" s="194">
        <v>0.22</v>
      </c>
      <c r="AO11" s="14">
        <v>0.77</v>
      </c>
      <c r="AP11" s="605" t="s">
        <v>708</v>
      </c>
      <c r="AQ11" s="605" t="s">
        <v>709</v>
      </c>
      <c r="AR11" s="492" t="s">
        <v>264</v>
      </c>
      <c r="AS11" s="762" t="s">
        <v>737</v>
      </c>
      <c r="AT11" s="280">
        <v>0.11700000000000001</v>
      </c>
      <c r="AU11" s="281">
        <v>0.18</v>
      </c>
      <c r="AV11" s="14">
        <v>0.64449999999999996</v>
      </c>
      <c r="AW11" s="271" t="s">
        <v>776</v>
      </c>
      <c r="AX11" s="271" t="s">
        <v>776</v>
      </c>
      <c r="AY11" s="492" t="s">
        <v>264</v>
      </c>
      <c r="AZ11" s="282" t="s">
        <v>785</v>
      </c>
      <c r="BA11" s="192">
        <v>0.17499999999999999</v>
      </c>
      <c r="BB11" s="188">
        <v>0.21</v>
      </c>
      <c r="BC11" s="14">
        <v>0.77</v>
      </c>
      <c r="BD11" s="605" t="s">
        <v>841</v>
      </c>
      <c r="BE11" s="605" t="s">
        <v>842</v>
      </c>
      <c r="BF11" s="492" t="s">
        <v>264</v>
      </c>
      <c r="BG11" s="775" t="s">
        <v>855</v>
      </c>
      <c r="BH11" s="192" t="s">
        <v>384</v>
      </c>
      <c r="BI11" s="175">
        <v>35.299999999999997</v>
      </c>
      <c r="BJ11" s="14">
        <v>0</v>
      </c>
      <c r="BK11" s="62"/>
      <c r="BL11" s="62"/>
      <c r="BM11" s="492" t="s">
        <v>264</v>
      </c>
      <c r="BN11" s="183" t="s">
        <v>485</v>
      </c>
      <c r="BO11" s="192" t="s">
        <v>384</v>
      </c>
      <c r="BP11" s="175" t="s">
        <v>402</v>
      </c>
      <c r="BQ11" s="14">
        <v>0.64449999999999996</v>
      </c>
      <c r="BR11" s="62">
        <v>0</v>
      </c>
      <c r="BS11" s="62">
        <v>0</v>
      </c>
      <c r="BT11" s="492" t="s">
        <v>264</v>
      </c>
      <c r="BU11" s="183" t="s">
        <v>1051</v>
      </c>
      <c r="BV11" s="88">
        <v>0.13</v>
      </c>
      <c r="BW11" s="175" t="s">
        <v>440</v>
      </c>
      <c r="BX11" s="14">
        <v>0.4</v>
      </c>
      <c r="BY11" s="62">
        <f>8380975+175942526+66232642475</f>
        <v>66416965976</v>
      </c>
      <c r="BZ11" s="62">
        <f>6285731+
140457526+66232642475</f>
        <v>66379385732</v>
      </c>
      <c r="CA11" s="283">
        <f>BZ11/BY11</f>
        <v>0.9994341770442573</v>
      </c>
      <c r="CB11" s="151" t="s">
        <v>911</v>
      </c>
      <c r="CC11" s="195" t="s">
        <v>993</v>
      </c>
      <c r="CD11" s="61" t="s">
        <v>1025</v>
      </c>
      <c r="CE11" s="284">
        <v>0.12</v>
      </c>
      <c r="CF11" s="285">
        <v>0.87</v>
      </c>
      <c r="CG11" s="66">
        <f>358000000+8380975+175942526+66232642475+240328965+358000000+1724800+11200000+737000000</f>
        <v>68123219741</v>
      </c>
      <c r="CH11" s="66">
        <f>6285731+358000000+1724800+11200000+
140457526+66232642475+387567781+588301852</f>
        <v>67726180165</v>
      </c>
      <c r="CI11" s="286">
        <f>CH11/CG11</f>
        <v>0.99417174382670814</v>
      </c>
      <c r="CJ11" s="151" t="s">
        <v>911</v>
      </c>
      <c r="CK11" s="287" t="s">
        <v>1218</v>
      </c>
      <c r="CL11" s="45" t="s">
        <v>26</v>
      </c>
      <c r="CM11" s="38">
        <v>0.12</v>
      </c>
      <c r="CN11" s="176">
        <v>0.87</v>
      </c>
      <c r="CO11" s="50">
        <f>20000000+10400000</f>
        <v>30400000</v>
      </c>
      <c r="CP11" s="50">
        <v>2600000</v>
      </c>
      <c r="CQ11" s="154">
        <f>CP11/CO11</f>
        <v>8.5526315789473686E-2</v>
      </c>
      <c r="CR11" s="151" t="s">
        <v>911</v>
      </c>
      <c r="CS11" s="244" t="s">
        <v>1181</v>
      </c>
      <c r="CT11" s="77" t="s">
        <v>26</v>
      </c>
      <c r="CU11" s="284">
        <v>0.17100000000000001</v>
      </c>
      <c r="CV11" s="285">
        <v>0.87</v>
      </c>
      <c r="CW11" s="66">
        <v>30000000</v>
      </c>
      <c r="CX11" s="66">
        <v>0</v>
      </c>
      <c r="CY11" s="286">
        <f>CX11/CW11</f>
        <v>0</v>
      </c>
      <c r="CZ11" s="151" t="s">
        <v>911</v>
      </c>
      <c r="DA11" s="287" t="s">
        <v>1230</v>
      </c>
      <c r="DB11" s="77" t="s">
        <v>26</v>
      </c>
      <c r="DC11" s="288">
        <v>0.12</v>
      </c>
      <c r="DD11" s="285">
        <v>0.87</v>
      </c>
    </row>
    <row r="12" spans="1:109" s="2" customFormat="1" ht="201.75" customHeight="1" x14ac:dyDescent="0.25">
      <c r="A12" s="812"/>
      <c r="B12" s="492"/>
      <c r="C12" s="614"/>
      <c r="D12" s="103" t="s">
        <v>27</v>
      </c>
      <c r="E12" s="67" t="s">
        <v>28</v>
      </c>
      <c r="F12" s="67" t="s">
        <v>410</v>
      </c>
      <c r="G12" s="67" t="s">
        <v>411</v>
      </c>
      <c r="H12" s="77" t="s">
        <v>912</v>
      </c>
      <c r="I12" s="67" t="s">
        <v>29</v>
      </c>
      <c r="J12" s="77">
        <f>100*10*3</f>
        <v>3000</v>
      </c>
      <c r="K12" s="77" t="s">
        <v>276</v>
      </c>
      <c r="L12" s="77" t="s">
        <v>429</v>
      </c>
      <c r="M12" s="77" t="s">
        <v>350</v>
      </c>
      <c r="N12" s="77" t="s">
        <v>374</v>
      </c>
      <c r="O12" s="77" t="s">
        <v>351</v>
      </c>
      <c r="P12" s="77" t="s">
        <v>375</v>
      </c>
      <c r="Q12" s="118">
        <f>100*10*3</f>
        <v>3000</v>
      </c>
      <c r="R12" s="84" t="s">
        <v>33</v>
      </c>
      <c r="S12" s="607"/>
      <c r="T12" s="607"/>
      <c r="U12" s="607"/>
      <c r="V12" s="607"/>
      <c r="W12" s="492"/>
      <c r="X12" s="191"/>
      <c r="Y12" s="84" t="s">
        <v>33</v>
      </c>
      <c r="Z12" s="82" t="s">
        <v>29</v>
      </c>
      <c r="AA12" s="14">
        <v>0.33</v>
      </c>
      <c r="AB12" s="62"/>
      <c r="AC12" s="62"/>
      <c r="AD12" s="492"/>
      <c r="AE12" s="397" t="s">
        <v>590</v>
      </c>
      <c r="AF12" s="123">
        <v>300</v>
      </c>
      <c r="AG12" s="77">
        <v>714</v>
      </c>
      <c r="AH12" s="14">
        <v>0.33</v>
      </c>
      <c r="AI12" s="605"/>
      <c r="AJ12" s="605"/>
      <c r="AK12" s="492"/>
      <c r="AL12" s="133" t="s">
        <v>654</v>
      </c>
      <c r="AM12" s="102">
        <v>300</v>
      </c>
      <c r="AN12" s="61">
        <v>65</v>
      </c>
      <c r="AO12" s="14">
        <v>0.33</v>
      </c>
      <c r="AP12" s="640"/>
      <c r="AQ12" s="640"/>
      <c r="AR12" s="492"/>
      <c r="AS12" s="762"/>
      <c r="AT12" s="196">
        <v>3</v>
      </c>
      <c r="AU12" s="289">
        <v>3</v>
      </c>
      <c r="AV12" s="14">
        <v>0.33</v>
      </c>
      <c r="AW12" s="271" t="s">
        <v>776</v>
      </c>
      <c r="AX12" s="271" t="s">
        <v>776</v>
      </c>
      <c r="AY12" s="492"/>
      <c r="AZ12" s="290" t="s">
        <v>786</v>
      </c>
      <c r="BA12" s="123">
        <v>3</v>
      </c>
      <c r="BB12" s="77" t="s">
        <v>836</v>
      </c>
      <c r="BC12" s="14">
        <v>0.33</v>
      </c>
      <c r="BD12" s="605"/>
      <c r="BE12" s="605"/>
      <c r="BF12" s="492"/>
      <c r="BG12" s="775" t="s">
        <v>856</v>
      </c>
      <c r="BH12" s="123">
        <v>0</v>
      </c>
      <c r="BI12" s="77">
        <v>0</v>
      </c>
      <c r="BJ12" s="14">
        <v>1</v>
      </c>
      <c r="BK12" s="62"/>
      <c r="BL12" s="62"/>
      <c r="BM12" s="492"/>
      <c r="BN12" s="182" t="s">
        <v>486</v>
      </c>
      <c r="BO12" s="123">
        <v>0</v>
      </c>
      <c r="BP12" s="77">
        <v>0</v>
      </c>
      <c r="BQ12" s="14">
        <v>1</v>
      </c>
      <c r="BR12" s="62">
        <v>225000000</v>
      </c>
      <c r="BS12" s="62" t="s">
        <v>557</v>
      </c>
      <c r="BT12" s="492"/>
      <c r="BU12" s="182" t="s">
        <v>1052</v>
      </c>
      <c r="BV12" s="61">
        <v>205</v>
      </c>
      <c r="BW12" s="77">
        <v>193</v>
      </c>
      <c r="BX12" s="14">
        <v>0.94099999999999995</v>
      </c>
      <c r="BY12" s="62">
        <f>8380975
+264860887+
1463333+3690000</f>
        <v>278395195</v>
      </c>
      <c r="BZ12" s="252">
        <f>3331245+196405887+630000+3960000</f>
        <v>204327132</v>
      </c>
      <c r="CA12" s="14">
        <f>BZ12/BY12</f>
        <v>0.73394633122170083</v>
      </c>
      <c r="CB12" s="77" t="s">
        <v>912</v>
      </c>
      <c r="CC12" s="139" t="s">
        <v>1006</v>
      </c>
      <c r="CD12" s="61">
        <v>205</v>
      </c>
      <c r="CE12" s="67">
        <f>193+8+19</f>
        <v>220</v>
      </c>
      <c r="CF12" s="73">
        <v>1</v>
      </c>
      <c r="CG12" s="66">
        <f>8380975+1724800+18000000
+264860887+
1463333+3690000+40000000+18000000</f>
        <v>356119995</v>
      </c>
      <c r="CH12" s="66">
        <f>3331245+196405887+630000+3960000+1724800+8000000+5400000+13500000</f>
        <v>232951932</v>
      </c>
      <c r="CI12" s="73">
        <f>CH12/CG12</f>
        <v>0.65413887248875202</v>
      </c>
      <c r="CJ12" s="77" t="s">
        <v>912</v>
      </c>
      <c r="CK12" s="165" t="s">
        <v>1053</v>
      </c>
      <c r="CL12" s="45">
        <f>100*10*3</f>
        <v>3000</v>
      </c>
      <c r="CM12" s="52">
        <f>193+8+19</f>
        <v>220</v>
      </c>
      <c r="CN12" s="51">
        <v>1</v>
      </c>
      <c r="CO12" s="374">
        <f>40000000+20000000+10400000</f>
        <v>70400000</v>
      </c>
      <c r="CP12" s="375">
        <f>12400000+2600000</f>
        <v>15000000</v>
      </c>
      <c r="CQ12" s="51">
        <f>CP12/CO12</f>
        <v>0.21306818181818182</v>
      </c>
      <c r="CR12" s="77" t="s">
        <v>912</v>
      </c>
      <c r="CS12" s="236" t="s">
        <v>1182</v>
      </c>
      <c r="CT12" s="77">
        <f>100*10*3</f>
        <v>3000</v>
      </c>
      <c r="CU12" s="77">
        <v>55</v>
      </c>
      <c r="CV12" s="73">
        <f>CU12/CT12</f>
        <v>1.8333333333333333E-2</v>
      </c>
      <c r="CW12" s="382">
        <v>20000000</v>
      </c>
      <c r="CX12" s="383">
        <v>6500000</v>
      </c>
      <c r="CY12" s="73">
        <f>CX12/CW12</f>
        <v>0.32500000000000001</v>
      </c>
      <c r="CZ12" s="77" t="s">
        <v>912</v>
      </c>
      <c r="DA12" s="165" t="s">
        <v>1228</v>
      </c>
      <c r="DB12" s="77">
        <f>100*10*3</f>
        <v>3000</v>
      </c>
      <c r="DC12" s="275">
        <v>275</v>
      </c>
      <c r="DD12" s="251">
        <f>DC12/DB12</f>
        <v>9.166666666666666E-2</v>
      </c>
      <c r="DE12" s="96"/>
    </row>
    <row r="13" spans="1:109" ht="93.75" customHeight="1" x14ac:dyDescent="0.25">
      <c r="A13" s="812"/>
      <c r="B13" s="492"/>
      <c r="C13" s="614"/>
      <c r="D13" s="604" t="s">
        <v>30</v>
      </c>
      <c r="E13" s="492" t="s">
        <v>31</v>
      </c>
      <c r="F13" s="492" t="s">
        <v>412</v>
      </c>
      <c r="G13" s="492" t="s">
        <v>32</v>
      </c>
      <c r="H13" s="417" t="s">
        <v>913</v>
      </c>
      <c r="I13" s="562" t="s">
        <v>29</v>
      </c>
      <c r="J13" s="562" t="s">
        <v>33</v>
      </c>
      <c r="K13" s="492" t="s">
        <v>272</v>
      </c>
      <c r="L13" s="492" t="s">
        <v>362</v>
      </c>
      <c r="M13" s="492" t="s">
        <v>352</v>
      </c>
      <c r="N13" s="492" t="s">
        <v>367</v>
      </c>
      <c r="O13" s="492" t="s">
        <v>353</v>
      </c>
      <c r="P13" s="492" t="s">
        <v>376</v>
      </c>
      <c r="Q13" s="622" t="s">
        <v>33</v>
      </c>
      <c r="R13" s="84" t="s">
        <v>33</v>
      </c>
      <c r="S13" s="607"/>
      <c r="T13" s="607"/>
      <c r="U13" s="607"/>
      <c r="V13" s="607"/>
      <c r="W13" s="492"/>
      <c r="X13" s="191"/>
      <c r="Y13" s="84" t="s">
        <v>33</v>
      </c>
      <c r="Z13" s="82" t="s">
        <v>29</v>
      </c>
      <c r="AA13" s="527">
        <v>0</v>
      </c>
      <c r="AB13" s="620"/>
      <c r="AC13" s="620"/>
      <c r="AD13" s="492"/>
      <c r="AE13" s="397" t="s">
        <v>590</v>
      </c>
      <c r="AF13" s="197">
        <v>0.06</v>
      </c>
      <c r="AG13" s="188">
        <v>0.06</v>
      </c>
      <c r="AH13" s="527">
        <v>0</v>
      </c>
      <c r="AI13" s="605"/>
      <c r="AJ13" s="605"/>
      <c r="AK13" s="492"/>
      <c r="AL13" s="121" t="s">
        <v>655</v>
      </c>
      <c r="AM13" s="119">
        <v>0.06</v>
      </c>
      <c r="AN13" s="61">
        <v>0</v>
      </c>
      <c r="AO13" s="527">
        <v>0</v>
      </c>
      <c r="AP13" s="640"/>
      <c r="AQ13" s="640"/>
      <c r="AR13" s="492"/>
      <c r="AS13" s="762"/>
      <c r="AT13" s="270">
        <v>0.06</v>
      </c>
      <c r="AU13" s="261">
        <v>0.04</v>
      </c>
      <c r="AV13" s="527">
        <v>0</v>
      </c>
      <c r="AW13" s="271" t="s">
        <v>776</v>
      </c>
      <c r="AX13" s="271" t="s">
        <v>776</v>
      </c>
      <c r="AY13" s="492"/>
      <c r="AZ13" s="291" t="s">
        <v>787</v>
      </c>
      <c r="BA13" s="604">
        <v>12</v>
      </c>
      <c r="BB13" s="492" t="s">
        <v>837</v>
      </c>
      <c r="BC13" s="527">
        <v>0</v>
      </c>
      <c r="BD13" s="605"/>
      <c r="BE13" s="605"/>
      <c r="BF13" s="492"/>
      <c r="BG13" s="776" t="s">
        <v>857</v>
      </c>
      <c r="BH13" s="633">
        <v>0.1</v>
      </c>
      <c r="BI13" s="492">
        <v>0</v>
      </c>
      <c r="BJ13" s="527">
        <v>0</v>
      </c>
      <c r="BK13" s="605"/>
      <c r="BL13" s="605"/>
      <c r="BM13" s="492"/>
      <c r="BN13" s="626" t="s">
        <v>487</v>
      </c>
      <c r="BO13" s="633">
        <v>0.1</v>
      </c>
      <c r="BP13" s="492">
        <v>0</v>
      </c>
      <c r="BQ13" s="527">
        <v>0</v>
      </c>
      <c r="BR13" s="620" t="s">
        <v>558</v>
      </c>
      <c r="BS13" s="620" t="s">
        <v>559</v>
      </c>
      <c r="BT13" s="492"/>
      <c r="BU13" s="626" t="s">
        <v>1054</v>
      </c>
      <c r="BV13" s="549">
        <v>0.1</v>
      </c>
      <c r="BW13" s="492">
        <v>0</v>
      </c>
      <c r="BX13" s="527">
        <v>0</v>
      </c>
      <c r="BY13" s="673">
        <v>30000000</v>
      </c>
      <c r="BZ13" s="673">
        <v>30000000</v>
      </c>
      <c r="CA13" s="677">
        <f>BZ13/BY13</f>
        <v>1</v>
      </c>
      <c r="CB13" s="417" t="s">
        <v>913</v>
      </c>
      <c r="CC13" s="675" t="s">
        <v>959</v>
      </c>
      <c r="CD13" s="549">
        <v>0.1</v>
      </c>
      <c r="CE13" s="562">
        <v>0</v>
      </c>
      <c r="CF13" s="573">
        <v>0</v>
      </c>
      <c r="CG13" s="574">
        <v>1546483714</v>
      </c>
      <c r="CH13" s="576">
        <f>30000000+1250120000</f>
        <v>1280120000</v>
      </c>
      <c r="CI13" s="523">
        <f>CH13/CG13</f>
        <v>0.82776170768003321</v>
      </c>
      <c r="CJ13" s="417" t="s">
        <v>913</v>
      </c>
      <c r="CK13" s="519" t="s">
        <v>1055</v>
      </c>
      <c r="CL13" s="495" t="s">
        <v>33</v>
      </c>
      <c r="CM13" s="486">
        <v>0</v>
      </c>
      <c r="CN13" s="484">
        <v>0</v>
      </c>
      <c r="CO13" s="497">
        <f>20000000+8000000</f>
        <v>28000000</v>
      </c>
      <c r="CP13" s="403">
        <v>2000000</v>
      </c>
      <c r="CQ13" s="472">
        <f>CP13/CO13</f>
        <v>7.1428571428571425E-2</v>
      </c>
      <c r="CR13" s="417" t="s">
        <v>913</v>
      </c>
      <c r="CS13" s="409" t="s">
        <v>1183</v>
      </c>
      <c r="CT13" s="736" t="s">
        <v>33</v>
      </c>
      <c r="CU13" s="562">
        <v>0</v>
      </c>
      <c r="CV13" s="573">
        <v>0</v>
      </c>
      <c r="CW13" s="738">
        <v>20000000</v>
      </c>
      <c r="CX13" s="521">
        <v>16000000</v>
      </c>
      <c r="CY13" s="523">
        <f>CX13/CW13</f>
        <v>0.8</v>
      </c>
      <c r="CZ13" s="417" t="s">
        <v>913</v>
      </c>
      <c r="DA13" s="572" t="s">
        <v>1219</v>
      </c>
      <c r="DB13" s="562" t="s">
        <v>33</v>
      </c>
      <c r="DC13" s="736">
        <v>0</v>
      </c>
      <c r="DD13" s="573">
        <v>0</v>
      </c>
    </row>
    <row r="14" spans="1:109" ht="73.5" customHeight="1" x14ac:dyDescent="0.25">
      <c r="A14" s="812"/>
      <c r="B14" s="492"/>
      <c r="C14" s="614"/>
      <c r="D14" s="604"/>
      <c r="E14" s="492"/>
      <c r="F14" s="492"/>
      <c r="G14" s="492"/>
      <c r="H14" s="418"/>
      <c r="I14" s="562"/>
      <c r="J14" s="562"/>
      <c r="K14" s="492"/>
      <c r="L14" s="492"/>
      <c r="M14" s="492"/>
      <c r="N14" s="492"/>
      <c r="O14" s="492"/>
      <c r="P14" s="492"/>
      <c r="Q14" s="622"/>
      <c r="R14" s="84" t="s">
        <v>33</v>
      </c>
      <c r="S14" s="607"/>
      <c r="T14" s="607"/>
      <c r="U14" s="607"/>
      <c r="V14" s="607"/>
      <c r="W14" s="492"/>
      <c r="X14" s="191"/>
      <c r="Y14" s="84" t="s">
        <v>33</v>
      </c>
      <c r="Z14" s="82" t="s">
        <v>29</v>
      </c>
      <c r="AA14" s="527"/>
      <c r="AB14" s="620"/>
      <c r="AC14" s="620"/>
      <c r="AD14" s="492"/>
      <c r="AE14" s="397" t="s">
        <v>590</v>
      </c>
      <c r="AF14" s="123" t="s">
        <v>611</v>
      </c>
      <c r="AG14" s="77" t="s">
        <v>611</v>
      </c>
      <c r="AH14" s="527"/>
      <c r="AI14" s="62" t="s">
        <v>620</v>
      </c>
      <c r="AJ14" s="62" t="s">
        <v>620</v>
      </c>
      <c r="AK14" s="492"/>
      <c r="AL14" s="621" t="s">
        <v>656</v>
      </c>
      <c r="AM14" s="123" t="s">
        <v>611</v>
      </c>
      <c r="AN14" s="77" t="s">
        <v>611</v>
      </c>
      <c r="AO14" s="527"/>
      <c r="AP14" s="62" t="s">
        <v>620</v>
      </c>
      <c r="AQ14" s="62" t="s">
        <v>620</v>
      </c>
      <c r="AR14" s="492"/>
      <c r="AS14" s="763" t="s">
        <v>738</v>
      </c>
      <c r="AT14" s="198">
        <v>649</v>
      </c>
      <c r="AU14" s="254">
        <v>649</v>
      </c>
      <c r="AV14" s="527"/>
      <c r="AW14" s="271" t="s">
        <v>776</v>
      </c>
      <c r="AX14" s="271" t="s">
        <v>776</v>
      </c>
      <c r="AY14" s="492"/>
      <c r="AZ14" s="658" t="s">
        <v>788</v>
      </c>
      <c r="BA14" s="604"/>
      <c r="BB14" s="492"/>
      <c r="BC14" s="527"/>
      <c r="BD14" s="605"/>
      <c r="BE14" s="605"/>
      <c r="BF14" s="492"/>
      <c r="BG14" s="776"/>
      <c r="BH14" s="604"/>
      <c r="BI14" s="492"/>
      <c r="BJ14" s="527"/>
      <c r="BK14" s="605"/>
      <c r="BL14" s="605"/>
      <c r="BM14" s="492"/>
      <c r="BN14" s="626"/>
      <c r="BO14" s="604"/>
      <c r="BP14" s="492"/>
      <c r="BQ14" s="527"/>
      <c r="BR14" s="620"/>
      <c r="BS14" s="620"/>
      <c r="BT14" s="492"/>
      <c r="BU14" s="626"/>
      <c r="BV14" s="550"/>
      <c r="BW14" s="492"/>
      <c r="BX14" s="527"/>
      <c r="BY14" s="674"/>
      <c r="BZ14" s="674"/>
      <c r="CA14" s="678"/>
      <c r="CB14" s="418"/>
      <c r="CC14" s="676"/>
      <c r="CD14" s="550"/>
      <c r="CE14" s="562"/>
      <c r="CF14" s="573"/>
      <c r="CG14" s="575"/>
      <c r="CH14" s="577"/>
      <c r="CI14" s="524"/>
      <c r="CJ14" s="418"/>
      <c r="CK14" s="529"/>
      <c r="CL14" s="496"/>
      <c r="CM14" s="486"/>
      <c r="CN14" s="484"/>
      <c r="CO14" s="498"/>
      <c r="CP14" s="405"/>
      <c r="CQ14" s="473"/>
      <c r="CR14" s="418"/>
      <c r="CS14" s="411"/>
      <c r="CT14" s="737"/>
      <c r="CU14" s="562"/>
      <c r="CV14" s="573"/>
      <c r="CW14" s="739"/>
      <c r="CX14" s="522"/>
      <c r="CY14" s="524"/>
      <c r="CZ14" s="418"/>
      <c r="DA14" s="505"/>
      <c r="DB14" s="562"/>
      <c r="DC14" s="737"/>
      <c r="DD14" s="573"/>
    </row>
    <row r="15" spans="1:109" ht="107.25" customHeight="1" x14ac:dyDescent="0.25">
      <c r="A15" s="812"/>
      <c r="B15" s="492"/>
      <c r="C15" s="614"/>
      <c r="D15" s="123" t="s">
        <v>34</v>
      </c>
      <c r="E15" s="67" t="s">
        <v>35</v>
      </c>
      <c r="F15" s="67" t="s">
        <v>36</v>
      </c>
      <c r="G15" s="67" t="s">
        <v>37</v>
      </c>
      <c r="H15" s="77" t="s">
        <v>914</v>
      </c>
      <c r="I15" s="71">
        <v>0.8</v>
      </c>
      <c r="J15" s="77" t="s">
        <v>413</v>
      </c>
      <c r="K15" s="492" t="s">
        <v>276</v>
      </c>
      <c r="L15" s="492" t="s">
        <v>279</v>
      </c>
      <c r="M15" s="492">
        <v>3602018</v>
      </c>
      <c r="N15" s="492" t="s">
        <v>280</v>
      </c>
      <c r="O15" s="492">
        <v>360201800</v>
      </c>
      <c r="P15" s="492" t="s">
        <v>281</v>
      </c>
      <c r="Q15" s="118" t="s">
        <v>413</v>
      </c>
      <c r="R15" s="84" t="s">
        <v>33</v>
      </c>
      <c r="S15" s="607"/>
      <c r="T15" s="607"/>
      <c r="U15" s="607"/>
      <c r="V15" s="607"/>
      <c r="W15" s="492" t="s">
        <v>430</v>
      </c>
      <c r="X15" s="191"/>
      <c r="Y15" s="84" t="s">
        <v>33</v>
      </c>
      <c r="Z15" s="82" t="s">
        <v>29</v>
      </c>
      <c r="AA15" s="14" t="e">
        <f>Z15/Y15</f>
        <v>#VALUE!</v>
      </c>
      <c r="AB15" s="605"/>
      <c r="AC15" s="605"/>
      <c r="AD15" s="492" t="s">
        <v>430</v>
      </c>
      <c r="AE15" s="397" t="s">
        <v>590</v>
      </c>
      <c r="AF15" s="123" t="s">
        <v>611</v>
      </c>
      <c r="AG15" s="77" t="s">
        <v>611</v>
      </c>
      <c r="AH15" s="14" t="e">
        <f>AG15/AF15</f>
        <v>#VALUE!</v>
      </c>
      <c r="AI15" s="62" t="s">
        <v>620</v>
      </c>
      <c r="AJ15" s="62" t="s">
        <v>620</v>
      </c>
      <c r="AK15" s="492" t="s">
        <v>430</v>
      </c>
      <c r="AL15" s="621"/>
      <c r="AM15" s="123" t="s">
        <v>611</v>
      </c>
      <c r="AN15" s="77" t="s">
        <v>611</v>
      </c>
      <c r="AO15" s="14" t="e">
        <f>AN15/AM15</f>
        <v>#VALUE!</v>
      </c>
      <c r="AP15" s="62" t="s">
        <v>620</v>
      </c>
      <c r="AQ15" s="62" t="s">
        <v>620</v>
      </c>
      <c r="AR15" s="492" t="s">
        <v>430</v>
      </c>
      <c r="AS15" s="763"/>
      <c r="AT15" s="253">
        <v>155</v>
      </c>
      <c r="AU15" s="254">
        <v>155</v>
      </c>
      <c r="AV15" s="14">
        <f>AU15/AT15</f>
        <v>1</v>
      </c>
      <c r="AW15" s="271" t="s">
        <v>776</v>
      </c>
      <c r="AX15" s="271" t="s">
        <v>776</v>
      </c>
      <c r="AY15" s="492" t="s">
        <v>430</v>
      </c>
      <c r="AZ15" s="658"/>
      <c r="BA15" s="123">
        <v>253</v>
      </c>
      <c r="BB15" s="77">
        <v>253</v>
      </c>
      <c r="BC15" s="14">
        <f>BB15/BA15</f>
        <v>1</v>
      </c>
      <c r="BD15" s="605">
        <v>150000000</v>
      </c>
      <c r="BE15" s="605">
        <v>150000000</v>
      </c>
      <c r="BF15" s="492" t="s">
        <v>430</v>
      </c>
      <c r="BG15" s="761" t="s">
        <v>858</v>
      </c>
      <c r="BH15" s="123">
        <v>1741</v>
      </c>
      <c r="BI15" s="77">
        <v>1741</v>
      </c>
      <c r="BJ15" s="14">
        <v>1</v>
      </c>
      <c r="BK15" s="605"/>
      <c r="BL15" s="605"/>
      <c r="BM15" s="492" t="s">
        <v>488</v>
      </c>
      <c r="BN15" s="653" t="s">
        <v>489</v>
      </c>
      <c r="BO15" s="123">
        <v>1741</v>
      </c>
      <c r="BP15" s="77">
        <v>1523</v>
      </c>
      <c r="BQ15" s="14">
        <f>BP15/BO15</f>
        <v>0.87478460654796097</v>
      </c>
      <c r="BR15" s="605"/>
      <c r="BS15" s="605"/>
      <c r="BT15" s="492" t="s">
        <v>430</v>
      </c>
      <c r="BU15" s="653" t="s">
        <v>1056</v>
      </c>
      <c r="BV15" s="61">
        <v>1741</v>
      </c>
      <c r="BW15" s="77">
        <v>1925</v>
      </c>
      <c r="BX15" s="14">
        <v>1</v>
      </c>
      <c r="BY15" s="513">
        <v>0</v>
      </c>
      <c r="BZ15" s="513">
        <v>0</v>
      </c>
      <c r="CA15" s="272">
        <v>0</v>
      </c>
      <c r="CB15" s="77" t="s">
        <v>914</v>
      </c>
      <c r="CC15" s="688" t="s">
        <v>960</v>
      </c>
      <c r="CD15" s="61">
        <v>1741</v>
      </c>
      <c r="CE15" s="67">
        <v>1925</v>
      </c>
      <c r="CF15" s="297">
        <v>1</v>
      </c>
      <c r="CG15" s="521">
        <v>0</v>
      </c>
      <c r="CH15" s="521">
        <v>0</v>
      </c>
      <c r="CI15" s="274">
        <v>0</v>
      </c>
      <c r="CJ15" s="77" t="s">
        <v>914</v>
      </c>
      <c r="CK15" s="578" t="s">
        <v>1057</v>
      </c>
      <c r="CL15" s="45" t="s">
        <v>413</v>
      </c>
      <c r="CM15" s="52">
        <v>1925</v>
      </c>
      <c r="CN15" s="148">
        <v>1</v>
      </c>
      <c r="CO15" s="403">
        <v>0</v>
      </c>
      <c r="CP15" s="403">
        <v>0</v>
      </c>
      <c r="CQ15" s="141">
        <v>0</v>
      </c>
      <c r="CR15" s="77" t="s">
        <v>914</v>
      </c>
      <c r="CS15" s="454" t="s">
        <v>1184</v>
      </c>
      <c r="CT15" s="77" t="s">
        <v>413</v>
      </c>
      <c r="CU15" s="67">
        <v>4440</v>
      </c>
      <c r="CV15" s="297">
        <v>1</v>
      </c>
      <c r="CW15" s="521">
        <v>0</v>
      </c>
      <c r="CX15" s="521">
        <v>0</v>
      </c>
      <c r="CY15" s="274">
        <v>0</v>
      </c>
      <c r="CZ15" s="77" t="s">
        <v>914</v>
      </c>
      <c r="DA15" s="578" t="s">
        <v>1229</v>
      </c>
      <c r="DB15" s="77" t="s">
        <v>413</v>
      </c>
      <c r="DC15" s="275">
        <v>5959</v>
      </c>
      <c r="DD15" s="70">
        <v>1</v>
      </c>
    </row>
    <row r="16" spans="1:109" ht="71.25" customHeight="1" x14ac:dyDescent="0.25">
      <c r="A16" s="812"/>
      <c r="B16" s="492"/>
      <c r="C16" s="614"/>
      <c r="D16" s="123" t="s">
        <v>38</v>
      </c>
      <c r="E16" s="67" t="s">
        <v>39</v>
      </c>
      <c r="F16" s="67" t="s">
        <v>40</v>
      </c>
      <c r="G16" s="67" t="s">
        <v>37</v>
      </c>
      <c r="H16" s="77" t="s">
        <v>914</v>
      </c>
      <c r="I16" s="67" t="s">
        <v>29</v>
      </c>
      <c r="J16" s="77" t="s">
        <v>413</v>
      </c>
      <c r="K16" s="492"/>
      <c r="L16" s="492"/>
      <c r="M16" s="492"/>
      <c r="N16" s="492"/>
      <c r="O16" s="492"/>
      <c r="P16" s="492"/>
      <c r="Q16" s="118" t="s">
        <v>413</v>
      </c>
      <c r="R16" s="185" t="s">
        <v>33</v>
      </c>
      <c r="S16" s="607"/>
      <c r="T16" s="607"/>
      <c r="U16" s="607"/>
      <c r="V16" s="607"/>
      <c r="W16" s="492"/>
      <c r="X16" s="191"/>
      <c r="Y16" s="185" t="s">
        <v>33</v>
      </c>
      <c r="Z16" s="83">
        <v>0.01</v>
      </c>
      <c r="AA16" s="14" t="e">
        <f>Z16/Y16</f>
        <v>#VALUE!</v>
      </c>
      <c r="AB16" s="605"/>
      <c r="AC16" s="605"/>
      <c r="AD16" s="492"/>
      <c r="AE16" s="397" t="s">
        <v>591</v>
      </c>
      <c r="AF16" s="192">
        <v>4.0000000000000001E-3</v>
      </c>
      <c r="AG16" s="188">
        <v>4.0000000000000001E-3</v>
      </c>
      <c r="AH16" s="14">
        <f>AG16/AF16</f>
        <v>1</v>
      </c>
      <c r="AI16" s="605">
        <v>16500000</v>
      </c>
      <c r="AJ16" s="605">
        <v>16500000</v>
      </c>
      <c r="AK16" s="492"/>
      <c r="AL16" s="621" t="s">
        <v>657</v>
      </c>
      <c r="AM16" s="199">
        <v>4.0000000000000001E-3</v>
      </c>
      <c r="AN16" s="200" t="s">
        <v>33</v>
      </c>
      <c r="AO16" s="14" t="e">
        <f>AN16/AM16</f>
        <v>#VALUE!</v>
      </c>
      <c r="AP16" s="640" t="s">
        <v>710</v>
      </c>
      <c r="AQ16" s="640" t="s">
        <v>620</v>
      </c>
      <c r="AR16" s="492"/>
      <c r="AS16" s="764" t="s">
        <v>739</v>
      </c>
      <c r="AT16" s="298">
        <v>4.0000000000000001E-3</v>
      </c>
      <c r="AU16" s="299">
        <v>3.5000000000000001E-3</v>
      </c>
      <c r="AV16" s="14">
        <f>AU16/AT16</f>
        <v>0.875</v>
      </c>
      <c r="AW16" s="661" t="s">
        <v>776</v>
      </c>
      <c r="AX16" s="661" t="s">
        <v>776</v>
      </c>
      <c r="AY16" s="492"/>
      <c r="AZ16" s="655" t="s">
        <v>789</v>
      </c>
      <c r="BA16" s="123">
        <v>253</v>
      </c>
      <c r="BB16" s="77">
        <v>253</v>
      </c>
      <c r="BC16" s="14">
        <f>BB16/BA16</f>
        <v>1</v>
      </c>
      <c r="BD16" s="605"/>
      <c r="BE16" s="605"/>
      <c r="BF16" s="492"/>
      <c r="BG16" s="761"/>
      <c r="BH16" s="123">
        <v>1741</v>
      </c>
      <c r="BI16" s="77">
        <v>1741</v>
      </c>
      <c r="BJ16" s="14">
        <v>1</v>
      </c>
      <c r="BK16" s="605"/>
      <c r="BL16" s="605"/>
      <c r="BM16" s="492"/>
      <c r="BN16" s="653"/>
      <c r="BO16" s="123">
        <v>1741</v>
      </c>
      <c r="BP16" s="77">
        <v>1523</v>
      </c>
      <c r="BQ16" s="14">
        <f>BP16/BO16</f>
        <v>0.87478460654796097</v>
      </c>
      <c r="BR16" s="605"/>
      <c r="BS16" s="605"/>
      <c r="BT16" s="492"/>
      <c r="BU16" s="653"/>
      <c r="BV16" s="61">
        <v>1741</v>
      </c>
      <c r="BW16" s="77">
        <v>1925</v>
      </c>
      <c r="BX16" s="14">
        <v>1</v>
      </c>
      <c r="BY16" s="515"/>
      <c r="BZ16" s="515"/>
      <c r="CA16" s="272">
        <v>0</v>
      </c>
      <c r="CB16" s="77" t="s">
        <v>914</v>
      </c>
      <c r="CC16" s="690"/>
      <c r="CD16" s="61">
        <v>1741</v>
      </c>
      <c r="CE16" s="67">
        <v>1925</v>
      </c>
      <c r="CF16" s="297">
        <v>1</v>
      </c>
      <c r="CG16" s="522"/>
      <c r="CH16" s="522"/>
      <c r="CI16" s="274">
        <v>0</v>
      </c>
      <c r="CJ16" s="77" t="s">
        <v>914</v>
      </c>
      <c r="CK16" s="579"/>
      <c r="CL16" s="45" t="s">
        <v>413</v>
      </c>
      <c r="CM16" s="52">
        <v>1925</v>
      </c>
      <c r="CN16" s="148">
        <v>1</v>
      </c>
      <c r="CO16" s="405"/>
      <c r="CP16" s="405"/>
      <c r="CQ16" s="141">
        <v>0</v>
      </c>
      <c r="CR16" s="77" t="s">
        <v>914</v>
      </c>
      <c r="CS16" s="455"/>
      <c r="CT16" s="77" t="s">
        <v>413</v>
      </c>
      <c r="CU16" s="67">
        <v>4440</v>
      </c>
      <c r="CV16" s="297">
        <v>1</v>
      </c>
      <c r="CW16" s="522"/>
      <c r="CX16" s="522"/>
      <c r="CY16" s="274">
        <v>0</v>
      </c>
      <c r="CZ16" s="77" t="s">
        <v>914</v>
      </c>
      <c r="DA16" s="579"/>
      <c r="DB16" s="77" t="s">
        <v>413</v>
      </c>
      <c r="DC16" s="275">
        <v>5959</v>
      </c>
      <c r="DD16" s="297">
        <v>1</v>
      </c>
    </row>
    <row r="17" spans="1:108" ht="86.25" customHeight="1" x14ac:dyDescent="0.25">
      <c r="A17" s="812"/>
      <c r="B17" s="492"/>
      <c r="C17" s="614"/>
      <c r="D17" s="604" t="s">
        <v>41</v>
      </c>
      <c r="E17" s="562" t="s">
        <v>42</v>
      </c>
      <c r="F17" s="67" t="s">
        <v>43</v>
      </c>
      <c r="G17" s="67" t="s">
        <v>44</v>
      </c>
      <c r="H17" s="77" t="s">
        <v>915</v>
      </c>
      <c r="I17" s="67" t="s">
        <v>45</v>
      </c>
      <c r="J17" s="77" t="s">
        <v>46</v>
      </c>
      <c r="K17" s="492" t="s">
        <v>414</v>
      </c>
      <c r="L17" s="492" t="s">
        <v>363</v>
      </c>
      <c r="M17" s="492" t="s">
        <v>282</v>
      </c>
      <c r="N17" s="492" t="s">
        <v>415</v>
      </c>
      <c r="O17" s="492" t="s">
        <v>283</v>
      </c>
      <c r="P17" s="492" t="s">
        <v>377</v>
      </c>
      <c r="Q17" s="118" t="s">
        <v>46</v>
      </c>
      <c r="R17" s="185" t="s">
        <v>33</v>
      </c>
      <c r="S17" s="607"/>
      <c r="T17" s="607"/>
      <c r="U17" s="607"/>
      <c r="V17" s="607"/>
      <c r="W17" s="492" t="s">
        <v>266</v>
      </c>
      <c r="X17" s="191"/>
      <c r="Y17" s="185" t="s">
        <v>33</v>
      </c>
      <c r="Z17" s="83">
        <v>0.05</v>
      </c>
      <c r="AA17" s="14">
        <v>1</v>
      </c>
      <c r="AB17" s="637"/>
      <c r="AC17" s="637"/>
      <c r="AD17" s="492" t="s">
        <v>266</v>
      </c>
      <c r="AE17" s="397" t="s">
        <v>590</v>
      </c>
      <c r="AF17" s="657">
        <v>7.0000000000000001E-3</v>
      </c>
      <c r="AG17" s="541">
        <v>0.109</v>
      </c>
      <c r="AH17" s="14">
        <v>1</v>
      </c>
      <c r="AI17" s="605"/>
      <c r="AJ17" s="605"/>
      <c r="AK17" s="492" t="s">
        <v>266</v>
      </c>
      <c r="AL17" s="621"/>
      <c r="AM17" s="643">
        <v>7.0000000000000001E-3</v>
      </c>
      <c r="AN17" s="644" t="s">
        <v>33</v>
      </c>
      <c r="AO17" s="14">
        <v>1</v>
      </c>
      <c r="AP17" s="640"/>
      <c r="AQ17" s="640"/>
      <c r="AR17" s="492" t="s">
        <v>266</v>
      </c>
      <c r="AS17" s="764"/>
      <c r="AT17" s="702">
        <v>0.1</v>
      </c>
      <c r="AU17" s="703">
        <v>0.08</v>
      </c>
      <c r="AV17" s="14">
        <v>1</v>
      </c>
      <c r="AW17" s="661"/>
      <c r="AX17" s="661"/>
      <c r="AY17" s="492" t="s">
        <v>266</v>
      </c>
      <c r="AZ17" s="655"/>
      <c r="BA17" s="192">
        <v>4.0000000000000001E-3</v>
      </c>
      <c r="BB17" s="1">
        <v>4.3999999999999997E-2</v>
      </c>
      <c r="BC17" s="14">
        <v>1</v>
      </c>
      <c r="BD17" s="654">
        <v>115272000</v>
      </c>
      <c r="BE17" s="654">
        <v>57636000</v>
      </c>
      <c r="BF17" s="492" t="s">
        <v>266</v>
      </c>
      <c r="BG17" s="777"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7" s="657" t="s">
        <v>382</v>
      </c>
      <c r="BI17" s="1">
        <v>0.03</v>
      </c>
      <c r="BJ17" s="14">
        <v>1</v>
      </c>
      <c r="BK17" s="637" t="s">
        <v>490</v>
      </c>
      <c r="BL17" s="637">
        <v>1980000</v>
      </c>
      <c r="BM17" s="492" t="s">
        <v>266</v>
      </c>
      <c r="BN17" s="667" t="s">
        <v>491</v>
      </c>
      <c r="BO17" s="657" t="s">
        <v>382</v>
      </c>
      <c r="BP17" s="1">
        <v>0.03</v>
      </c>
      <c r="BQ17" s="14">
        <v>1</v>
      </c>
      <c r="BR17" s="637" t="s">
        <v>441</v>
      </c>
      <c r="BS17" s="637" t="s">
        <v>442</v>
      </c>
      <c r="BT17" s="492" t="s">
        <v>266</v>
      </c>
      <c r="BU17" s="667" t="s">
        <v>1058</v>
      </c>
      <c r="BV17" s="201" t="s">
        <v>898</v>
      </c>
      <c r="BW17" s="1">
        <v>0.03</v>
      </c>
      <c r="BX17" s="14">
        <v>1</v>
      </c>
      <c r="BY17" s="580">
        <f>163000000+
31500000</f>
        <v>194500000</v>
      </c>
      <c r="BZ17" s="580">
        <f>163000000+63000000</f>
        <v>226000000</v>
      </c>
      <c r="CA17" s="682">
        <v>1</v>
      </c>
      <c r="CB17" s="77" t="s">
        <v>915</v>
      </c>
      <c r="CC17" s="683" t="s">
        <v>961</v>
      </c>
      <c r="CD17" s="61" t="s">
        <v>1026</v>
      </c>
      <c r="CE17" s="300">
        <v>0.03</v>
      </c>
      <c r="CF17" s="251">
        <v>1</v>
      </c>
      <c r="CG17" s="580">
        <f>163000000+63000000+121344300+13571428+141093371+121344300</f>
        <v>623353399</v>
      </c>
      <c r="CH17" s="521">
        <f>163000000+13571428+119492679+
31500000+33093900+121344300</f>
        <v>482002307</v>
      </c>
      <c r="CI17" s="570">
        <f>CH17/CG17</f>
        <v>0.77324084182943553</v>
      </c>
      <c r="CJ17" s="77" t="s">
        <v>915</v>
      </c>
      <c r="CK17" s="583" t="s">
        <v>1059</v>
      </c>
      <c r="CL17" s="45" t="s">
        <v>46</v>
      </c>
      <c r="CM17" s="37">
        <v>0.03</v>
      </c>
      <c r="CN17" s="40">
        <v>1</v>
      </c>
      <c r="CO17" s="477">
        <f>163000000+6000000+10400000</f>
        <v>179400000</v>
      </c>
      <c r="CP17" s="403">
        <f>42071436+6933333</f>
        <v>49004769</v>
      </c>
      <c r="CQ17" s="451">
        <f>CP17/CO17</f>
        <v>0.27315924749163878</v>
      </c>
      <c r="CR17" s="77" t="s">
        <v>915</v>
      </c>
      <c r="CS17" s="480" t="s">
        <v>1185</v>
      </c>
      <c r="CT17" s="77" t="s">
        <v>46</v>
      </c>
      <c r="CU17" s="300">
        <v>2.1000000000000001E-2</v>
      </c>
      <c r="CV17" s="251">
        <v>1</v>
      </c>
      <c r="CW17" s="580">
        <v>6000000</v>
      </c>
      <c r="CX17" s="521">
        <v>2000000</v>
      </c>
      <c r="CY17" s="570">
        <f>CX17/CW17</f>
        <v>0.33333333333333331</v>
      </c>
      <c r="CZ17" s="77" t="s">
        <v>915</v>
      </c>
      <c r="DA17" s="583" t="s">
        <v>1231</v>
      </c>
      <c r="DB17" s="77" t="s">
        <v>46</v>
      </c>
      <c r="DC17" s="300">
        <v>0.03</v>
      </c>
      <c r="DD17" s="301">
        <v>1</v>
      </c>
    </row>
    <row r="18" spans="1:108" ht="93.75" customHeight="1" x14ac:dyDescent="0.25">
      <c r="A18" s="812"/>
      <c r="B18" s="492"/>
      <c r="C18" s="614"/>
      <c r="D18" s="604"/>
      <c r="E18" s="562"/>
      <c r="F18" s="562" t="s">
        <v>47</v>
      </c>
      <c r="G18" s="562" t="s">
        <v>44</v>
      </c>
      <c r="H18" s="417" t="s">
        <v>916</v>
      </c>
      <c r="I18" s="562" t="s">
        <v>48</v>
      </c>
      <c r="J18" s="492" t="s">
        <v>49</v>
      </c>
      <c r="K18" s="492"/>
      <c r="L18" s="492"/>
      <c r="M18" s="492"/>
      <c r="N18" s="492"/>
      <c r="O18" s="492"/>
      <c r="P18" s="492"/>
      <c r="Q18" s="622" t="s">
        <v>49</v>
      </c>
      <c r="R18" s="84" t="s">
        <v>33</v>
      </c>
      <c r="S18" s="607"/>
      <c r="T18" s="607"/>
      <c r="U18" s="607"/>
      <c r="V18" s="607"/>
      <c r="W18" s="492"/>
      <c r="X18" s="181"/>
      <c r="Y18" s="84" t="s">
        <v>33</v>
      </c>
      <c r="Z18" s="82">
        <v>1</v>
      </c>
      <c r="AA18" s="527">
        <v>0.97219999999999995</v>
      </c>
      <c r="AB18" s="637"/>
      <c r="AC18" s="637"/>
      <c r="AD18" s="492"/>
      <c r="AE18" s="396" t="s">
        <v>592</v>
      </c>
      <c r="AF18" s="657"/>
      <c r="AG18" s="541"/>
      <c r="AH18" s="527">
        <v>0.97219999999999995</v>
      </c>
      <c r="AI18" s="605"/>
      <c r="AJ18" s="605"/>
      <c r="AK18" s="492"/>
      <c r="AL18" s="621"/>
      <c r="AM18" s="643"/>
      <c r="AN18" s="644"/>
      <c r="AO18" s="527">
        <v>0.97219999999999995</v>
      </c>
      <c r="AP18" s="640"/>
      <c r="AQ18" s="640"/>
      <c r="AR18" s="492"/>
      <c r="AS18" s="764"/>
      <c r="AT18" s="702"/>
      <c r="AU18" s="703"/>
      <c r="AV18" s="527">
        <v>0.97219999999999995</v>
      </c>
      <c r="AW18" s="661"/>
      <c r="AX18" s="661"/>
      <c r="AY18" s="492"/>
      <c r="AZ18" s="655"/>
      <c r="BA18" s="657">
        <v>7.0000000000000001E-3</v>
      </c>
      <c r="BB18" s="541">
        <v>8.6999999999999994E-2</v>
      </c>
      <c r="BC18" s="527">
        <v>0.97219999999999995</v>
      </c>
      <c r="BD18" s="654"/>
      <c r="BE18" s="654"/>
      <c r="BF18" s="492"/>
      <c r="BG18" s="777"/>
      <c r="BH18" s="657"/>
      <c r="BI18" s="541" t="s">
        <v>393</v>
      </c>
      <c r="BJ18" s="527">
        <v>0.97219999999999995</v>
      </c>
      <c r="BK18" s="637"/>
      <c r="BL18" s="637"/>
      <c r="BM18" s="492"/>
      <c r="BN18" s="668"/>
      <c r="BO18" s="657"/>
      <c r="BP18" s="541" t="s">
        <v>393</v>
      </c>
      <c r="BQ18" s="527">
        <v>0.97219999999999995</v>
      </c>
      <c r="BR18" s="637"/>
      <c r="BS18" s="637"/>
      <c r="BT18" s="492"/>
      <c r="BU18" s="667"/>
      <c r="BV18" s="586">
        <v>7.0000000000000007E-2</v>
      </c>
      <c r="BW18" s="541" t="s">
        <v>393</v>
      </c>
      <c r="BX18" s="527">
        <v>0.97219999999999995</v>
      </c>
      <c r="BY18" s="581"/>
      <c r="BZ18" s="581"/>
      <c r="CA18" s="682"/>
      <c r="CB18" s="417" t="s">
        <v>916</v>
      </c>
      <c r="CC18" s="684"/>
      <c r="CD18" s="586">
        <v>7.0000000000000007E-2</v>
      </c>
      <c r="CE18" s="561" t="s">
        <v>393</v>
      </c>
      <c r="CF18" s="573">
        <v>1</v>
      </c>
      <c r="CG18" s="581"/>
      <c r="CH18" s="540"/>
      <c r="CI18" s="570"/>
      <c r="CJ18" s="417" t="s">
        <v>916</v>
      </c>
      <c r="CK18" s="584"/>
      <c r="CL18" s="412" t="s">
        <v>49</v>
      </c>
      <c r="CM18" s="483" t="s">
        <v>393</v>
      </c>
      <c r="CN18" s="484">
        <v>1</v>
      </c>
      <c r="CO18" s="478"/>
      <c r="CP18" s="404"/>
      <c r="CQ18" s="451"/>
      <c r="CR18" s="417" t="s">
        <v>916</v>
      </c>
      <c r="CS18" s="481"/>
      <c r="CT18" s="417" t="s">
        <v>49</v>
      </c>
      <c r="CU18" s="561" t="s">
        <v>393</v>
      </c>
      <c r="CV18" s="573">
        <v>1</v>
      </c>
      <c r="CW18" s="581"/>
      <c r="CX18" s="540"/>
      <c r="CY18" s="570"/>
      <c r="CZ18" s="417" t="s">
        <v>916</v>
      </c>
      <c r="DA18" s="584"/>
      <c r="DB18" s="492" t="s">
        <v>49</v>
      </c>
      <c r="DC18" s="567" t="s">
        <v>393</v>
      </c>
      <c r="DD18" s="735">
        <v>1</v>
      </c>
    </row>
    <row r="19" spans="1:108" ht="67.5" customHeight="1" x14ac:dyDescent="0.25">
      <c r="A19" s="812"/>
      <c r="B19" s="492"/>
      <c r="C19" s="614"/>
      <c r="D19" s="604"/>
      <c r="E19" s="562"/>
      <c r="F19" s="562"/>
      <c r="G19" s="562"/>
      <c r="H19" s="418"/>
      <c r="I19" s="562"/>
      <c r="J19" s="492"/>
      <c r="K19" s="492"/>
      <c r="L19" s="492"/>
      <c r="M19" s="492"/>
      <c r="N19" s="492"/>
      <c r="O19" s="492"/>
      <c r="P19" s="492"/>
      <c r="Q19" s="622"/>
      <c r="R19" s="84" t="s">
        <v>33</v>
      </c>
      <c r="S19" s="624"/>
      <c r="T19" s="624"/>
      <c r="U19" s="624"/>
      <c r="V19" s="624"/>
      <c r="W19" s="492"/>
      <c r="X19" s="623"/>
      <c r="Y19" s="84" t="s">
        <v>33</v>
      </c>
      <c r="Z19" s="82" t="s">
        <v>581</v>
      </c>
      <c r="AA19" s="527"/>
      <c r="AB19" s="637"/>
      <c r="AC19" s="637"/>
      <c r="AD19" s="492"/>
      <c r="AE19" s="623" t="s">
        <v>593</v>
      </c>
      <c r="AF19" s="633">
        <v>0.04</v>
      </c>
      <c r="AG19" s="548">
        <v>0.04</v>
      </c>
      <c r="AH19" s="527"/>
      <c r="AI19" s="605">
        <v>10000000</v>
      </c>
      <c r="AJ19" s="605">
        <v>10000000</v>
      </c>
      <c r="AK19" s="492"/>
      <c r="AL19" s="621" t="s">
        <v>658</v>
      </c>
      <c r="AM19" s="641">
        <v>0.05</v>
      </c>
      <c r="AN19" s="549">
        <v>0.05</v>
      </c>
      <c r="AO19" s="527"/>
      <c r="AP19" s="605" t="s">
        <v>711</v>
      </c>
      <c r="AQ19" s="605" t="s">
        <v>712</v>
      </c>
      <c r="AR19" s="492"/>
      <c r="AS19" s="763" t="s">
        <v>740</v>
      </c>
      <c r="AT19" s="699">
        <v>0.06</v>
      </c>
      <c r="AU19" s="700">
        <v>0.06</v>
      </c>
      <c r="AV19" s="527"/>
      <c r="AW19" s="656" t="s">
        <v>776</v>
      </c>
      <c r="AX19" s="656" t="s">
        <v>776</v>
      </c>
      <c r="AY19" s="492"/>
      <c r="AZ19" s="659" t="s">
        <v>790</v>
      </c>
      <c r="BA19" s="657"/>
      <c r="BB19" s="541"/>
      <c r="BC19" s="527"/>
      <c r="BD19" s="654"/>
      <c r="BE19" s="654"/>
      <c r="BF19" s="492"/>
      <c r="BG19" s="777"/>
      <c r="BH19" s="657"/>
      <c r="BI19" s="541"/>
      <c r="BJ19" s="527"/>
      <c r="BK19" s="637"/>
      <c r="BL19" s="637"/>
      <c r="BM19" s="492"/>
      <c r="BN19" s="668"/>
      <c r="BO19" s="657"/>
      <c r="BP19" s="541"/>
      <c r="BQ19" s="527"/>
      <c r="BR19" s="637"/>
      <c r="BS19" s="637"/>
      <c r="BT19" s="492"/>
      <c r="BU19" s="667"/>
      <c r="BV19" s="587"/>
      <c r="BW19" s="541"/>
      <c r="BX19" s="527"/>
      <c r="BY19" s="582"/>
      <c r="BZ19" s="582"/>
      <c r="CA19" s="678"/>
      <c r="CB19" s="418"/>
      <c r="CC19" s="685"/>
      <c r="CD19" s="587"/>
      <c r="CE19" s="561"/>
      <c r="CF19" s="573"/>
      <c r="CG19" s="582"/>
      <c r="CH19" s="522"/>
      <c r="CI19" s="571"/>
      <c r="CJ19" s="418"/>
      <c r="CK19" s="585"/>
      <c r="CL19" s="413"/>
      <c r="CM19" s="483"/>
      <c r="CN19" s="484"/>
      <c r="CO19" s="479"/>
      <c r="CP19" s="405"/>
      <c r="CQ19" s="452"/>
      <c r="CR19" s="418"/>
      <c r="CS19" s="482"/>
      <c r="CT19" s="418"/>
      <c r="CU19" s="561"/>
      <c r="CV19" s="573"/>
      <c r="CW19" s="582"/>
      <c r="CX19" s="522"/>
      <c r="CY19" s="571"/>
      <c r="CZ19" s="418"/>
      <c r="DA19" s="585"/>
      <c r="DB19" s="492"/>
      <c r="DC19" s="568"/>
      <c r="DD19" s="735"/>
    </row>
    <row r="20" spans="1:108" ht="15" customHeight="1" x14ac:dyDescent="0.25">
      <c r="A20" s="812"/>
      <c r="B20" s="492"/>
      <c r="C20" s="614"/>
      <c r="D20" s="604" t="s">
        <v>50</v>
      </c>
      <c r="E20" s="562" t="s">
        <v>51</v>
      </c>
      <c r="F20" s="562" t="s">
        <v>431</v>
      </c>
      <c r="G20" s="562" t="s">
        <v>52</v>
      </c>
      <c r="H20" s="417" t="s">
        <v>917</v>
      </c>
      <c r="I20" s="562" t="s">
        <v>29</v>
      </c>
      <c r="J20" s="548">
        <v>0.1</v>
      </c>
      <c r="K20" s="492" t="s">
        <v>272</v>
      </c>
      <c r="L20" s="492" t="s">
        <v>284</v>
      </c>
      <c r="M20" s="492">
        <v>4103059</v>
      </c>
      <c r="N20" s="492" t="s">
        <v>285</v>
      </c>
      <c r="O20" s="492">
        <v>410305900</v>
      </c>
      <c r="P20" s="492" t="s">
        <v>286</v>
      </c>
      <c r="Q20" s="621">
        <v>0.1</v>
      </c>
      <c r="R20" s="84" t="s">
        <v>33</v>
      </c>
      <c r="S20" s="607"/>
      <c r="T20" s="607"/>
      <c r="U20" s="607"/>
      <c r="V20" s="607"/>
      <c r="W20" s="492" t="s">
        <v>436</v>
      </c>
      <c r="X20" s="623"/>
      <c r="Y20" s="84" t="s">
        <v>33</v>
      </c>
      <c r="Z20" s="82" t="s">
        <v>581</v>
      </c>
      <c r="AA20" s="527">
        <v>1</v>
      </c>
      <c r="AB20" s="605"/>
      <c r="AC20" s="605"/>
      <c r="AD20" s="492" t="s">
        <v>436</v>
      </c>
      <c r="AE20" s="623"/>
      <c r="AF20" s="633"/>
      <c r="AG20" s="548"/>
      <c r="AH20" s="527">
        <v>1</v>
      </c>
      <c r="AI20" s="605"/>
      <c r="AJ20" s="605"/>
      <c r="AK20" s="492" t="s">
        <v>436</v>
      </c>
      <c r="AL20" s="621"/>
      <c r="AM20" s="641"/>
      <c r="AN20" s="550"/>
      <c r="AO20" s="527">
        <v>1</v>
      </c>
      <c r="AP20" s="605"/>
      <c r="AQ20" s="605"/>
      <c r="AR20" s="492" t="s">
        <v>436</v>
      </c>
      <c r="AS20" s="763"/>
      <c r="AT20" s="699"/>
      <c r="AU20" s="700"/>
      <c r="AV20" s="527">
        <v>1</v>
      </c>
      <c r="AW20" s="656"/>
      <c r="AX20" s="656"/>
      <c r="AY20" s="492" t="s">
        <v>436</v>
      </c>
      <c r="AZ20" s="659"/>
      <c r="BA20" s="604">
        <v>200</v>
      </c>
      <c r="BB20" s="492">
        <v>200</v>
      </c>
      <c r="BC20" s="527">
        <v>1</v>
      </c>
      <c r="BD20" s="605">
        <v>30000000</v>
      </c>
      <c r="BE20" s="605">
        <v>15245000</v>
      </c>
      <c r="BF20" s="492" t="s">
        <v>436</v>
      </c>
      <c r="BG20" s="761" t="s">
        <v>859</v>
      </c>
      <c r="BH20" s="633">
        <v>0</v>
      </c>
      <c r="BI20" s="492">
        <v>0</v>
      </c>
      <c r="BJ20" s="527">
        <v>1</v>
      </c>
      <c r="BK20" s="605"/>
      <c r="BL20" s="605"/>
      <c r="BM20" s="492" t="s">
        <v>492</v>
      </c>
      <c r="BN20" s="653" t="s">
        <v>493</v>
      </c>
      <c r="BO20" s="669">
        <v>10</v>
      </c>
      <c r="BP20" s="492">
        <v>55</v>
      </c>
      <c r="BQ20" s="527">
        <v>1</v>
      </c>
      <c r="BR20" s="605" t="s">
        <v>443</v>
      </c>
      <c r="BS20" s="605" t="s">
        <v>560</v>
      </c>
      <c r="BT20" s="492" t="s">
        <v>436</v>
      </c>
      <c r="BU20" s="653" t="s">
        <v>1060</v>
      </c>
      <c r="BV20" s="644">
        <v>0.1336</v>
      </c>
      <c r="BW20" s="541">
        <v>0.1336</v>
      </c>
      <c r="BX20" s="527">
        <v>1</v>
      </c>
      <c r="BY20" s="686">
        <f>70000000+45000000+
363237526+363237526+264860887+163000000</f>
        <v>1269335939</v>
      </c>
      <c r="BZ20" s="687">
        <f>34620000+
30000000+
7000000+171202526+264860887+163000000</f>
        <v>670683413</v>
      </c>
      <c r="CA20" s="677">
        <v>1</v>
      </c>
      <c r="CB20" s="417" t="s">
        <v>917</v>
      </c>
      <c r="CC20" s="688" t="s">
        <v>994</v>
      </c>
      <c r="CD20" s="549">
        <v>0.03</v>
      </c>
      <c r="CE20" s="561">
        <v>0.1336</v>
      </c>
      <c r="CF20" s="509">
        <v>1</v>
      </c>
      <c r="CG20" s="563">
        <f>121344300+70000000+45000000+5000000+646800+500000+
363237526+363237526+264860887+163000000+104655000+5000000</f>
        <v>1506482039</v>
      </c>
      <c r="CH20" s="560">
        <f>121344300+34620000+1250000+646800+2500000+
30000000+
7000000+171202526+264860887+163000000+62836666+2500000</f>
        <v>861761179</v>
      </c>
      <c r="CI20" s="516">
        <v>1</v>
      </c>
      <c r="CJ20" s="417" t="s">
        <v>917</v>
      </c>
      <c r="CK20" s="564" t="s">
        <v>1061</v>
      </c>
      <c r="CL20" s="421">
        <v>0.1</v>
      </c>
      <c r="CM20" s="483">
        <v>0.1336</v>
      </c>
      <c r="CN20" s="434">
        <v>1</v>
      </c>
      <c r="CO20" s="487">
        <f>40000000+6000000</f>
        <v>46000000</v>
      </c>
      <c r="CP20" s="444">
        <v>12400000</v>
      </c>
      <c r="CQ20" s="419">
        <f>+CP20/CO20</f>
        <v>0.26956521739130435</v>
      </c>
      <c r="CR20" s="417" t="s">
        <v>917</v>
      </c>
      <c r="CS20" s="445" t="s">
        <v>1029</v>
      </c>
      <c r="CT20" s="594">
        <v>0.1</v>
      </c>
      <c r="CU20" s="561">
        <v>0.1336</v>
      </c>
      <c r="CV20" s="509">
        <v>1</v>
      </c>
      <c r="CW20" s="563">
        <v>6000000</v>
      </c>
      <c r="CX20" s="560">
        <v>0</v>
      </c>
      <c r="CY20" s="516">
        <f>+CX20/CW20</f>
        <v>0</v>
      </c>
      <c r="CZ20" s="417" t="s">
        <v>917</v>
      </c>
      <c r="DA20" s="578" t="s">
        <v>1220</v>
      </c>
      <c r="DB20" s="548">
        <v>0.1</v>
      </c>
      <c r="DC20" s="567">
        <v>0.1336</v>
      </c>
      <c r="DD20" s="516">
        <v>1</v>
      </c>
    </row>
    <row r="21" spans="1:108" ht="49.5" x14ac:dyDescent="0.25">
      <c r="A21" s="812"/>
      <c r="B21" s="492"/>
      <c r="C21" s="614"/>
      <c r="D21" s="604"/>
      <c r="E21" s="562"/>
      <c r="F21" s="562"/>
      <c r="G21" s="562"/>
      <c r="H21" s="431"/>
      <c r="I21" s="562"/>
      <c r="J21" s="548"/>
      <c r="K21" s="492"/>
      <c r="L21" s="492"/>
      <c r="M21" s="492"/>
      <c r="N21" s="492"/>
      <c r="O21" s="492"/>
      <c r="P21" s="492"/>
      <c r="Q21" s="621"/>
      <c r="R21" s="84" t="s">
        <v>33</v>
      </c>
      <c r="S21" s="607"/>
      <c r="T21" s="607"/>
      <c r="U21" s="607"/>
      <c r="V21" s="607"/>
      <c r="W21" s="492"/>
      <c r="X21" s="181"/>
      <c r="Y21" s="84" t="s">
        <v>33</v>
      </c>
      <c r="Z21" s="82" t="s">
        <v>581</v>
      </c>
      <c r="AA21" s="527"/>
      <c r="AB21" s="605"/>
      <c r="AC21" s="605"/>
      <c r="AD21" s="492"/>
      <c r="AE21" s="396" t="s">
        <v>594</v>
      </c>
      <c r="AF21" s="633"/>
      <c r="AG21" s="548"/>
      <c r="AH21" s="527"/>
      <c r="AI21" s="605"/>
      <c r="AJ21" s="605"/>
      <c r="AK21" s="492"/>
      <c r="AL21" s="621"/>
      <c r="AM21" s="641"/>
      <c r="AN21" s="550"/>
      <c r="AO21" s="527"/>
      <c r="AP21" s="605"/>
      <c r="AQ21" s="605"/>
      <c r="AR21" s="492"/>
      <c r="AS21" s="763"/>
      <c r="AT21" s="696">
        <v>400</v>
      </c>
      <c r="AU21" s="697">
        <v>437</v>
      </c>
      <c r="AV21" s="527"/>
      <c r="AW21" s="661" t="s">
        <v>776</v>
      </c>
      <c r="AX21" s="661" t="s">
        <v>776</v>
      </c>
      <c r="AY21" s="492"/>
      <c r="AZ21" s="658" t="s">
        <v>791</v>
      </c>
      <c r="BA21" s="604"/>
      <c r="BB21" s="492"/>
      <c r="BC21" s="527"/>
      <c r="BD21" s="605"/>
      <c r="BE21" s="605"/>
      <c r="BF21" s="492"/>
      <c r="BG21" s="761"/>
      <c r="BH21" s="604"/>
      <c r="BI21" s="492"/>
      <c r="BJ21" s="527"/>
      <c r="BK21" s="605"/>
      <c r="BL21" s="605"/>
      <c r="BM21" s="492"/>
      <c r="BN21" s="653"/>
      <c r="BO21" s="669"/>
      <c r="BP21" s="492"/>
      <c r="BQ21" s="527"/>
      <c r="BR21" s="605"/>
      <c r="BS21" s="605"/>
      <c r="BT21" s="492"/>
      <c r="BU21" s="653"/>
      <c r="BV21" s="644"/>
      <c r="BW21" s="492"/>
      <c r="BX21" s="527"/>
      <c r="BY21" s="686"/>
      <c r="BZ21" s="687"/>
      <c r="CA21" s="682"/>
      <c r="CB21" s="431"/>
      <c r="CC21" s="689"/>
      <c r="CD21" s="550"/>
      <c r="CE21" s="562"/>
      <c r="CF21" s="509"/>
      <c r="CG21" s="563"/>
      <c r="CH21" s="560"/>
      <c r="CI21" s="517"/>
      <c r="CJ21" s="431"/>
      <c r="CK21" s="565"/>
      <c r="CL21" s="485"/>
      <c r="CM21" s="486"/>
      <c r="CN21" s="434"/>
      <c r="CO21" s="487"/>
      <c r="CP21" s="444"/>
      <c r="CQ21" s="441"/>
      <c r="CR21" s="431"/>
      <c r="CS21" s="446"/>
      <c r="CT21" s="600"/>
      <c r="CU21" s="562"/>
      <c r="CV21" s="509"/>
      <c r="CW21" s="563"/>
      <c r="CX21" s="560"/>
      <c r="CY21" s="517"/>
      <c r="CZ21" s="431"/>
      <c r="DA21" s="599"/>
      <c r="DB21" s="548"/>
      <c r="DC21" s="741"/>
      <c r="DD21" s="517"/>
    </row>
    <row r="22" spans="1:108" ht="51.75" customHeight="1" x14ac:dyDescent="0.25">
      <c r="A22" s="812"/>
      <c r="B22" s="492"/>
      <c r="C22" s="614"/>
      <c r="D22" s="604"/>
      <c r="E22" s="562"/>
      <c r="F22" s="562"/>
      <c r="G22" s="562"/>
      <c r="H22" s="431"/>
      <c r="I22" s="562"/>
      <c r="J22" s="548"/>
      <c r="K22" s="492"/>
      <c r="L22" s="492"/>
      <c r="M22" s="492"/>
      <c r="N22" s="492"/>
      <c r="O22" s="492"/>
      <c r="P22" s="492"/>
      <c r="Q22" s="621"/>
      <c r="R22" s="84" t="s">
        <v>33</v>
      </c>
      <c r="S22" s="607"/>
      <c r="T22" s="607"/>
      <c r="U22" s="607"/>
      <c r="V22" s="607"/>
      <c r="W22" s="492"/>
      <c r="X22" s="181"/>
      <c r="Y22" s="84" t="s">
        <v>33</v>
      </c>
      <c r="Z22" s="82" t="s">
        <v>581</v>
      </c>
      <c r="AA22" s="527"/>
      <c r="AB22" s="605"/>
      <c r="AC22" s="605"/>
      <c r="AD22" s="492"/>
      <c r="AE22" s="396" t="s">
        <v>595</v>
      </c>
      <c r="AF22" s="633"/>
      <c r="AG22" s="548"/>
      <c r="AH22" s="527"/>
      <c r="AI22" s="605"/>
      <c r="AJ22" s="605"/>
      <c r="AK22" s="492"/>
      <c r="AL22" s="621"/>
      <c r="AM22" s="641"/>
      <c r="AN22" s="550"/>
      <c r="AO22" s="527"/>
      <c r="AP22" s="605"/>
      <c r="AQ22" s="605"/>
      <c r="AR22" s="492"/>
      <c r="AS22" s="763"/>
      <c r="AT22" s="696"/>
      <c r="AU22" s="697"/>
      <c r="AV22" s="527"/>
      <c r="AW22" s="661"/>
      <c r="AX22" s="661"/>
      <c r="AY22" s="492"/>
      <c r="AZ22" s="658"/>
      <c r="BA22" s="604"/>
      <c r="BB22" s="492"/>
      <c r="BC22" s="527"/>
      <c r="BD22" s="605"/>
      <c r="BE22" s="605"/>
      <c r="BF22" s="492"/>
      <c r="BG22" s="761"/>
      <c r="BH22" s="604"/>
      <c r="BI22" s="492"/>
      <c r="BJ22" s="527"/>
      <c r="BK22" s="605"/>
      <c r="BL22" s="605"/>
      <c r="BM22" s="492"/>
      <c r="BN22" s="653"/>
      <c r="BO22" s="669"/>
      <c r="BP22" s="492"/>
      <c r="BQ22" s="527"/>
      <c r="BR22" s="605"/>
      <c r="BS22" s="605"/>
      <c r="BT22" s="492"/>
      <c r="BU22" s="653"/>
      <c r="BV22" s="644"/>
      <c r="BW22" s="492"/>
      <c r="BX22" s="527"/>
      <c r="BY22" s="686"/>
      <c r="BZ22" s="687"/>
      <c r="CA22" s="682"/>
      <c r="CB22" s="431"/>
      <c r="CC22" s="689"/>
      <c r="CD22" s="550"/>
      <c r="CE22" s="562"/>
      <c r="CF22" s="509"/>
      <c r="CG22" s="563"/>
      <c r="CH22" s="560"/>
      <c r="CI22" s="517"/>
      <c r="CJ22" s="431"/>
      <c r="CK22" s="565"/>
      <c r="CL22" s="485"/>
      <c r="CM22" s="486"/>
      <c r="CN22" s="434"/>
      <c r="CO22" s="487"/>
      <c r="CP22" s="444"/>
      <c r="CQ22" s="441"/>
      <c r="CR22" s="431"/>
      <c r="CS22" s="446"/>
      <c r="CT22" s="600"/>
      <c r="CU22" s="562"/>
      <c r="CV22" s="509"/>
      <c r="CW22" s="563"/>
      <c r="CX22" s="560"/>
      <c r="CY22" s="517"/>
      <c r="CZ22" s="431"/>
      <c r="DA22" s="599"/>
      <c r="DB22" s="548"/>
      <c r="DC22" s="741"/>
      <c r="DD22" s="517"/>
    </row>
    <row r="23" spans="1:108" ht="121.5" customHeight="1" x14ac:dyDescent="0.25">
      <c r="A23" s="812"/>
      <c r="B23" s="492"/>
      <c r="C23" s="614"/>
      <c r="D23" s="604"/>
      <c r="E23" s="562"/>
      <c r="F23" s="562"/>
      <c r="G23" s="562"/>
      <c r="H23" s="418"/>
      <c r="I23" s="562"/>
      <c r="J23" s="548"/>
      <c r="K23" s="492"/>
      <c r="L23" s="492"/>
      <c r="M23" s="492"/>
      <c r="N23" s="492"/>
      <c r="O23" s="492"/>
      <c r="P23" s="492"/>
      <c r="Q23" s="621"/>
      <c r="R23" s="84" t="s">
        <v>33</v>
      </c>
      <c r="S23" s="607"/>
      <c r="T23" s="607"/>
      <c r="U23" s="607"/>
      <c r="V23" s="607"/>
      <c r="W23" s="492"/>
      <c r="X23" s="181"/>
      <c r="Y23" s="84" t="s">
        <v>33</v>
      </c>
      <c r="Z23" s="82" t="s">
        <v>581</v>
      </c>
      <c r="AA23" s="527"/>
      <c r="AB23" s="605"/>
      <c r="AC23" s="605"/>
      <c r="AD23" s="492"/>
      <c r="AE23" s="396" t="s">
        <v>596</v>
      </c>
      <c r="AF23" s="197">
        <v>0.15</v>
      </c>
      <c r="AG23" s="188">
        <v>0.15</v>
      </c>
      <c r="AH23" s="527"/>
      <c r="AI23" s="62">
        <v>2338933220</v>
      </c>
      <c r="AJ23" s="62">
        <v>2338933220</v>
      </c>
      <c r="AK23" s="492"/>
      <c r="AL23" s="202" t="s">
        <v>659</v>
      </c>
      <c r="AM23" s="119">
        <v>0.23</v>
      </c>
      <c r="AN23" s="88" t="s">
        <v>620</v>
      </c>
      <c r="AO23" s="527"/>
      <c r="AP23" s="125">
        <f>27500000+48300000</f>
        <v>75800000</v>
      </c>
      <c r="AQ23" s="125">
        <v>17340000</v>
      </c>
      <c r="AR23" s="492"/>
      <c r="AS23" s="202" t="s">
        <v>741</v>
      </c>
      <c r="AT23" s="270">
        <v>0.28000000000000003</v>
      </c>
      <c r="AU23" s="254">
        <v>0.25</v>
      </c>
      <c r="AV23" s="527"/>
      <c r="AW23" s="271" t="s">
        <v>776</v>
      </c>
      <c r="AX23" s="271" t="s">
        <v>776</v>
      </c>
      <c r="AY23" s="492"/>
      <c r="AZ23" s="306" t="s">
        <v>792</v>
      </c>
      <c r="BA23" s="604"/>
      <c r="BB23" s="492"/>
      <c r="BC23" s="527"/>
      <c r="BD23" s="605"/>
      <c r="BE23" s="605"/>
      <c r="BF23" s="492"/>
      <c r="BG23" s="761"/>
      <c r="BH23" s="604"/>
      <c r="BI23" s="492"/>
      <c r="BJ23" s="527"/>
      <c r="BK23" s="605"/>
      <c r="BL23" s="605"/>
      <c r="BM23" s="492"/>
      <c r="BN23" s="653"/>
      <c r="BO23" s="669"/>
      <c r="BP23" s="492"/>
      <c r="BQ23" s="527"/>
      <c r="BR23" s="605"/>
      <c r="BS23" s="605"/>
      <c r="BT23" s="492"/>
      <c r="BU23" s="653"/>
      <c r="BV23" s="644"/>
      <c r="BW23" s="492"/>
      <c r="BX23" s="527"/>
      <c r="BY23" s="686"/>
      <c r="BZ23" s="687"/>
      <c r="CA23" s="678"/>
      <c r="CB23" s="418"/>
      <c r="CC23" s="690"/>
      <c r="CD23" s="550"/>
      <c r="CE23" s="562"/>
      <c r="CF23" s="509"/>
      <c r="CG23" s="563"/>
      <c r="CH23" s="560"/>
      <c r="CI23" s="518"/>
      <c r="CJ23" s="418"/>
      <c r="CK23" s="566"/>
      <c r="CL23" s="422"/>
      <c r="CM23" s="486"/>
      <c r="CN23" s="434"/>
      <c r="CO23" s="487"/>
      <c r="CP23" s="444"/>
      <c r="CQ23" s="420"/>
      <c r="CR23" s="418"/>
      <c r="CS23" s="447"/>
      <c r="CT23" s="595"/>
      <c r="CU23" s="562"/>
      <c r="CV23" s="509"/>
      <c r="CW23" s="563"/>
      <c r="CX23" s="560"/>
      <c r="CY23" s="518"/>
      <c r="CZ23" s="418"/>
      <c r="DA23" s="579"/>
      <c r="DB23" s="548"/>
      <c r="DC23" s="737"/>
      <c r="DD23" s="518"/>
    </row>
    <row r="24" spans="1:108" ht="179.45" customHeight="1" x14ac:dyDescent="0.25">
      <c r="A24" s="812"/>
      <c r="B24" s="492"/>
      <c r="C24" s="614"/>
      <c r="D24" s="123" t="s">
        <v>53</v>
      </c>
      <c r="E24" s="67" t="s">
        <v>54</v>
      </c>
      <c r="F24" s="67" t="s">
        <v>55</v>
      </c>
      <c r="G24" s="67" t="s">
        <v>416</v>
      </c>
      <c r="H24" s="77" t="s">
        <v>918</v>
      </c>
      <c r="I24" s="67" t="s">
        <v>29</v>
      </c>
      <c r="J24" s="188">
        <v>0.6</v>
      </c>
      <c r="K24" s="77" t="s">
        <v>276</v>
      </c>
      <c r="L24" s="77" t="s">
        <v>364</v>
      </c>
      <c r="M24" s="77" t="s">
        <v>354</v>
      </c>
      <c r="N24" s="77" t="s">
        <v>368</v>
      </c>
      <c r="O24" s="77" t="s">
        <v>355</v>
      </c>
      <c r="P24" s="77" t="s">
        <v>370</v>
      </c>
      <c r="Q24" s="121">
        <v>0.6</v>
      </c>
      <c r="R24" s="84" t="s">
        <v>33</v>
      </c>
      <c r="S24" s="607"/>
      <c r="T24" s="607"/>
      <c r="U24" s="607"/>
      <c r="V24" s="607"/>
      <c r="W24" s="77" t="s">
        <v>244</v>
      </c>
      <c r="X24" s="181"/>
      <c r="Y24" s="84" t="s">
        <v>33</v>
      </c>
      <c r="Z24" s="82" t="s">
        <v>581</v>
      </c>
      <c r="AA24" s="14">
        <v>0.5</v>
      </c>
      <c r="AB24" s="62"/>
      <c r="AC24" s="62"/>
      <c r="AD24" s="77" t="s">
        <v>244</v>
      </c>
      <c r="AE24" s="396" t="s">
        <v>597</v>
      </c>
      <c r="AF24" s="123">
        <v>1</v>
      </c>
      <c r="AG24" s="77">
        <v>1</v>
      </c>
      <c r="AH24" s="14">
        <v>0.5</v>
      </c>
      <c r="AI24" s="62">
        <v>54450000</v>
      </c>
      <c r="AJ24" s="62">
        <v>54450000</v>
      </c>
      <c r="AK24" s="77" t="s">
        <v>244</v>
      </c>
      <c r="AL24" s="133" t="s">
        <v>660</v>
      </c>
      <c r="AM24" s="102">
        <v>4</v>
      </c>
      <c r="AN24" s="61">
        <v>4</v>
      </c>
      <c r="AO24" s="14">
        <v>0.5</v>
      </c>
      <c r="AP24" s="125">
        <f>33000000+20140000</f>
        <v>53140000</v>
      </c>
      <c r="AQ24" s="125">
        <v>31540000</v>
      </c>
      <c r="AR24" s="77" t="s">
        <v>244</v>
      </c>
      <c r="AS24" s="133" t="s">
        <v>742</v>
      </c>
      <c r="AT24" s="253">
        <v>5</v>
      </c>
      <c r="AU24" s="254">
        <v>4.05</v>
      </c>
      <c r="AV24" s="14">
        <v>0.5</v>
      </c>
      <c r="AW24" s="271" t="s">
        <v>776</v>
      </c>
      <c r="AX24" s="271" t="s">
        <v>776</v>
      </c>
      <c r="AY24" s="77" t="s">
        <v>244</v>
      </c>
      <c r="AZ24" s="306" t="s">
        <v>793</v>
      </c>
      <c r="BA24" s="123">
        <v>3</v>
      </c>
      <c r="BB24" s="77" t="s">
        <v>156</v>
      </c>
      <c r="BC24" s="14">
        <v>0.5</v>
      </c>
      <c r="BD24" s="62">
        <v>28800000</v>
      </c>
      <c r="BE24" s="62">
        <v>25081000</v>
      </c>
      <c r="BF24" s="77" t="s">
        <v>244</v>
      </c>
      <c r="BG24" s="202" t="s">
        <v>860</v>
      </c>
      <c r="BH24" s="197">
        <v>0.1</v>
      </c>
      <c r="BI24" s="188">
        <v>0.05</v>
      </c>
      <c r="BJ24" s="14">
        <v>0.5</v>
      </c>
      <c r="BK24" s="62"/>
      <c r="BL24" s="62"/>
      <c r="BM24" s="77" t="s">
        <v>244</v>
      </c>
      <c r="BN24" s="186" t="s">
        <v>494</v>
      </c>
      <c r="BO24" s="197">
        <v>0.1</v>
      </c>
      <c r="BP24" s="188">
        <v>0.05</v>
      </c>
      <c r="BQ24" s="14">
        <v>0.5</v>
      </c>
      <c r="BR24" s="62" t="s">
        <v>561</v>
      </c>
      <c r="BS24" s="62" t="s">
        <v>562</v>
      </c>
      <c r="BT24" s="77" t="s">
        <v>244</v>
      </c>
      <c r="BU24" s="186" t="s">
        <v>1062</v>
      </c>
      <c r="BV24" s="88">
        <v>0.5</v>
      </c>
      <c r="BW24" s="188">
        <v>0.58099999999999996</v>
      </c>
      <c r="BX24" s="14">
        <v>1</v>
      </c>
      <c r="BY24" s="266">
        <f>918000000+79914452</f>
        <v>997914452</v>
      </c>
      <c r="BZ24" s="266">
        <v>79914452</v>
      </c>
      <c r="CA24" s="14">
        <f>BZ24/BY24</f>
        <v>8.0081465740712607E-2</v>
      </c>
      <c r="CB24" s="77" t="s">
        <v>918</v>
      </c>
      <c r="CC24" s="187" t="s">
        <v>995</v>
      </c>
      <c r="CD24" s="88">
        <v>0.1</v>
      </c>
      <c r="CE24" s="71">
        <v>0.58099999999999996</v>
      </c>
      <c r="CF24" s="70">
        <v>1</v>
      </c>
      <c r="CG24" s="296">
        <f>918000000+79914452+5000000+60000000</f>
        <v>1062914452</v>
      </c>
      <c r="CH24" s="296">
        <f>79914452+60000000</f>
        <v>139914452</v>
      </c>
      <c r="CI24" s="70">
        <f>CH24/CG24</f>
        <v>0.1316328437690675</v>
      </c>
      <c r="CJ24" s="77" t="s">
        <v>918</v>
      </c>
      <c r="CK24" s="87" t="s">
        <v>1063</v>
      </c>
      <c r="CL24" s="56">
        <v>0.6</v>
      </c>
      <c r="CM24" s="54">
        <v>0.58099999999999996</v>
      </c>
      <c r="CN24" s="55">
        <v>1</v>
      </c>
      <c r="CO24" s="159">
        <v>35000000</v>
      </c>
      <c r="CP24" s="159">
        <v>1540000</v>
      </c>
      <c r="CQ24" s="55">
        <f>CP24/CO24</f>
        <v>4.3999999999999997E-2</v>
      </c>
      <c r="CR24" s="77" t="s">
        <v>918</v>
      </c>
      <c r="CS24" s="241" t="s">
        <v>1186</v>
      </c>
      <c r="CT24" s="71">
        <v>0.6</v>
      </c>
      <c r="CU24" s="71">
        <v>0.58099999999999996</v>
      </c>
      <c r="CV24" s="70">
        <f>CU24/CT24</f>
        <v>0.96833333333333327</v>
      </c>
      <c r="CW24" s="296">
        <v>35000000</v>
      </c>
      <c r="CX24" s="296">
        <v>17500000</v>
      </c>
      <c r="CY24" s="70">
        <f>CX24/CW24</f>
        <v>0.5</v>
      </c>
      <c r="CZ24" s="77" t="s">
        <v>918</v>
      </c>
      <c r="DA24" s="263" t="s">
        <v>1221</v>
      </c>
      <c r="DB24" s="71">
        <v>0.6</v>
      </c>
      <c r="DC24" s="71">
        <v>0.58099999999999996</v>
      </c>
      <c r="DD24" s="70">
        <f>DC24/DB24</f>
        <v>0.96833333333333327</v>
      </c>
    </row>
    <row r="25" spans="1:108" ht="173.45" customHeight="1" x14ac:dyDescent="0.25">
      <c r="A25" s="812"/>
      <c r="B25" s="492"/>
      <c r="C25" s="614"/>
      <c r="D25" s="123" t="s">
        <v>56</v>
      </c>
      <c r="E25" s="77" t="s">
        <v>434</v>
      </c>
      <c r="F25" s="77" t="s">
        <v>57</v>
      </c>
      <c r="G25" s="77" t="s">
        <v>58</v>
      </c>
      <c r="H25" s="77" t="s">
        <v>919</v>
      </c>
      <c r="I25" s="77">
        <v>1</v>
      </c>
      <c r="J25" s="77">
        <v>5</v>
      </c>
      <c r="K25" s="77" t="s">
        <v>276</v>
      </c>
      <c r="L25" s="77" t="s">
        <v>287</v>
      </c>
      <c r="M25" s="77">
        <v>3502017</v>
      </c>
      <c r="N25" s="77" t="s">
        <v>288</v>
      </c>
      <c r="O25" s="77">
        <v>350201701</v>
      </c>
      <c r="P25" s="77" t="s">
        <v>289</v>
      </c>
      <c r="Q25" s="118">
        <v>5</v>
      </c>
      <c r="R25" s="84" t="s">
        <v>33</v>
      </c>
      <c r="S25" s="607"/>
      <c r="T25" s="607"/>
      <c r="U25" s="607"/>
      <c r="V25" s="607"/>
      <c r="W25" s="77" t="s">
        <v>267</v>
      </c>
      <c r="X25" s="191"/>
      <c r="Y25" s="84" t="s">
        <v>33</v>
      </c>
      <c r="Z25" s="82" t="s">
        <v>581</v>
      </c>
      <c r="AA25" s="14" t="e">
        <f>(Z25/Y25)*1</f>
        <v>#VALUE!</v>
      </c>
      <c r="AB25" s="62"/>
      <c r="AC25" s="62"/>
      <c r="AD25" s="77" t="s">
        <v>267</v>
      </c>
      <c r="AE25" s="397" t="s">
        <v>590</v>
      </c>
      <c r="AF25" s="197">
        <v>0.85</v>
      </c>
      <c r="AG25" s="188">
        <v>0.63</v>
      </c>
      <c r="AH25" s="14">
        <f>(AG25/AF25)*1</f>
        <v>0.74117647058823533</v>
      </c>
      <c r="AI25" s="605">
        <v>7595374483</v>
      </c>
      <c r="AJ25" s="605">
        <v>4950478143</v>
      </c>
      <c r="AK25" s="77" t="s">
        <v>267</v>
      </c>
      <c r="AL25" s="133" t="s">
        <v>661</v>
      </c>
      <c r="AM25" s="123" t="s">
        <v>697</v>
      </c>
      <c r="AN25" s="188">
        <v>0.63</v>
      </c>
      <c r="AO25" s="14" t="e">
        <f>(AN25/AM25)*1</f>
        <v>#VALUE!</v>
      </c>
      <c r="AP25" s="605">
        <v>16187350279</v>
      </c>
      <c r="AQ25" s="605">
        <v>13135040761</v>
      </c>
      <c r="AR25" s="77" t="s">
        <v>267</v>
      </c>
      <c r="AS25" s="763" t="s">
        <v>743</v>
      </c>
      <c r="AT25" s="699">
        <v>0.85</v>
      </c>
      <c r="AU25" s="704">
        <v>0.69599999999999995</v>
      </c>
      <c r="AV25" s="14">
        <f>(AU25/AT25)*1</f>
        <v>0.81882352941176462</v>
      </c>
      <c r="AW25" s="661" t="s">
        <v>776</v>
      </c>
      <c r="AX25" s="661" t="s">
        <v>776</v>
      </c>
      <c r="AY25" s="77" t="s">
        <v>267</v>
      </c>
      <c r="AZ25" s="658" t="s">
        <v>794</v>
      </c>
      <c r="BA25" s="123">
        <v>1</v>
      </c>
      <c r="BB25" s="77" t="s">
        <v>838</v>
      </c>
      <c r="BC25" s="14" t="e">
        <f>(BB25/BA25)*1</f>
        <v>#VALUE!</v>
      </c>
      <c r="BD25" s="62">
        <v>70900000</v>
      </c>
      <c r="BE25" s="62">
        <v>27980000</v>
      </c>
      <c r="BF25" s="77" t="s">
        <v>267</v>
      </c>
      <c r="BG25" s="133" t="s">
        <v>861</v>
      </c>
      <c r="BH25" s="123">
        <v>1</v>
      </c>
      <c r="BI25" s="77">
        <v>0</v>
      </c>
      <c r="BJ25" s="14">
        <f>(BI25/BH25)*1</f>
        <v>0</v>
      </c>
      <c r="BK25" s="62"/>
      <c r="BL25" s="62"/>
      <c r="BM25" s="77" t="s">
        <v>267</v>
      </c>
      <c r="BN25" s="203" t="s">
        <v>495</v>
      </c>
      <c r="BO25" s="123">
        <v>1</v>
      </c>
      <c r="BP25" s="77">
        <v>0</v>
      </c>
      <c r="BQ25" s="14">
        <f>(BP25/BO25)*1</f>
        <v>0</v>
      </c>
      <c r="BR25" s="62">
        <v>0</v>
      </c>
      <c r="BS25" s="62">
        <v>0</v>
      </c>
      <c r="BT25" s="77" t="s">
        <v>267</v>
      </c>
      <c r="BU25" s="203" t="s">
        <v>1064</v>
      </c>
      <c r="BV25" s="61">
        <v>1</v>
      </c>
      <c r="BW25" s="77">
        <v>1</v>
      </c>
      <c r="BX25" s="14">
        <f>(BW25/BV25)*1</f>
        <v>1</v>
      </c>
      <c r="BY25" s="266">
        <v>0</v>
      </c>
      <c r="BZ25" s="266">
        <v>0</v>
      </c>
      <c r="CA25" s="293">
        <v>0</v>
      </c>
      <c r="CB25" s="77" t="s">
        <v>919</v>
      </c>
      <c r="CC25" s="204" t="s">
        <v>1004</v>
      </c>
      <c r="CD25" s="61">
        <v>1</v>
      </c>
      <c r="CE25" s="67">
        <v>1</v>
      </c>
      <c r="CF25" s="68">
        <f>(CE25/CD25)*1</f>
        <v>1</v>
      </c>
      <c r="CG25" s="296">
        <v>0</v>
      </c>
      <c r="CH25" s="296">
        <v>0</v>
      </c>
      <c r="CI25" s="307">
        <v>0</v>
      </c>
      <c r="CJ25" s="77" t="s">
        <v>919</v>
      </c>
      <c r="CK25" s="267" t="s">
        <v>1065</v>
      </c>
      <c r="CL25" s="45">
        <v>5</v>
      </c>
      <c r="CM25" s="52">
        <v>1</v>
      </c>
      <c r="CN25" s="49">
        <f>(CM25/CL25)*1</f>
        <v>0.2</v>
      </c>
      <c r="CO25" s="159">
        <v>0</v>
      </c>
      <c r="CP25" s="159">
        <v>0</v>
      </c>
      <c r="CQ25" s="144">
        <v>0</v>
      </c>
      <c r="CR25" s="77" t="s">
        <v>919</v>
      </c>
      <c r="CS25" s="237" t="s">
        <v>1187</v>
      </c>
      <c r="CT25" s="77">
        <v>5</v>
      </c>
      <c r="CU25" s="67">
        <v>1</v>
      </c>
      <c r="CV25" s="68">
        <f>(CU25/CT25)*1</f>
        <v>0.2</v>
      </c>
      <c r="CW25" s="296">
        <v>0</v>
      </c>
      <c r="CX25" s="296">
        <v>0</v>
      </c>
      <c r="CY25" s="307">
        <v>0</v>
      </c>
      <c r="CZ25" s="77" t="s">
        <v>919</v>
      </c>
      <c r="DA25" s="268" t="s">
        <v>1222</v>
      </c>
      <c r="DB25" s="77">
        <v>5</v>
      </c>
      <c r="DC25" s="149">
        <v>1</v>
      </c>
      <c r="DD25" s="309">
        <f>DC25/DB25</f>
        <v>0.2</v>
      </c>
    </row>
    <row r="26" spans="1:108" ht="68.25" customHeight="1" x14ac:dyDescent="0.25">
      <c r="A26" s="812"/>
      <c r="B26" s="492" t="s">
        <v>59</v>
      </c>
      <c r="C26" s="614" t="s">
        <v>60</v>
      </c>
      <c r="D26" s="604" t="s">
        <v>61</v>
      </c>
      <c r="E26" s="492" t="s">
        <v>62</v>
      </c>
      <c r="F26" s="77" t="s">
        <v>63</v>
      </c>
      <c r="G26" s="77" t="s">
        <v>64</v>
      </c>
      <c r="H26" s="149" t="s">
        <v>920</v>
      </c>
      <c r="I26" s="212" t="s">
        <v>65</v>
      </c>
      <c r="J26" s="77" t="s">
        <v>66</v>
      </c>
      <c r="K26" s="492" t="s">
        <v>272</v>
      </c>
      <c r="L26" s="492" t="s">
        <v>290</v>
      </c>
      <c r="M26" s="492" t="s">
        <v>357</v>
      </c>
      <c r="N26" s="492" t="s">
        <v>356</v>
      </c>
      <c r="O26" s="492" t="s">
        <v>358</v>
      </c>
      <c r="P26" s="492" t="s">
        <v>359</v>
      </c>
      <c r="Q26" s="118" t="s">
        <v>66</v>
      </c>
      <c r="R26" s="84" t="s">
        <v>33</v>
      </c>
      <c r="S26" s="624"/>
      <c r="T26" s="624"/>
      <c r="U26" s="624"/>
      <c r="V26" s="624"/>
      <c r="W26" s="492" t="s">
        <v>245</v>
      </c>
      <c r="X26" s="623"/>
      <c r="Y26" s="84" t="s">
        <v>33</v>
      </c>
      <c r="Z26" s="82" t="s">
        <v>581</v>
      </c>
      <c r="AA26" s="14" t="e">
        <f>Z26/Y26</f>
        <v>#VALUE!</v>
      </c>
      <c r="AB26" s="605"/>
      <c r="AC26" s="605"/>
      <c r="AD26" s="492" t="s">
        <v>245</v>
      </c>
      <c r="AE26" s="623" t="s">
        <v>598</v>
      </c>
      <c r="AF26" s="633">
        <v>0.5</v>
      </c>
      <c r="AG26" s="548">
        <v>0.41</v>
      </c>
      <c r="AH26" s="14">
        <f>AG26/AF26</f>
        <v>0.82</v>
      </c>
      <c r="AI26" s="605"/>
      <c r="AJ26" s="605"/>
      <c r="AK26" s="492" t="s">
        <v>245</v>
      </c>
      <c r="AL26" s="622" t="s">
        <v>662</v>
      </c>
      <c r="AM26" s="604" t="s">
        <v>75</v>
      </c>
      <c r="AN26" s="548">
        <v>0.41</v>
      </c>
      <c r="AO26" s="14" t="e">
        <f>AN26/AM26</f>
        <v>#VALUE!</v>
      </c>
      <c r="AP26" s="605"/>
      <c r="AQ26" s="605"/>
      <c r="AR26" s="492" t="s">
        <v>245</v>
      </c>
      <c r="AS26" s="763"/>
      <c r="AT26" s="699"/>
      <c r="AU26" s="704"/>
      <c r="AV26" s="14" t="e">
        <f>AU26/AT26</f>
        <v>#DIV/0!</v>
      </c>
      <c r="AW26" s="661"/>
      <c r="AX26" s="661"/>
      <c r="AY26" s="492" t="s">
        <v>245</v>
      </c>
      <c r="AZ26" s="658"/>
      <c r="BA26" s="197">
        <v>0.85</v>
      </c>
      <c r="BB26" s="188">
        <v>0.66</v>
      </c>
      <c r="BC26" s="14">
        <f>BB26/BA26</f>
        <v>0.77647058823529413</v>
      </c>
      <c r="BD26" s="605" t="s">
        <v>843</v>
      </c>
      <c r="BE26" s="605" t="s">
        <v>844</v>
      </c>
      <c r="BF26" s="492" t="s">
        <v>245</v>
      </c>
      <c r="BG26" s="763" t="s">
        <v>862</v>
      </c>
      <c r="BH26" s="192">
        <v>0.86699999999999999</v>
      </c>
      <c r="BI26" s="205">
        <v>0.85680000000000001</v>
      </c>
      <c r="BJ26" s="14">
        <f>BI26/BH26</f>
        <v>0.9882352941176471</v>
      </c>
      <c r="BK26" s="605"/>
      <c r="BL26" s="62"/>
      <c r="BM26" s="492" t="s">
        <v>245</v>
      </c>
      <c r="BN26" s="182" t="s">
        <v>496</v>
      </c>
      <c r="BO26" s="192">
        <v>0.878</v>
      </c>
      <c r="BP26" s="1">
        <v>0.76090000000000002</v>
      </c>
      <c r="BQ26" s="14">
        <f>BP26/BO26</f>
        <v>0.86662870159453309</v>
      </c>
      <c r="BR26" s="605">
        <v>0</v>
      </c>
      <c r="BS26" s="605">
        <v>0</v>
      </c>
      <c r="BT26" s="492" t="s">
        <v>245</v>
      </c>
      <c r="BU26" s="182" t="s">
        <v>1066</v>
      </c>
      <c r="BV26" s="610">
        <v>0.89900000000000002</v>
      </c>
      <c r="BW26" s="612">
        <v>0.63339999999999996</v>
      </c>
      <c r="BX26" s="14">
        <v>0</v>
      </c>
      <c r="BY26" s="605">
        <f>918000000+359582746+698802400+12000000</f>
        <v>1988385146</v>
      </c>
      <c r="BZ26" s="513">
        <f>107874824+209640720+12000000</f>
        <v>329515544</v>
      </c>
      <c r="CA26" s="677">
        <f>BZ26/BY26</f>
        <v>0.16572017984688767</v>
      </c>
      <c r="CB26" s="149" t="s">
        <v>920</v>
      </c>
      <c r="CC26" s="139" t="s">
        <v>962</v>
      </c>
      <c r="CD26" s="525">
        <v>0.9</v>
      </c>
      <c r="CE26" s="567">
        <v>0.63339999999999996</v>
      </c>
      <c r="CF26" s="516">
        <v>0</v>
      </c>
      <c r="CG26" s="500">
        <f>918000000+359582746+698802400+12000000+714286</f>
        <v>1989099432</v>
      </c>
      <c r="CH26" s="521">
        <f>107874824+209640720+12000000+714286</f>
        <v>330229830</v>
      </c>
      <c r="CI26" s="569">
        <f>CH26/CG26</f>
        <v>0.16601976989554537</v>
      </c>
      <c r="CJ26" s="149" t="s">
        <v>920</v>
      </c>
      <c r="CK26" s="165" t="s">
        <v>1067</v>
      </c>
      <c r="CL26" s="45" t="s">
        <v>66</v>
      </c>
      <c r="CM26" s="448">
        <v>0.63339999999999996</v>
      </c>
      <c r="CN26" s="419">
        <v>0</v>
      </c>
      <c r="CO26" s="425">
        <v>80000000</v>
      </c>
      <c r="CP26" s="403">
        <v>63025425</v>
      </c>
      <c r="CQ26" s="450">
        <f>CP26/CO26</f>
        <v>0.78781781250000005</v>
      </c>
      <c r="CR26" s="149" t="s">
        <v>920</v>
      </c>
      <c r="CS26" s="236" t="s">
        <v>1188</v>
      </c>
      <c r="CT26" s="77" t="s">
        <v>66</v>
      </c>
      <c r="CU26" s="567">
        <v>0.63339999999999996</v>
      </c>
      <c r="CV26" s="516">
        <v>0</v>
      </c>
      <c r="CW26" s="500">
        <v>80000000</v>
      </c>
      <c r="CX26" s="521">
        <v>63025425</v>
      </c>
      <c r="CY26" s="569">
        <f>CX26/CW26</f>
        <v>0.78781781250000005</v>
      </c>
      <c r="CZ26" s="149" t="s">
        <v>920</v>
      </c>
      <c r="DA26" s="165" t="s">
        <v>1232</v>
      </c>
      <c r="DB26" s="731">
        <v>0.9</v>
      </c>
      <c r="DC26" s="567">
        <v>0.63339999999999996</v>
      </c>
      <c r="DD26" s="516">
        <v>0</v>
      </c>
    </row>
    <row r="27" spans="1:108" ht="15" customHeight="1" x14ac:dyDescent="0.25">
      <c r="A27" s="812"/>
      <c r="B27" s="492"/>
      <c r="C27" s="614"/>
      <c r="D27" s="604"/>
      <c r="E27" s="492"/>
      <c r="F27" s="492" t="s">
        <v>67</v>
      </c>
      <c r="G27" s="492" t="s">
        <v>64</v>
      </c>
      <c r="H27" s="417" t="s">
        <v>920</v>
      </c>
      <c r="I27" s="553" t="s">
        <v>68</v>
      </c>
      <c r="J27" s="492" t="s">
        <v>69</v>
      </c>
      <c r="K27" s="492"/>
      <c r="L27" s="492"/>
      <c r="M27" s="492"/>
      <c r="N27" s="492"/>
      <c r="O27" s="492"/>
      <c r="P27" s="492"/>
      <c r="Q27" s="622" t="s">
        <v>69</v>
      </c>
      <c r="R27" s="84" t="s">
        <v>33</v>
      </c>
      <c r="S27" s="607"/>
      <c r="T27" s="607"/>
      <c r="U27" s="607"/>
      <c r="V27" s="607"/>
      <c r="W27" s="492"/>
      <c r="X27" s="623"/>
      <c r="Y27" s="84" t="s">
        <v>33</v>
      </c>
      <c r="Z27" s="82" t="s">
        <v>581</v>
      </c>
      <c r="AA27" s="527" t="e">
        <f>Z27/Y27</f>
        <v>#VALUE!</v>
      </c>
      <c r="AB27" s="605"/>
      <c r="AC27" s="605"/>
      <c r="AD27" s="492"/>
      <c r="AE27" s="623"/>
      <c r="AF27" s="633"/>
      <c r="AG27" s="548"/>
      <c r="AH27" s="527" t="e">
        <f>AG27/AF27</f>
        <v>#DIV/0!</v>
      </c>
      <c r="AI27" s="605"/>
      <c r="AJ27" s="605"/>
      <c r="AK27" s="492"/>
      <c r="AL27" s="622"/>
      <c r="AM27" s="604"/>
      <c r="AN27" s="492"/>
      <c r="AO27" s="527" t="e">
        <f>AN27/AM27</f>
        <v>#DIV/0!</v>
      </c>
      <c r="AP27" s="605"/>
      <c r="AQ27" s="605"/>
      <c r="AR27" s="492"/>
      <c r="AS27" s="763"/>
      <c r="AT27" s="122">
        <v>0.5</v>
      </c>
      <c r="AU27" s="206">
        <v>0.61519999999999997</v>
      </c>
      <c r="AV27" s="527">
        <f>AU27/AT27</f>
        <v>1.2303999999999999</v>
      </c>
      <c r="AW27" s="271" t="s">
        <v>776</v>
      </c>
      <c r="AX27" s="271" t="s">
        <v>776</v>
      </c>
      <c r="AY27" s="492"/>
      <c r="AZ27" s="310" t="s">
        <v>795</v>
      </c>
      <c r="BA27" s="633">
        <v>0.55000000000000004</v>
      </c>
      <c r="BB27" s="548">
        <v>0.42</v>
      </c>
      <c r="BC27" s="527">
        <f>BB27/BA27</f>
        <v>0.76363636363636356</v>
      </c>
      <c r="BD27" s="605"/>
      <c r="BE27" s="605"/>
      <c r="BF27" s="492"/>
      <c r="BG27" s="763"/>
      <c r="BH27" s="633">
        <v>0.52</v>
      </c>
      <c r="BI27" s="548">
        <v>0.5091</v>
      </c>
      <c r="BJ27" s="527">
        <f>BI27/BH27*1</f>
        <v>0.97903846153846152</v>
      </c>
      <c r="BK27" s="605"/>
      <c r="BL27" s="62"/>
      <c r="BM27" s="492"/>
      <c r="BN27" s="626" t="s">
        <v>497</v>
      </c>
      <c r="BO27" s="633">
        <v>0.52</v>
      </c>
      <c r="BP27" s="541">
        <v>0.41539999999999999</v>
      </c>
      <c r="BQ27" s="527">
        <f>BP27/BO27</f>
        <v>0.79884615384615376</v>
      </c>
      <c r="BR27" s="605"/>
      <c r="BS27" s="605"/>
      <c r="BT27" s="492"/>
      <c r="BU27" s="626" t="s">
        <v>1068</v>
      </c>
      <c r="BV27" s="611"/>
      <c r="BW27" s="613"/>
      <c r="BX27" s="527">
        <v>0</v>
      </c>
      <c r="BY27" s="605"/>
      <c r="BZ27" s="514"/>
      <c r="CA27" s="682"/>
      <c r="CB27" s="417" t="s">
        <v>920</v>
      </c>
      <c r="CC27" s="675" t="s">
        <v>963</v>
      </c>
      <c r="CD27" s="526"/>
      <c r="CE27" s="568"/>
      <c r="CF27" s="518"/>
      <c r="CG27" s="500"/>
      <c r="CH27" s="540"/>
      <c r="CI27" s="570"/>
      <c r="CJ27" s="417" t="s">
        <v>920</v>
      </c>
      <c r="CK27" s="572" t="s">
        <v>1069</v>
      </c>
      <c r="CL27" s="412" t="s">
        <v>69</v>
      </c>
      <c r="CM27" s="449"/>
      <c r="CN27" s="420"/>
      <c r="CO27" s="425"/>
      <c r="CP27" s="404"/>
      <c r="CQ27" s="451"/>
      <c r="CR27" s="417" t="s">
        <v>920</v>
      </c>
      <c r="CS27" s="453" t="s">
        <v>1189</v>
      </c>
      <c r="CT27" s="417" t="s">
        <v>69</v>
      </c>
      <c r="CU27" s="568"/>
      <c r="CV27" s="518"/>
      <c r="CW27" s="500"/>
      <c r="CX27" s="540"/>
      <c r="CY27" s="570"/>
      <c r="CZ27" s="417" t="s">
        <v>920</v>
      </c>
      <c r="DA27" s="572" t="s">
        <v>1233</v>
      </c>
      <c r="DB27" s="732"/>
      <c r="DC27" s="568"/>
      <c r="DD27" s="517"/>
    </row>
    <row r="28" spans="1:108" ht="95.25" customHeight="1" x14ac:dyDescent="0.25">
      <c r="A28" s="812"/>
      <c r="B28" s="492"/>
      <c r="C28" s="614"/>
      <c r="D28" s="604"/>
      <c r="E28" s="492"/>
      <c r="F28" s="492"/>
      <c r="G28" s="492"/>
      <c r="H28" s="418"/>
      <c r="I28" s="553"/>
      <c r="J28" s="492"/>
      <c r="K28" s="492"/>
      <c r="L28" s="492"/>
      <c r="M28" s="492"/>
      <c r="N28" s="492"/>
      <c r="O28" s="492"/>
      <c r="P28" s="492"/>
      <c r="Q28" s="622"/>
      <c r="R28" s="84" t="s">
        <v>33</v>
      </c>
      <c r="S28" s="607"/>
      <c r="T28" s="607"/>
      <c r="U28" s="607"/>
      <c r="V28" s="607"/>
      <c r="W28" s="492"/>
      <c r="X28" s="623"/>
      <c r="Y28" s="84" t="s">
        <v>33</v>
      </c>
      <c r="Z28" s="82" t="s">
        <v>581</v>
      </c>
      <c r="AA28" s="527"/>
      <c r="AB28" s="605"/>
      <c r="AC28" s="605"/>
      <c r="AD28" s="492"/>
      <c r="AE28" s="623" t="s">
        <v>599</v>
      </c>
      <c r="AF28" s="123">
        <v>5</v>
      </c>
      <c r="AG28" s="77">
        <v>5</v>
      </c>
      <c r="AH28" s="527"/>
      <c r="AI28" s="62" t="s">
        <v>621</v>
      </c>
      <c r="AJ28" s="62" t="s">
        <v>622</v>
      </c>
      <c r="AK28" s="492"/>
      <c r="AL28" s="133" t="s">
        <v>663</v>
      </c>
      <c r="AM28" s="102">
        <v>6</v>
      </c>
      <c r="AN28" s="61">
        <v>3</v>
      </c>
      <c r="AO28" s="527"/>
      <c r="AP28" s="311">
        <v>1186000000</v>
      </c>
      <c r="AQ28" s="207">
        <v>976986480</v>
      </c>
      <c r="AR28" s="492"/>
      <c r="AS28" s="133" t="s">
        <v>744</v>
      </c>
      <c r="AT28" s="696">
        <v>7</v>
      </c>
      <c r="AU28" s="697">
        <v>9</v>
      </c>
      <c r="AV28" s="527"/>
      <c r="AW28" s="656" t="s">
        <v>776</v>
      </c>
      <c r="AX28" s="607" t="s">
        <v>776</v>
      </c>
      <c r="AY28" s="492"/>
      <c r="AZ28" s="660" t="s">
        <v>796</v>
      </c>
      <c r="BA28" s="604"/>
      <c r="BB28" s="492"/>
      <c r="BC28" s="527"/>
      <c r="BD28" s="605"/>
      <c r="BE28" s="605"/>
      <c r="BF28" s="492"/>
      <c r="BG28" s="763"/>
      <c r="BH28" s="633"/>
      <c r="BI28" s="548"/>
      <c r="BJ28" s="527"/>
      <c r="BK28" s="605"/>
      <c r="BL28" s="62"/>
      <c r="BM28" s="492"/>
      <c r="BN28" s="626"/>
      <c r="BO28" s="633"/>
      <c r="BP28" s="541"/>
      <c r="BQ28" s="527"/>
      <c r="BR28" s="605"/>
      <c r="BS28" s="605"/>
      <c r="BT28" s="492"/>
      <c r="BU28" s="626"/>
      <c r="BV28" s="64">
        <v>0.53400000000000003</v>
      </c>
      <c r="BW28" s="14">
        <v>0.36549999999999999</v>
      </c>
      <c r="BX28" s="527"/>
      <c r="BY28" s="605"/>
      <c r="BZ28" s="515"/>
      <c r="CA28" s="678"/>
      <c r="CB28" s="418"/>
      <c r="CC28" s="676"/>
      <c r="CD28" s="61" t="s">
        <v>1027</v>
      </c>
      <c r="CE28" s="73">
        <v>0.36549999999999999</v>
      </c>
      <c r="CF28" s="297">
        <v>0</v>
      </c>
      <c r="CG28" s="500"/>
      <c r="CH28" s="522"/>
      <c r="CI28" s="571"/>
      <c r="CJ28" s="418"/>
      <c r="CK28" s="505"/>
      <c r="CL28" s="413"/>
      <c r="CM28" s="51">
        <v>0.36549999999999999</v>
      </c>
      <c r="CN28" s="148">
        <v>0</v>
      </c>
      <c r="CO28" s="425"/>
      <c r="CP28" s="405"/>
      <c r="CQ28" s="452"/>
      <c r="CR28" s="418"/>
      <c r="CS28" s="433"/>
      <c r="CT28" s="418"/>
      <c r="CU28" s="73">
        <v>0.36549999999999999</v>
      </c>
      <c r="CV28" s="297">
        <v>0</v>
      </c>
      <c r="CW28" s="500"/>
      <c r="CX28" s="522"/>
      <c r="CY28" s="571"/>
      <c r="CZ28" s="418"/>
      <c r="DA28" s="505"/>
      <c r="DB28" s="312">
        <v>0.55000000000000004</v>
      </c>
      <c r="DC28" s="73">
        <v>0.36549999999999999</v>
      </c>
      <c r="DD28" s="294">
        <v>0</v>
      </c>
    </row>
    <row r="29" spans="1:108" ht="89.25" customHeight="1" x14ac:dyDescent="0.25">
      <c r="A29" s="812"/>
      <c r="B29" s="492"/>
      <c r="C29" s="614"/>
      <c r="D29" s="604" t="s">
        <v>70</v>
      </c>
      <c r="E29" s="77" t="s">
        <v>71</v>
      </c>
      <c r="F29" s="77" t="s">
        <v>417</v>
      </c>
      <c r="G29" s="77" t="s">
        <v>64</v>
      </c>
      <c r="H29" s="77" t="s">
        <v>920</v>
      </c>
      <c r="I29" s="77">
        <v>4</v>
      </c>
      <c r="J29" s="77">
        <v>8</v>
      </c>
      <c r="K29" s="77" t="s">
        <v>272</v>
      </c>
      <c r="L29" s="77" t="s">
        <v>290</v>
      </c>
      <c r="M29" s="77">
        <v>2201030</v>
      </c>
      <c r="N29" s="77" t="s">
        <v>291</v>
      </c>
      <c r="O29" s="77">
        <v>220103000</v>
      </c>
      <c r="P29" s="77" t="s">
        <v>292</v>
      </c>
      <c r="Q29" s="118">
        <v>8</v>
      </c>
      <c r="R29" s="84" t="s">
        <v>33</v>
      </c>
      <c r="S29" s="607"/>
      <c r="T29" s="607"/>
      <c r="U29" s="607"/>
      <c r="V29" s="607"/>
      <c r="W29" s="77" t="s">
        <v>246</v>
      </c>
      <c r="X29" s="623"/>
      <c r="Y29" s="84" t="s">
        <v>33</v>
      </c>
      <c r="Z29" s="82" t="s">
        <v>581</v>
      </c>
      <c r="AA29" s="14" t="e">
        <f>(Z29/Y29)*1</f>
        <v>#VALUE!</v>
      </c>
      <c r="AB29" s="62"/>
      <c r="AC29" s="62"/>
      <c r="AD29" s="77" t="s">
        <v>246</v>
      </c>
      <c r="AE29" s="623"/>
      <c r="AF29" s="197">
        <v>0.4</v>
      </c>
      <c r="AG29" s="188">
        <v>0.19</v>
      </c>
      <c r="AH29" s="14">
        <f>(AG29/AF29)*1</f>
        <v>0.47499999999999998</v>
      </c>
      <c r="AI29" s="605">
        <v>130000000</v>
      </c>
      <c r="AJ29" s="605">
        <v>988000</v>
      </c>
      <c r="AK29" s="77" t="s">
        <v>246</v>
      </c>
      <c r="AL29" s="133" t="s">
        <v>664</v>
      </c>
      <c r="AM29" s="123" t="s">
        <v>698</v>
      </c>
      <c r="AN29" s="77" t="s">
        <v>33</v>
      </c>
      <c r="AO29" s="14" t="e">
        <f>(AN29/AM29)*1</f>
        <v>#VALUE!</v>
      </c>
      <c r="AP29" s="605" t="s">
        <v>713</v>
      </c>
      <c r="AQ29" s="605">
        <v>67600000</v>
      </c>
      <c r="AR29" s="77" t="s">
        <v>246</v>
      </c>
      <c r="AS29" s="763" t="s">
        <v>745</v>
      </c>
      <c r="AT29" s="696"/>
      <c r="AU29" s="697"/>
      <c r="AV29" s="14" t="e">
        <f>(AU29/AT29)*1</f>
        <v>#DIV/0!</v>
      </c>
      <c r="AW29" s="656"/>
      <c r="AX29" s="607"/>
      <c r="AY29" s="77" t="s">
        <v>246</v>
      </c>
      <c r="AZ29" s="659"/>
      <c r="BA29" s="123">
        <v>8</v>
      </c>
      <c r="BB29" s="77">
        <v>8</v>
      </c>
      <c r="BC29" s="14">
        <f>(BB29/BA29)*1</f>
        <v>1</v>
      </c>
      <c r="BD29" s="62" t="s">
        <v>845</v>
      </c>
      <c r="BE29" s="62" t="s">
        <v>846</v>
      </c>
      <c r="BF29" s="77" t="s">
        <v>246</v>
      </c>
      <c r="BG29" s="133" t="s">
        <v>863</v>
      </c>
      <c r="BH29" s="109">
        <v>8</v>
      </c>
      <c r="BI29" s="77">
        <v>8</v>
      </c>
      <c r="BJ29" s="14">
        <f>(BI29/BH29)*1</f>
        <v>1</v>
      </c>
      <c r="BK29" s="62"/>
      <c r="BL29" s="62"/>
      <c r="BM29" s="77" t="s">
        <v>246</v>
      </c>
      <c r="BN29" s="208" t="s">
        <v>498</v>
      </c>
      <c r="BO29" s="109">
        <v>8</v>
      </c>
      <c r="BP29" s="77">
        <v>8</v>
      </c>
      <c r="BQ29" s="14">
        <f>(BP29/BO29)*1</f>
        <v>1</v>
      </c>
      <c r="BR29" s="62"/>
      <c r="BS29" s="62"/>
      <c r="BT29" s="77" t="s">
        <v>246</v>
      </c>
      <c r="BU29" s="208" t="s">
        <v>1070</v>
      </c>
      <c r="BV29" s="160">
        <v>8</v>
      </c>
      <c r="BW29" s="130">
        <v>4</v>
      </c>
      <c r="BX29" s="14">
        <f>(BW29/BV29)*1</f>
        <v>0.5</v>
      </c>
      <c r="BY29" s="62">
        <v>0</v>
      </c>
      <c r="BZ29" s="62">
        <v>0</v>
      </c>
      <c r="CA29" s="14">
        <v>0</v>
      </c>
      <c r="CB29" s="77" t="s">
        <v>920</v>
      </c>
      <c r="CC29" s="86" t="s">
        <v>1005</v>
      </c>
      <c r="CD29" s="160">
        <v>8</v>
      </c>
      <c r="CE29" s="313">
        <v>4</v>
      </c>
      <c r="CF29" s="68">
        <f>(CE29/CD29)*1</f>
        <v>0.5</v>
      </c>
      <c r="CG29" s="66">
        <v>0</v>
      </c>
      <c r="CH29" s="66">
        <v>0</v>
      </c>
      <c r="CI29" s="68">
        <v>0</v>
      </c>
      <c r="CJ29" s="77" t="s">
        <v>920</v>
      </c>
      <c r="CK29" s="165" t="s">
        <v>1071</v>
      </c>
      <c r="CL29" s="45">
        <v>8</v>
      </c>
      <c r="CM29" s="174">
        <v>4</v>
      </c>
      <c r="CN29" s="49">
        <f>(CM29/CL29)*1</f>
        <v>0.5</v>
      </c>
      <c r="CO29" s="50">
        <v>0</v>
      </c>
      <c r="CP29" s="50">
        <v>0</v>
      </c>
      <c r="CQ29" s="49">
        <v>0</v>
      </c>
      <c r="CR29" s="77" t="s">
        <v>920</v>
      </c>
      <c r="CS29" s="236" t="s">
        <v>1014</v>
      </c>
      <c r="CT29" s="77">
        <v>8</v>
      </c>
      <c r="CU29" s="313">
        <v>7</v>
      </c>
      <c r="CV29" s="68">
        <f>(CU29/CT29)*1</f>
        <v>0.875</v>
      </c>
      <c r="CW29" s="66">
        <v>0</v>
      </c>
      <c r="CX29" s="66">
        <v>0</v>
      </c>
      <c r="CY29" s="68">
        <v>0</v>
      </c>
      <c r="CZ29" s="77" t="s">
        <v>920</v>
      </c>
      <c r="DA29" s="165" t="s">
        <v>1224</v>
      </c>
      <c r="DB29" s="67">
        <v>8</v>
      </c>
      <c r="DC29" s="67">
        <v>7</v>
      </c>
      <c r="DD29" s="70">
        <f>DC29/DB29</f>
        <v>0.875</v>
      </c>
    </row>
    <row r="30" spans="1:108" ht="195.75" customHeight="1" x14ac:dyDescent="0.25">
      <c r="A30" s="812"/>
      <c r="B30" s="492"/>
      <c r="C30" s="614"/>
      <c r="D30" s="604"/>
      <c r="E30" s="77" t="s">
        <v>432</v>
      </c>
      <c r="F30" s="77" t="s">
        <v>72</v>
      </c>
      <c r="G30" s="77" t="s">
        <v>73</v>
      </c>
      <c r="H30" s="77" t="s">
        <v>921</v>
      </c>
      <c r="I30" s="1" t="s">
        <v>74</v>
      </c>
      <c r="J30" s="77" t="s">
        <v>75</v>
      </c>
      <c r="K30" s="77" t="s">
        <v>272</v>
      </c>
      <c r="L30" s="77" t="s">
        <v>293</v>
      </c>
      <c r="M30" s="77" t="s">
        <v>274</v>
      </c>
      <c r="N30" s="77" t="s">
        <v>294</v>
      </c>
      <c r="O30" s="77" t="s">
        <v>274</v>
      </c>
      <c r="P30" s="77" t="s">
        <v>295</v>
      </c>
      <c r="Q30" s="118" t="s">
        <v>75</v>
      </c>
      <c r="R30" s="84" t="s">
        <v>33</v>
      </c>
      <c r="S30" s="607"/>
      <c r="T30" s="607"/>
      <c r="U30" s="607"/>
      <c r="V30" s="607"/>
      <c r="W30" s="492" t="s">
        <v>247</v>
      </c>
      <c r="X30" s="191"/>
      <c r="Y30" s="84" t="s">
        <v>33</v>
      </c>
      <c r="Z30" s="82" t="s">
        <v>581</v>
      </c>
      <c r="AA30" s="14">
        <v>1</v>
      </c>
      <c r="AB30" s="62"/>
      <c r="AC30" s="62"/>
      <c r="AD30" s="492" t="s">
        <v>247</v>
      </c>
      <c r="AE30" s="397" t="s">
        <v>600</v>
      </c>
      <c r="AF30" s="197">
        <v>0.5</v>
      </c>
      <c r="AG30" s="77" t="s">
        <v>33</v>
      </c>
      <c r="AH30" s="14">
        <v>1</v>
      </c>
      <c r="AI30" s="605"/>
      <c r="AJ30" s="605"/>
      <c r="AK30" s="492" t="s">
        <v>247</v>
      </c>
      <c r="AL30" s="622" t="s">
        <v>665</v>
      </c>
      <c r="AM30" s="197">
        <v>0.5</v>
      </c>
      <c r="AN30" s="188" t="s">
        <v>33</v>
      </c>
      <c r="AO30" s="14">
        <v>1</v>
      </c>
      <c r="AP30" s="605"/>
      <c r="AQ30" s="605"/>
      <c r="AR30" s="492" t="s">
        <v>247</v>
      </c>
      <c r="AS30" s="763"/>
      <c r="AT30" s="270">
        <v>0.24</v>
      </c>
      <c r="AU30" s="261">
        <v>0.44</v>
      </c>
      <c r="AV30" s="14">
        <v>1</v>
      </c>
      <c r="AW30" s="271" t="s">
        <v>776</v>
      </c>
      <c r="AX30" s="271" t="s">
        <v>776</v>
      </c>
      <c r="AY30" s="492" t="s">
        <v>247</v>
      </c>
      <c r="AZ30" s="314" t="s">
        <v>797</v>
      </c>
      <c r="BA30" s="123"/>
      <c r="BB30" s="77"/>
      <c r="BC30" s="14">
        <v>1</v>
      </c>
      <c r="BD30" s="605" t="s">
        <v>847</v>
      </c>
      <c r="BE30" s="605" t="s">
        <v>847</v>
      </c>
      <c r="BF30" s="492" t="s">
        <v>247</v>
      </c>
      <c r="BG30" s="133" t="s">
        <v>864</v>
      </c>
      <c r="BH30" s="209">
        <v>0.4415</v>
      </c>
      <c r="BI30" s="210">
        <v>0.47299999999999998</v>
      </c>
      <c r="BJ30" s="14">
        <v>1</v>
      </c>
      <c r="BK30" s="62" t="s">
        <v>499</v>
      </c>
      <c r="BL30" s="62" t="s">
        <v>500</v>
      </c>
      <c r="BM30" s="492" t="s">
        <v>247</v>
      </c>
      <c r="BN30" s="208" t="s">
        <v>501</v>
      </c>
      <c r="BO30" s="209">
        <v>0.46100000000000002</v>
      </c>
      <c r="BP30" s="210">
        <v>0.47299999999999998</v>
      </c>
      <c r="BQ30" s="14">
        <v>1</v>
      </c>
      <c r="BR30" s="62" t="s">
        <v>444</v>
      </c>
      <c r="BS30" s="62" t="s">
        <v>445</v>
      </c>
      <c r="BT30" s="492" t="s">
        <v>247</v>
      </c>
      <c r="BU30" s="208" t="s">
        <v>1072</v>
      </c>
      <c r="BV30" s="88" t="s">
        <v>899</v>
      </c>
      <c r="BW30" s="210">
        <v>0.47299999999999998</v>
      </c>
      <c r="BX30" s="14">
        <v>0.93</v>
      </c>
      <c r="BY30" s="62">
        <f>918000000+
3690000</f>
        <v>921690000</v>
      </c>
      <c r="BZ30" s="265">
        <v>3960000</v>
      </c>
      <c r="CA30" s="14">
        <f>BZ30/BY30</f>
        <v>4.296455424274973E-3</v>
      </c>
      <c r="CB30" s="77" t="s">
        <v>921</v>
      </c>
      <c r="CC30" s="675" t="s">
        <v>1008</v>
      </c>
      <c r="CD30" s="88">
        <v>0.5</v>
      </c>
      <c r="CE30" s="210">
        <v>0.47299999999999998</v>
      </c>
      <c r="CF30" s="315">
        <v>0.86</v>
      </c>
      <c r="CG30" s="66">
        <f>918000000+
3690000+1700000</f>
        <v>923390000</v>
      </c>
      <c r="CH30" s="273">
        <f>3960000+1700000</f>
        <v>5660000</v>
      </c>
      <c r="CI30" s="68">
        <f>CH30/CG30</f>
        <v>6.1295877148333858E-3</v>
      </c>
      <c r="CJ30" s="77" t="s">
        <v>921</v>
      </c>
      <c r="CK30" s="572" t="s">
        <v>1073</v>
      </c>
      <c r="CL30" s="45" t="s">
        <v>75</v>
      </c>
      <c r="CM30" s="178">
        <v>0.47299999999999998</v>
      </c>
      <c r="CN30" s="173">
        <v>0.86</v>
      </c>
      <c r="CO30" s="50">
        <v>4000000</v>
      </c>
      <c r="CP30" s="158">
        <v>0</v>
      </c>
      <c r="CQ30" s="49">
        <f>CP30/CO30</f>
        <v>0</v>
      </c>
      <c r="CR30" s="77" t="s">
        <v>921</v>
      </c>
      <c r="CS30" s="453" t="s">
        <v>1190</v>
      </c>
      <c r="CT30" s="77" t="s">
        <v>75</v>
      </c>
      <c r="CU30" s="284">
        <v>0.47299999999999998</v>
      </c>
      <c r="CV30" s="315">
        <v>0.86</v>
      </c>
      <c r="CW30" s="66">
        <v>4000000</v>
      </c>
      <c r="CX30" s="273">
        <v>0</v>
      </c>
      <c r="CY30" s="68">
        <f>CX30/CW30</f>
        <v>0</v>
      </c>
      <c r="CZ30" s="77" t="s">
        <v>921</v>
      </c>
      <c r="DA30" s="572" t="s">
        <v>1074</v>
      </c>
      <c r="DB30" s="77" t="s">
        <v>75</v>
      </c>
      <c r="DC30" s="210">
        <v>0.47299999999999998</v>
      </c>
      <c r="DD30" s="315">
        <v>0.86</v>
      </c>
    </row>
    <row r="31" spans="1:108" ht="108" customHeight="1" x14ac:dyDescent="0.25">
      <c r="A31" s="812"/>
      <c r="B31" s="492"/>
      <c r="C31" s="614"/>
      <c r="D31" s="604" t="s">
        <v>76</v>
      </c>
      <c r="E31" s="77" t="s">
        <v>77</v>
      </c>
      <c r="F31" s="77" t="s">
        <v>78</v>
      </c>
      <c r="G31" s="77" t="s">
        <v>73</v>
      </c>
      <c r="H31" s="77" t="s">
        <v>921</v>
      </c>
      <c r="I31" s="1" t="s">
        <v>79</v>
      </c>
      <c r="J31" s="77" t="s">
        <v>80</v>
      </c>
      <c r="K31" s="492" t="s">
        <v>272</v>
      </c>
      <c r="L31" s="492" t="s">
        <v>290</v>
      </c>
      <c r="M31" s="492">
        <v>2201033</v>
      </c>
      <c r="N31" s="492" t="s">
        <v>296</v>
      </c>
      <c r="O31" s="492">
        <v>220103300</v>
      </c>
      <c r="P31" s="492" t="s">
        <v>297</v>
      </c>
      <c r="Q31" s="118" t="s">
        <v>80</v>
      </c>
      <c r="R31" s="84" t="s">
        <v>33</v>
      </c>
      <c r="S31" s="607"/>
      <c r="T31" s="607"/>
      <c r="U31" s="607"/>
      <c r="V31" s="607"/>
      <c r="W31" s="492"/>
      <c r="X31" s="623"/>
      <c r="Y31" s="84" t="s">
        <v>33</v>
      </c>
      <c r="Z31" s="82" t="s">
        <v>581</v>
      </c>
      <c r="AA31" s="14">
        <v>0.86550000000000005</v>
      </c>
      <c r="AB31" s="62"/>
      <c r="AC31" s="62"/>
      <c r="AD31" s="492"/>
      <c r="AE31" s="623" t="s">
        <v>601</v>
      </c>
      <c r="AF31" s="197">
        <v>0.1</v>
      </c>
      <c r="AG31" s="1">
        <v>8.7999999999999995E-2</v>
      </c>
      <c r="AH31" s="14">
        <v>0.86550000000000005</v>
      </c>
      <c r="AI31" s="605"/>
      <c r="AJ31" s="605"/>
      <c r="AK31" s="492"/>
      <c r="AL31" s="622"/>
      <c r="AM31" s="119">
        <v>0.09</v>
      </c>
      <c r="AN31" s="88" t="s">
        <v>33</v>
      </c>
      <c r="AO31" s="14">
        <v>0.86550000000000005</v>
      </c>
      <c r="AP31" s="605"/>
      <c r="AQ31" s="605"/>
      <c r="AR31" s="492"/>
      <c r="AS31" s="763"/>
      <c r="AT31" s="270">
        <v>0.48</v>
      </c>
      <c r="AU31" s="261">
        <v>0.42</v>
      </c>
      <c r="AV31" s="14">
        <v>0.86550000000000005</v>
      </c>
      <c r="AW31" s="271" t="s">
        <v>776</v>
      </c>
      <c r="AX31" s="271" t="s">
        <v>776</v>
      </c>
      <c r="AY31" s="492"/>
      <c r="AZ31" s="302" t="s">
        <v>798</v>
      </c>
      <c r="BA31" s="197"/>
      <c r="BB31" s="77"/>
      <c r="BC31" s="14">
        <v>0.86550000000000005</v>
      </c>
      <c r="BD31" s="605"/>
      <c r="BE31" s="605"/>
      <c r="BF31" s="492"/>
      <c r="BG31" s="133" t="s">
        <v>865</v>
      </c>
      <c r="BH31" s="211">
        <v>0.47</v>
      </c>
      <c r="BI31" s="212">
        <v>0.54300000000000004</v>
      </c>
      <c r="BJ31" s="14">
        <v>0</v>
      </c>
      <c r="BK31" s="62">
        <v>71030094</v>
      </c>
      <c r="BL31" s="62">
        <v>56824075</v>
      </c>
      <c r="BM31" s="492"/>
      <c r="BN31" s="182" t="s">
        <v>502</v>
      </c>
      <c r="BO31" s="211">
        <v>0.46800000000000003</v>
      </c>
      <c r="BP31" s="212">
        <v>0.54300000000000004</v>
      </c>
      <c r="BQ31" s="14">
        <v>0.86550000000000005</v>
      </c>
      <c r="BR31" s="62">
        <v>0</v>
      </c>
      <c r="BS31" s="62">
        <v>0</v>
      </c>
      <c r="BT31" s="492"/>
      <c r="BU31" s="182" t="s">
        <v>1075</v>
      </c>
      <c r="BV31" s="200" t="s">
        <v>900</v>
      </c>
      <c r="BW31" s="212">
        <v>0.54300000000000004</v>
      </c>
      <c r="BX31" s="14">
        <v>0</v>
      </c>
      <c r="BY31" s="62">
        <v>0</v>
      </c>
      <c r="BZ31" s="62">
        <v>0</v>
      </c>
      <c r="CA31" s="14">
        <v>0</v>
      </c>
      <c r="CB31" s="77" t="s">
        <v>921</v>
      </c>
      <c r="CC31" s="676"/>
      <c r="CD31" s="188">
        <v>0.45</v>
      </c>
      <c r="CE31" s="316">
        <v>0.54300000000000004</v>
      </c>
      <c r="CF31" s="68">
        <v>0</v>
      </c>
      <c r="CG31" s="66">
        <v>0</v>
      </c>
      <c r="CH31" s="66">
        <v>0</v>
      </c>
      <c r="CI31" s="68">
        <v>0</v>
      </c>
      <c r="CJ31" s="77" t="s">
        <v>921</v>
      </c>
      <c r="CK31" s="505"/>
      <c r="CL31" s="45" t="s">
        <v>80</v>
      </c>
      <c r="CM31" s="53">
        <v>0.54300000000000004</v>
      </c>
      <c r="CN31" s="49">
        <v>0</v>
      </c>
      <c r="CO31" s="50">
        <v>0</v>
      </c>
      <c r="CP31" s="50">
        <v>0</v>
      </c>
      <c r="CQ31" s="49">
        <v>0</v>
      </c>
      <c r="CR31" s="77" t="s">
        <v>921</v>
      </c>
      <c r="CS31" s="433"/>
      <c r="CT31" s="77" t="s">
        <v>80</v>
      </c>
      <c r="CU31" s="316">
        <v>0.54300000000000004</v>
      </c>
      <c r="CV31" s="68">
        <v>0</v>
      </c>
      <c r="CW31" s="66">
        <v>20000000</v>
      </c>
      <c r="CX31" s="66">
        <v>0</v>
      </c>
      <c r="CY31" s="68">
        <v>0</v>
      </c>
      <c r="CZ31" s="77" t="s">
        <v>921</v>
      </c>
      <c r="DA31" s="505"/>
      <c r="DB31" s="77" t="s">
        <v>80</v>
      </c>
      <c r="DC31" s="316">
        <v>0.54300000000000004</v>
      </c>
      <c r="DD31" s="70">
        <v>0</v>
      </c>
    </row>
    <row r="32" spans="1:108" ht="183" customHeight="1" x14ac:dyDescent="0.25">
      <c r="A32" s="812"/>
      <c r="B32" s="492"/>
      <c r="C32" s="614"/>
      <c r="D32" s="604"/>
      <c r="E32" s="77" t="s">
        <v>81</v>
      </c>
      <c r="F32" s="77" t="s">
        <v>82</v>
      </c>
      <c r="G32" s="77" t="s">
        <v>73</v>
      </c>
      <c r="H32" s="77" t="s">
        <v>921</v>
      </c>
      <c r="I32" s="1" t="s">
        <v>83</v>
      </c>
      <c r="J32" s="77" t="s">
        <v>84</v>
      </c>
      <c r="K32" s="492"/>
      <c r="L32" s="492"/>
      <c r="M32" s="492"/>
      <c r="N32" s="492"/>
      <c r="O32" s="492"/>
      <c r="P32" s="492"/>
      <c r="Q32" s="118" t="s">
        <v>84</v>
      </c>
      <c r="R32" s="84" t="s">
        <v>33</v>
      </c>
      <c r="S32" s="607"/>
      <c r="T32" s="607"/>
      <c r="U32" s="607"/>
      <c r="V32" s="607"/>
      <c r="W32" s="492"/>
      <c r="X32" s="623"/>
      <c r="Y32" s="84" t="s">
        <v>33</v>
      </c>
      <c r="Z32" s="82" t="s">
        <v>581</v>
      </c>
      <c r="AA32" s="14">
        <v>1</v>
      </c>
      <c r="AB32" s="62"/>
      <c r="AC32" s="62"/>
      <c r="AD32" s="492"/>
      <c r="AE32" s="623"/>
      <c r="AF32" s="197">
        <v>0.55000000000000004</v>
      </c>
      <c r="AG32" s="188">
        <v>0.51</v>
      </c>
      <c r="AH32" s="14">
        <v>1</v>
      </c>
      <c r="AI32" s="605"/>
      <c r="AJ32" s="605"/>
      <c r="AK32" s="492"/>
      <c r="AL32" s="118" t="s">
        <v>666</v>
      </c>
      <c r="AM32" s="197">
        <v>0.57999999999999996</v>
      </c>
      <c r="AN32" s="188" t="s">
        <v>33</v>
      </c>
      <c r="AO32" s="14">
        <v>1</v>
      </c>
      <c r="AP32" s="605"/>
      <c r="AQ32" s="605"/>
      <c r="AR32" s="492"/>
      <c r="AS32" s="763"/>
      <c r="AT32" s="270">
        <v>0.08</v>
      </c>
      <c r="AU32" s="299">
        <v>8.5000000000000006E-2</v>
      </c>
      <c r="AV32" s="14">
        <v>1</v>
      </c>
      <c r="AW32" s="271" t="s">
        <v>776</v>
      </c>
      <c r="AX32" s="271" t="s">
        <v>776</v>
      </c>
      <c r="AY32" s="492"/>
      <c r="AZ32" s="314" t="s">
        <v>799</v>
      </c>
      <c r="BA32" s="197">
        <v>7.0000000000000007E-2</v>
      </c>
      <c r="BB32" s="1" t="s">
        <v>839</v>
      </c>
      <c r="BC32" s="14">
        <v>1</v>
      </c>
      <c r="BD32" s="605"/>
      <c r="BE32" s="605"/>
      <c r="BF32" s="492"/>
      <c r="BG32" s="133" t="s">
        <v>866</v>
      </c>
      <c r="BH32" s="211">
        <v>8.6800000000000002E-2</v>
      </c>
      <c r="BI32" s="212">
        <v>8.7900000000000006E-2</v>
      </c>
      <c r="BJ32" s="14">
        <v>1</v>
      </c>
      <c r="BK32" s="62" t="s">
        <v>503</v>
      </c>
      <c r="BL32" s="62" t="s">
        <v>503</v>
      </c>
      <c r="BM32" s="492"/>
      <c r="BN32" s="182" t="s">
        <v>504</v>
      </c>
      <c r="BO32" s="211">
        <v>8.1199999999999994E-2</v>
      </c>
      <c r="BP32" s="212">
        <v>8.7900000000000006E-2</v>
      </c>
      <c r="BQ32" s="14">
        <v>1</v>
      </c>
      <c r="BR32" s="62">
        <v>0</v>
      </c>
      <c r="BS32" s="62">
        <v>0</v>
      </c>
      <c r="BT32" s="492"/>
      <c r="BU32" s="182" t="s">
        <v>1076</v>
      </c>
      <c r="BV32" s="200" t="s">
        <v>901</v>
      </c>
      <c r="BW32" s="212">
        <v>8.7900000000000006E-2</v>
      </c>
      <c r="BX32" s="14">
        <v>0.75</v>
      </c>
      <c r="BY32" s="62">
        <f>359582000+90000000</f>
        <v>449582000</v>
      </c>
      <c r="BZ32" s="62">
        <f>107874824+90000000</f>
        <v>197874824</v>
      </c>
      <c r="CA32" s="14">
        <f>BZ32/BY32</f>
        <v>0.44013066359418301</v>
      </c>
      <c r="CB32" s="77" t="s">
        <v>921</v>
      </c>
      <c r="CC32" s="139" t="s">
        <v>964</v>
      </c>
      <c r="CD32" s="88">
        <v>7.0000000000000007E-2</v>
      </c>
      <c r="CE32" s="212">
        <v>8.7900000000000006E-2</v>
      </c>
      <c r="CF32" s="68">
        <v>0.68</v>
      </c>
      <c r="CG32" s="66">
        <f>359582000+90000000+1700000</f>
        <v>451282000</v>
      </c>
      <c r="CH32" s="66">
        <f>107874824+90000000+1700000</f>
        <v>199574824</v>
      </c>
      <c r="CI32" s="68">
        <f>CH32/CG32</f>
        <v>0.4422397170726951</v>
      </c>
      <c r="CJ32" s="77" t="s">
        <v>921</v>
      </c>
      <c r="CK32" s="165" t="s">
        <v>1077</v>
      </c>
      <c r="CL32" s="45" t="s">
        <v>84</v>
      </c>
      <c r="CM32" s="126">
        <v>8.7900000000000006E-2</v>
      </c>
      <c r="CN32" s="49">
        <v>0.68</v>
      </c>
      <c r="CO32" s="50">
        <v>20000000</v>
      </c>
      <c r="CP32" s="50">
        <v>0</v>
      </c>
      <c r="CQ32" s="49">
        <f>CP32/CO32</f>
        <v>0</v>
      </c>
      <c r="CR32" s="77" t="s">
        <v>921</v>
      </c>
      <c r="CS32" s="236" t="s">
        <v>1030</v>
      </c>
      <c r="CT32" s="77" t="s">
        <v>84</v>
      </c>
      <c r="CU32" s="212">
        <v>8.7900000000000006E-2</v>
      </c>
      <c r="CV32" s="68">
        <v>0.68</v>
      </c>
      <c r="CW32" s="66">
        <v>20000000</v>
      </c>
      <c r="CX32" s="66">
        <v>0</v>
      </c>
      <c r="CY32" s="68">
        <f>CX32/CW32</f>
        <v>0</v>
      </c>
      <c r="CZ32" s="77" t="s">
        <v>921</v>
      </c>
      <c r="DA32" s="165" t="s">
        <v>1078</v>
      </c>
      <c r="DB32" s="77" t="s">
        <v>84</v>
      </c>
      <c r="DC32" s="212">
        <v>8.7900000000000006E-2</v>
      </c>
      <c r="DD32" s="70">
        <v>0.68</v>
      </c>
    </row>
    <row r="33" spans="1:108" ht="116.25" customHeight="1" x14ac:dyDescent="0.25">
      <c r="A33" s="812"/>
      <c r="B33" s="492"/>
      <c r="C33" s="614"/>
      <c r="D33" s="123" t="s">
        <v>85</v>
      </c>
      <c r="E33" s="77" t="s">
        <v>86</v>
      </c>
      <c r="F33" s="77" t="s">
        <v>87</v>
      </c>
      <c r="G33" s="77" t="s">
        <v>73</v>
      </c>
      <c r="H33" s="77" t="s">
        <v>921</v>
      </c>
      <c r="I33" s="1" t="s">
        <v>88</v>
      </c>
      <c r="J33" s="77" t="s">
        <v>89</v>
      </c>
      <c r="K33" s="77" t="s">
        <v>272</v>
      </c>
      <c r="L33" s="77" t="s">
        <v>293</v>
      </c>
      <c r="M33" s="77" t="s">
        <v>274</v>
      </c>
      <c r="N33" s="77" t="s">
        <v>294</v>
      </c>
      <c r="O33" s="77" t="s">
        <v>274</v>
      </c>
      <c r="P33" s="77" t="s">
        <v>295</v>
      </c>
      <c r="Q33" s="118" t="s">
        <v>89</v>
      </c>
      <c r="R33" s="84" t="s">
        <v>33</v>
      </c>
      <c r="S33" s="607"/>
      <c r="T33" s="607"/>
      <c r="U33" s="607"/>
      <c r="V33" s="607"/>
      <c r="W33" s="492"/>
      <c r="X33" s="623"/>
      <c r="Y33" s="84" t="s">
        <v>33</v>
      </c>
      <c r="Z33" s="82" t="s">
        <v>581</v>
      </c>
      <c r="AA33" s="14" t="e">
        <f>Z33/Y33</f>
        <v>#VALUE!</v>
      </c>
      <c r="AB33" s="62"/>
      <c r="AC33" s="62"/>
      <c r="AD33" s="492"/>
      <c r="AE33" s="623"/>
      <c r="AF33" s="197">
        <v>0.7</v>
      </c>
      <c r="AG33" s="188">
        <v>0.5</v>
      </c>
      <c r="AH33" s="14">
        <f>AG33/AF33</f>
        <v>0.7142857142857143</v>
      </c>
      <c r="AI33" s="62" t="s">
        <v>623</v>
      </c>
      <c r="AJ33" s="62" t="s">
        <v>624</v>
      </c>
      <c r="AK33" s="492"/>
      <c r="AL33" s="133" t="s">
        <v>667</v>
      </c>
      <c r="AM33" s="119">
        <v>0.7</v>
      </c>
      <c r="AN33" s="88">
        <v>0.5</v>
      </c>
      <c r="AO33" s="14">
        <f>AN33/AM33</f>
        <v>0.7142857142857143</v>
      </c>
      <c r="AP33" s="127">
        <v>25750000</v>
      </c>
      <c r="AQ33" s="213">
        <v>22400000</v>
      </c>
      <c r="AR33" s="492"/>
      <c r="AS33" s="202" t="s">
        <v>746</v>
      </c>
      <c r="AT33" s="270">
        <v>0.6</v>
      </c>
      <c r="AU33" s="261">
        <v>0.56899999999999995</v>
      </c>
      <c r="AV33" s="14">
        <f>AU33/AT33</f>
        <v>0.94833333333333325</v>
      </c>
      <c r="AW33" s="271" t="s">
        <v>776</v>
      </c>
      <c r="AX33" s="271" t="s">
        <v>776</v>
      </c>
      <c r="AY33" s="492"/>
      <c r="AZ33" s="314" t="s">
        <v>800</v>
      </c>
      <c r="BA33" s="197">
        <v>0.71</v>
      </c>
      <c r="BB33" s="188">
        <v>0.63</v>
      </c>
      <c r="BC33" s="14">
        <f>BB33/BA33</f>
        <v>0.88732394366197187</v>
      </c>
      <c r="BD33" s="605"/>
      <c r="BE33" s="605"/>
      <c r="BF33" s="492"/>
      <c r="BG33" s="133" t="s">
        <v>867</v>
      </c>
      <c r="BH33" s="214">
        <v>0.68600000000000005</v>
      </c>
      <c r="BI33" s="215">
        <v>0.623</v>
      </c>
      <c r="BJ33" s="14">
        <f>BI33/BH33</f>
        <v>0.90816326530612235</v>
      </c>
      <c r="BK33" s="62"/>
      <c r="BL33" s="62"/>
      <c r="BM33" s="492"/>
      <c r="BN33" s="183" t="s">
        <v>505</v>
      </c>
      <c r="BO33" s="214">
        <v>0.69020000000000004</v>
      </c>
      <c r="BP33" s="215">
        <v>0.623</v>
      </c>
      <c r="BQ33" s="14">
        <f>BP33/BO33</f>
        <v>0.9026369168356998</v>
      </c>
      <c r="BR33" s="62">
        <v>0</v>
      </c>
      <c r="BS33" s="62">
        <v>0</v>
      </c>
      <c r="BT33" s="492"/>
      <c r="BU33" s="183" t="s">
        <v>1079</v>
      </c>
      <c r="BV33" s="88">
        <v>0.70199999999999996</v>
      </c>
      <c r="BW33" s="215">
        <v>0.623</v>
      </c>
      <c r="BX33" s="14">
        <v>0.122</v>
      </c>
      <c r="BY33" s="62">
        <v>0</v>
      </c>
      <c r="BZ33" s="266">
        <v>0</v>
      </c>
      <c r="CA33" s="14">
        <f>BY33/BX33</f>
        <v>0</v>
      </c>
      <c r="CB33" s="77" t="s">
        <v>921</v>
      </c>
      <c r="CC33" s="216" t="s">
        <v>965</v>
      </c>
      <c r="CD33" s="88">
        <v>0.71</v>
      </c>
      <c r="CE33" s="317">
        <v>0.623</v>
      </c>
      <c r="CF33" s="68">
        <v>0.122</v>
      </c>
      <c r="CG33" s="66">
        <v>0</v>
      </c>
      <c r="CH33" s="296">
        <v>0</v>
      </c>
      <c r="CI33" s="68">
        <f>CG33/CF33</f>
        <v>0</v>
      </c>
      <c r="CJ33" s="77" t="s">
        <v>921</v>
      </c>
      <c r="CK33" s="165" t="s">
        <v>1080</v>
      </c>
      <c r="CL33" s="45" t="s">
        <v>89</v>
      </c>
      <c r="CM33" s="39">
        <v>0.623</v>
      </c>
      <c r="CN33" s="49">
        <v>0.122</v>
      </c>
      <c r="CO33" s="50">
        <v>0</v>
      </c>
      <c r="CP33" s="159">
        <v>0</v>
      </c>
      <c r="CQ33" s="49">
        <f>CO33/CN33</f>
        <v>0</v>
      </c>
      <c r="CR33" s="77" t="s">
        <v>921</v>
      </c>
      <c r="CS33" s="236" t="s">
        <v>1020</v>
      </c>
      <c r="CT33" s="77" t="s">
        <v>89</v>
      </c>
      <c r="CU33" s="317">
        <v>0.623</v>
      </c>
      <c r="CV33" s="68">
        <v>0.122</v>
      </c>
      <c r="CW33" s="66">
        <v>0</v>
      </c>
      <c r="CX33" s="296">
        <v>0</v>
      </c>
      <c r="CY33" s="68">
        <f>CW33/CV33</f>
        <v>0</v>
      </c>
      <c r="CZ33" s="77" t="s">
        <v>921</v>
      </c>
      <c r="DA33" s="165" t="s">
        <v>1080</v>
      </c>
      <c r="DB33" s="77" t="s">
        <v>89</v>
      </c>
      <c r="DC33" s="317">
        <v>0.623</v>
      </c>
      <c r="DD33" s="70">
        <v>0.122</v>
      </c>
    </row>
    <row r="34" spans="1:108" ht="165.75" customHeight="1" x14ac:dyDescent="0.25">
      <c r="A34" s="812"/>
      <c r="B34" s="492" t="s">
        <v>90</v>
      </c>
      <c r="C34" s="614" t="s">
        <v>91</v>
      </c>
      <c r="D34" s="123" t="s">
        <v>92</v>
      </c>
      <c r="E34" s="77" t="s">
        <v>93</v>
      </c>
      <c r="F34" s="77" t="s">
        <v>94</v>
      </c>
      <c r="G34" s="77" t="s">
        <v>95</v>
      </c>
      <c r="H34" s="1" t="s">
        <v>922</v>
      </c>
      <c r="I34" s="1" t="s">
        <v>96</v>
      </c>
      <c r="J34" s="188">
        <v>0.8</v>
      </c>
      <c r="K34" s="77" t="s">
        <v>272</v>
      </c>
      <c r="L34" s="77" t="s">
        <v>298</v>
      </c>
      <c r="M34" s="77" t="s">
        <v>274</v>
      </c>
      <c r="N34" s="77" t="s">
        <v>299</v>
      </c>
      <c r="O34" s="77" t="s">
        <v>274</v>
      </c>
      <c r="P34" s="77" t="s">
        <v>300</v>
      </c>
      <c r="Q34" s="121">
        <v>0.8</v>
      </c>
      <c r="R34" s="84" t="s">
        <v>33</v>
      </c>
      <c r="S34" s="607"/>
      <c r="T34" s="607"/>
      <c r="U34" s="607"/>
      <c r="V34" s="607"/>
      <c r="W34" s="77" t="s">
        <v>248</v>
      </c>
      <c r="X34" s="181"/>
      <c r="Y34" s="84" t="s">
        <v>33</v>
      </c>
      <c r="Z34" s="82" t="s">
        <v>581</v>
      </c>
      <c r="AA34" s="14" t="e">
        <f>Z34/Y34</f>
        <v>#VALUE!</v>
      </c>
      <c r="AB34" s="62"/>
      <c r="AC34" s="217"/>
      <c r="AD34" s="77" t="s">
        <v>248</v>
      </c>
      <c r="AE34" s="396" t="s">
        <v>590</v>
      </c>
      <c r="AF34" s="197">
        <v>0.6</v>
      </c>
      <c r="AG34" s="188">
        <v>0.86</v>
      </c>
      <c r="AH34" s="14">
        <f>AG34/AF34</f>
        <v>1.4333333333333333</v>
      </c>
      <c r="AI34" s="62">
        <v>28200000</v>
      </c>
      <c r="AJ34" s="62">
        <v>8167000</v>
      </c>
      <c r="AK34" s="77" t="s">
        <v>248</v>
      </c>
      <c r="AL34" s="133" t="s">
        <v>668</v>
      </c>
      <c r="AM34" s="119">
        <v>0.65</v>
      </c>
      <c r="AN34" s="88">
        <v>0.86</v>
      </c>
      <c r="AO34" s="14">
        <f>AN34/AM34</f>
        <v>1.323076923076923</v>
      </c>
      <c r="AP34" s="128">
        <v>29046000</v>
      </c>
      <c r="AQ34" s="89" t="s">
        <v>620</v>
      </c>
      <c r="AR34" s="77" t="s">
        <v>248</v>
      </c>
      <c r="AS34" s="202" t="s">
        <v>747</v>
      </c>
      <c r="AT34" s="270">
        <v>0.72</v>
      </c>
      <c r="AU34" s="261">
        <v>0.5</v>
      </c>
      <c r="AV34" s="14">
        <f>AU34/AT34</f>
        <v>0.69444444444444442</v>
      </c>
      <c r="AW34" s="271" t="s">
        <v>776</v>
      </c>
      <c r="AX34" s="271" t="s">
        <v>776</v>
      </c>
      <c r="AY34" s="77" t="s">
        <v>248</v>
      </c>
      <c r="AZ34" s="306" t="s">
        <v>801</v>
      </c>
      <c r="BA34" s="123">
        <v>12</v>
      </c>
      <c r="BB34" s="77">
        <v>12</v>
      </c>
      <c r="BC34" s="14">
        <f>BB34/BA34</f>
        <v>1</v>
      </c>
      <c r="BD34" s="62"/>
      <c r="BE34" s="62"/>
      <c r="BF34" s="77" t="s">
        <v>248</v>
      </c>
      <c r="BG34" s="133" t="s">
        <v>868</v>
      </c>
      <c r="BH34" s="197">
        <v>0.56000000000000005</v>
      </c>
      <c r="BI34" s="14">
        <f>5/12</f>
        <v>0.41666666666666669</v>
      </c>
      <c r="BJ34" s="14">
        <f>BI34/BH34</f>
        <v>0.74404761904761896</v>
      </c>
      <c r="BK34" s="62" t="s">
        <v>506</v>
      </c>
      <c r="BL34" s="217">
        <v>900</v>
      </c>
      <c r="BM34" s="77" t="s">
        <v>248</v>
      </c>
      <c r="BN34" s="133" t="s">
        <v>507</v>
      </c>
      <c r="BO34" s="197">
        <v>0.74</v>
      </c>
      <c r="BP34" s="14">
        <f>5/12</f>
        <v>0.41666666666666669</v>
      </c>
      <c r="BQ34" s="14">
        <f>BP34/BO34</f>
        <v>0.56306306306306309</v>
      </c>
      <c r="BR34" s="62" t="s">
        <v>439</v>
      </c>
      <c r="BS34" s="217" t="s">
        <v>438</v>
      </c>
      <c r="BT34" s="77" t="s">
        <v>248</v>
      </c>
      <c r="BU34" s="208" t="s">
        <v>1081</v>
      </c>
      <c r="BV34" s="88">
        <v>0.72</v>
      </c>
      <c r="BW34" s="14">
        <f>11/12</f>
        <v>0.91666666666666663</v>
      </c>
      <c r="BX34" s="14">
        <v>1</v>
      </c>
      <c r="BY34" s="318">
        <v>90000000</v>
      </c>
      <c r="BZ34" s="319">
        <v>28753833</v>
      </c>
      <c r="CA34" s="14">
        <f>BZ34/BY34</f>
        <v>0.31948703333333334</v>
      </c>
      <c r="CB34" s="1" t="s">
        <v>922</v>
      </c>
      <c r="CC34" s="218" t="s">
        <v>966</v>
      </c>
      <c r="CD34" s="88">
        <v>0.8</v>
      </c>
      <c r="CE34" s="73">
        <f>11/12</f>
        <v>0.91666666666666663</v>
      </c>
      <c r="CF34" s="68">
        <v>1</v>
      </c>
      <c r="CG34" s="320">
        <f>90000000+24000000</f>
        <v>114000000</v>
      </c>
      <c r="CH34" s="296">
        <f>28753833+24000000</f>
        <v>52753833</v>
      </c>
      <c r="CI34" s="68">
        <f>CH34/CG34</f>
        <v>0.46275292105263161</v>
      </c>
      <c r="CJ34" s="1" t="s">
        <v>922</v>
      </c>
      <c r="CK34" s="221" t="s">
        <v>1082</v>
      </c>
      <c r="CL34" s="56">
        <v>0.8</v>
      </c>
      <c r="CM34" s="51">
        <f>11/12</f>
        <v>0.91666666666666663</v>
      </c>
      <c r="CN34" s="49">
        <v>1</v>
      </c>
      <c r="CO34" s="162">
        <v>114000000</v>
      </c>
      <c r="CP34" s="159">
        <f>28753833+24000000</f>
        <v>52753833</v>
      </c>
      <c r="CQ34" s="49">
        <f>CP34/CO34</f>
        <v>0.46275292105263161</v>
      </c>
      <c r="CR34" s="1" t="s">
        <v>922</v>
      </c>
      <c r="CS34" s="239" t="s">
        <v>1015</v>
      </c>
      <c r="CT34" s="188">
        <v>0.8</v>
      </c>
      <c r="CU34" s="73">
        <f>11/12</f>
        <v>0.91666666666666663</v>
      </c>
      <c r="CV34" s="68">
        <v>1</v>
      </c>
      <c r="CW34" s="320">
        <v>114000000</v>
      </c>
      <c r="CX34" s="296">
        <f>28753833+24000000</f>
        <v>52753833</v>
      </c>
      <c r="CY34" s="68">
        <f>CX34/CW34</f>
        <v>0.46275292105263161</v>
      </c>
      <c r="CZ34" s="1" t="s">
        <v>922</v>
      </c>
      <c r="DA34" s="221" t="s">
        <v>1082</v>
      </c>
      <c r="DB34" s="188">
        <v>0.8</v>
      </c>
      <c r="DC34" s="73">
        <f>11/12</f>
        <v>0.91666666666666663</v>
      </c>
      <c r="DD34" s="70">
        <v>1</v>
      </c>
    </row>
    <row r="35" spans="1:108" ht="123.75" customHeight="1" x14ac:dyDescent="0.25">
      <c r="A35" s="812"/>
      <c r="B35" s="492"/>
      <c r="C35" s="614"/>
      <c r="D35" s="123" t="s">
        <v>97</v>
      </c>
      <c r="E35" s="77" t="s">
        <v>98</v>
      </c>
      <c r="F35" s="77" t="s">
        <v>99</v>
      </c>
      <c r="G35" s="77" t="s">
        <v>100</v>
      </c>
      <c r="H35" s="77" t="s">
        <v>923</v>
      </c>
      <c r="I35" s="77" t="s">
        <v>101</v>
      </c>
      <c r="J35" s="188">
        <v>1</v>
      </c>
      <c r="K35" s="77" t="s">
        <v>272</v>
      </c>
      <c r="L35" s="77" t="s">
        <v>301</v>
      </c>
      <c r="M35" s="77">
        <v>1903011</v>
      </c>
      <c r="N35" s="77" t="s">
        <v>302</v>
      </c>
      <c r="O35" s="77">
        <v>190301100</v>
      </c>
      <c r="P35" s="77" t="s">
        <v>303</v>
      </c>
      <c r="Q35" s="121">
        <v>1</v>
      </c>
      <c r="R35" s="84" t="s">
        <v>33</v>
      </c>
      <c r="S35" s="607"/>
      <c r="T35" s="607"/>
      <c r="U35" s="607"/>
      <c r="V35" s="607"/>
      <c r="W35" s="77" t="s">
        <v>249</v>
      </c>
      <c r="X35" s="181"/>
      <c r="Y35" s="84" t="s">
        <v>33</v>
      </c>
      <c r="Z35" s="82" t="s">
        <v>581</v>
      </c>
      <c r="AA35" s="14" t="e">
        <f>Z35/Y35</f>
        <v>#VALUE!</v>
      </c>
      <c r="AB35" s="62"/>
      <c r="AC35" s="62"/>
      <c r="AD35" s="77" t="s">
        <v>249</v>
      </c>
      <c r="AE35" s="396" t="s">
        <v>600</v>
      </c>
      <c r="AF35" s="604">
        <v>13</v>
      </c>
      <c r="AG35" s="492">
        <v>13</v>
      </c>
      <c r="AH35" s="14">
        <f>AG35/AF35</f>
        <v>1</v>
      </c>
      <c r="AI35" s="605" t="s">
        <v>625</v>
      </c>
      <c r="AJ35" s="605" t="s">
        <v>626</v>
      </c>
      <c r="AK35" s="77" t="s">
        <v>249</v>
      </c>
      <c r="AL35" s="622" t="s">
        <v>669</v>
      </c>
      <c r="AM35" s="645">
        <v>15</v>
      </c>
      <c r="AN35" s="646">
        <v>15</v>
      </c>
      <c r="AO35" s="14">
        <f>AN35/AM35</f>
        <v>1</v>
      </c>
      <c r="AP35" s="640">
        <v>405652392</v>
      </c>
      <c r="AQ35" s="640">
        <v>222770997</v>
      </c>
      <c r="AR35" s="77" t="s">
        <v>249</v>
      </c>
      <c r="AS35" s="765" t="s">
        <v>748</v>
      </c>
      <c r="AT35" s="270">
        <v>0.7</v>
      </c>
      <c r="AU35" s="261">
        <v>0.7</v>
      </c>
      <c r="AV35" s="14">
        <f>AU35/AT35</f>
        <v>1</v>
      </c>
      <c r="AW35" s="271" t="s">
        <v>776</v>
      </c>
      <c r="AX35" s="271" t="s">
        <v>776</v>
      </c>
      <c r="AY35" s="77" t="s">
        <v>249</v>
      </c>
      <c r="AZ35" s="306" t="s">
        <v>802</v>
      </c>
      <c r="BA35" s="123">
        <v>12</v>
      </c>
      <c r="BB35" s="77">
        <v>12</v>
      </c>
      <c r="BC35" s="14">
        <f>BB35/BA35</f>
        <v>1</v>
      </c>
      <c r="BD35" s="62"/>
      <c r="BE35" s="62"/>
      <c r="BF35" s="77" t="s">
        <v>249</v>
      </c>
      <c r="BG35" s="133" t="s">
        <v>868</v>
      </c>
      <c r="BH35" s="219">
        <v>0.94769999999999999</v>
      </c>
      <c r="BI35" s="14">
        <v>0.85</v>
      </c>
      <c r="BJ35" s="14">
        <f>BI35/BH35</f>
        <v>0.89690830431571167</v>
      </c>
      <c r="BK35" s="62"/>
      <c r="BL35" s="62"/>
      <c r="BM35" s="77" t="s">
        <v>249</v>
      </c>
      <c r="BN35" s="133" t="s">
        <v>508</v>
      </c>
      <c r="BO35" s="219">
        <v>0.96509999999999996</v>
      </c>
      <c r="BP35" s="14">
        <v>0.85</v>
      </c>
      <c r="BQ35" s="14">
        <f>BP35/BO35</f>
        <v>0.88073774738369082</v>
      </c>
      <c r="BR35" s="62">
        <v>0</v>
      </c>
      <c r="BS35" s="62">
        <v>0</v>
      </c>
      <c r="BT35" s="77" t="s">
        <v>249</v>
      </c>
      <c r="BU35" s="133" t="s">
        <v>1083</v>
      </c>
      <c r="BV35" s="200">
        <v>0.98250000000000004</v>
      </c>
      <c r="BW35" s="14">
        <v>0.85</v>
      </c>
      <c r="BX35" s="14">
        <v>0.15379999999999999</v>
      </c>
      <c r="BY35" s="266">
        <v>0</v>
      </c>
      <c r="BZ35" s="266">
        <v>0</v>
      </c>
      <c r="CA35" s="14">
        <v>0</v>
      </c>
      <c r="CB35" s="77" t="s">
        <v>923</v>
      </c>
      <c r="CC35" s="86" t="s">
        <v>1009</v>
      </c>
      <c r="CD35" s="188">
        <v>1</v>
      </c>
      <c r="CE35" s="73">
        <v>0.85</v>
      </c>
      <c r="CF35" s="68">
        <v>0.15379999999999999</v>
      </c>
      <c r="CG35" s="296">
        <v>19200000</v>
      </c>
      <c r="CH35" s="296">
        <v>19200000</v>
      </c>
      <c r="CI35" s="68">
        <f>CH35/CG35</f>
        <v>1</v>
      </c>
      <c r="CJ35" s="77" t="s">
        <v>923</v>
      </c>
      <c r="CK35" s="165" t="s">
        <v>1084</v>
      </c>
      <c r="CL35" s="56">
        <v>1</v>
      </c>
      <c r="CM35" s="51">
        <v>0.85</v>
      </c>
      <c r="CN35" s="49">
        <v>0.15379999999999999</v>
      </c>
      <c r="CO35" s="159">
        <v>19200000</v>
      </c>
      <c r="CP35" s="159">
        <v>19200000</v>
      </c>
      <c r="CQ35" s="49">
        <f>CP35/CO35</f>
        <v>1</v>
      </c>
      <c r="CR35" s="77" t="s">
        <v>923</v>
      </c>
      <c r="CS35" s="236" t="s">
        <v>1022</v>
      </c>
      <c r="CT35" s="188">
        <v>1</v>
      </c>
      <c r="CU35" s="73">
        <v>0.85</v>
      </c>
      <c r="CV35" s="68">
        <v>0.15379999999999999</v>
      </c>
      <c r="CW35" s="296">
        <v>19200000</v>
      </c>
      <c r="CX35" s="296">
        <v>19200000</v>
      </c>
      <c r="CY35" s="68">
        <f>CX35/CW35</f>
        <v>1</v>
      </c>
      <c r="CZ35" s="77" t="s">
        <v>923</v>
      </c>
      <c r="DA35" s="165" t="s">
        <v>1085</v>
      </c>
      <c r="DB35" s="188">
        <v>1</v>
      </c>
      <c r="DC35" s="73">
        <v>0.85</v>
      </c>
      <c r="DD35" s="70">
        <v>0.13800000000000001</v>
      </c>
    </row>
    <row r="36" spans="1:108" ht="15" customHeight="1" x14ac:dyDescent="0.25">
      <c r="A36" s="812"/>
      <c r="B36" s="492"/>
      <c r="C36" s="614"/>
      <c r="D36" s="604" t="s">
        <v>102</v>
      </c>
      <c r="E36" s="492" t="s">
        <v>103</v>
      </c>
      <c r="F36" s="492" t="s">
        <v>418</v>
      </c>
      <c r="G36" s="492" t="s">
        <v>104</v>
      </c>
      <c r="H36" s="417" t="s">
        <v>924</v>
      </c>
      <c r="I36" s="492" t="s">
        <v>29</v>
      </c>
      <c r="J36" s="492" t="s">
        <v>419</v>
      </c>
      <c r="K36" s="492" t="s">
        <v>272</v>
      </c>
      <c r="L36" s="492" t="s">
        <v>304</v>
      </c>
      <c r="M36" s="492">
        <v>4301037</v>
      </c>
      <c r="N36" s="492" t="s">
        <v>305</v>
      </c>
      <c r="O36" s="492">
        <v>430103704</v>
      </c>
      <c r="P36" s="492" t="s">
        <v>306</v>
      </c>
      <c r="Q36" s="622" t="s">
        <v>419</v>
      </c>
      <c r="R36" s="84" t="s">
        <v>33</v>
      </c>
      <c r="S36" s="607"/>
      <c r="T36" s="607"/>
      <c r="U36" s="607"/>
      <c r="V36" s="607"/>
      <c r="W36" s="492" t="s">
        <v>250</v>
      </c>
      <c r="X36" s="639"/>
      <c r="Y36" s="84" t="s">
        <v>33</v>
      </c>
      <c r="Z36" s="82" t="s">
        <v>581</v>
      </c>
      <c r="AA36" s="527">
        <v>1</v>
      </c>
      <c r="AB36" s="605"/>
      <c r="AC36" s="605"/>
      <c r="AD36" s="492" t="s">
        <v>250</v>
      </c>
      <c r="AE36" s="639" t="s">
        <v>590</v>
      </c>
      <c r="AF36" s="604"/>
      <c r="AG36" s="492"/>
      <c r="AH36" s="527">
        <v>1</v>
      </c>
      <c r="AI36" s="605"/>
      <c r="AJ36" s="605"/>
      <c r="AK36" s="492" t="s">
        <v>250</v>
      </c>
      <c r="AL36" s="622"/>
      <c r="AM36" s="645"/>
      <c r="AN36" s="646"/>
      <c r="AO36" s="527">
        <v>1</v>
      </c>
      <c r="AP36" s="640"/>
      <c r="AQ36" s="640"/>
      <c r="AR36" s="492" t="s">
        <v>250</v>
      </c>
      <c r="AS36" s="765"/>
      <c r="AT36" s="696">
        <v>18</v>
      </c>
      <c r="AU36" s="697">
        <v>18</v>
      </c>
      <c r="AV36" s="527">
        <v>1</v>
      </c>
      <c r="AW36" s="656" t="s">
        <v>776</v>
      </c>
      <c r="AX36" s="656" t="s">
        <v>776</v>
      </c>
      <c r="AY36" s="492" t="s">
        <v>250</v>
      </c>
      <c r="AZ36" s="662" t="s">
        <v>803</v>
      </c>
      <c r="BA36" s="604">
        <v>1</v>
      </c>
      <c r="BB36" s="492">
        <v>1</v>
      </c>
      <c r="BC36" s="527">
        <v>1</v>
      </c>
      <c r="BD36" s="605" t="s">
        <v>848</v>
      </c>
      <c r="BE36" s="605">
        <v>120300000</v>
      </c>
      <c r="BF36" s="492" t="s">
        <v>250</v>
      </c>
      <c r="BG36" s="763" t="s">
        <v>869</v>
      </c>
      <c r="BH36" s="671">
        <v>0.21</v>
      </c>
      <c r="BI36" s="527">
        <v>0.75</v>
      </c>
      <c r="BJ36" s="527">
        <v>1</v>
      </c>
      <c r="BK36" s="605" t="s">
        <v>509</v>
      </c>
      <c r="BL36" s="638" t="s">
        <v>510</v>
      </c>
      <c r="BM36" s="492" t="s">
        <v>250</v>
      </c>
      <c r="BN36" s="626" t="s">
        <v>511</v>
      </c>
      <c r="BO36" s="671">
        <v>0.24</v>
      </c>
      <c r="BP36" s="527">
        <v>0.75</v>
      </c>
      <c r="BQ36" s="527">
        <v>1</v>
      </c>
      <c r="BR36" s="605">
        <v>143411000</v>
      </c>
      <c r="BS36" s="605" t="s">
        <v>563</v>
      </c>
      <c r="BT36" s="492" t="s">
        <v>250</v>
      </c>
      <c r="BU36" s="670" t="s">
        <v>564</v>
      </c>
      <c r="BV36" s="549">
        <v>0.27</v>
      </c>
      <c r="BW36" s="527">
        <v>0.75</v>
      </c>
      <c r="BX36" s="527">
        <v>1</v>
      </c>
      <c r="BY36" s="605">
        <f>12894828+14057500+
1253376033+
1405500</f>
        <v>1281733861</v>
      </c>
      <c r="BZ36" s="605">
        <f>12894828+
592550000+
14057500+14057500</f>
        <v>633559828</v>
      </c>
      <c r="CA36" s="677">
        <f>BZ36/BY36</f>
        <v>0.4942990485604406</v>
      </c>
      <c r="CB36" s="417" t="s">
        <v>924</v>
      </c>
      <c r="CC36" s="681" t="s">
        <v>967</v>
      </c>
      <c r="CD36" s="549">
        <v>0.3</v>
      </c>
      <c r="CE36" s="551">
        <v>0.75</v>
      </c>
      <c r="CF36" s="509">
        <v>1</v>
      </c>
      <c r="CG36" s="500">
        <f>12894828+14057500+37200000+278428571+300000000+
1253376033+
1405500+830364707+350000000</f>
        <v>3077727139</v>
      </c>
      <c r="CH36" s="500">
        <f>12894828+37200000+278428571+300000000+
592550000+
14057500+14057500+130000000+350000000</f>
        <v>1729188399</v>
      </c>
      <c r="CI36" s="516">
        <f>CH36/CG36</f>
        <v>0.56183940970213475</v>
      </c>
      <c r="CJ36" s="417" t="s">
        <v>924</v>
      </c>
      <c r="CK36" s="528" t="s">
        <v>1086</v>
      </c>
      <c r="CL36" s="412" t="s">
        <v>419</v>
      </c>
      <c r="CM36" s="469">
        <v>0.75</v>
      </c>
      <c r="CN36" s="434">
        <v>1</v>
      </c>
      <c r="CO36" s="425">
        <f>134775223+11200000</f>
        <v>145975223</v>
      </c>
      <c r="CP36" s="425">
        <f>86488072+2800000</f>
        <v>89288072</v>
      </c>
      <c r="CQ36" s="419">
        <f>CP36/CO36</f>
        <v>0.61166594004792174</v>
      </c>
      <c r="CR36" s="417" t="s">
        <v>924</v>
      </c>
      <c r="CS36" s="471" t="s">
        <v>1191</v>
      </c>
      <c r="CT36" s="417" t="s">
        <v>419</v>
      </c>
      <c r="CU36" s="551">
        <v>0.75</v>
      </c>
      <c r="CV36" s="509">
        <v>1</v>
      </c>
      <c r="CW36" s="500">
        <v>46247115</v>
      </c>
      <c r="CX36" s="500">
        <v>46247115</v>
      </c>
      <c r="CY36" s="516">
        <f>CX36/CW36</f>
        <v>1</v>
      </c>
      <c r="CZ36" s="417" t="s">
        <v>924</v>
      </c>
      <c r="DA36" s="528" t="s">
        <v>1087</v>
      </c>
      <c r="DB36" s="492" t="s">
        <v>419</v>
      </c>
      <c r="DC36" s="743">
        <v>0.75</v>
      </c>
      <c r="DD36" s="516">
        <v>1</v>
      </c>
    </row>
    <row r="37" spans="1:108" ht="83.25" customHeight="1" x14ac:dyDescent="0.25">
      <c r="A37" s="812"/>
      <c r="B37" s="492"/>
      <c r="C37" s="614"/>
      <c r="D37" s="604"/>
      <c r="E37" s="492"/>
      <c r="F37" s="492"/>
      <c r="G37" s="492"/>
      <c r="H37" s="431"/>
      <c r="I37" s="492"/>
      <c r="J37" s="492"/>
      <c r="K37" s="492"/>
      <c r="L37" s="492"/>
      <c r="M37" s="492"/>
      <c r="N37" s="492"/>
      <c r="O37" s="492"/>
      <c r="P37" s="492"/>
      <c r="Q37" s="622"/>
      <c r="R37" s="84" t="s">
        <v>33</v>
      </c>
      <c r="S37" s="607"/>
      <c r="T37" s="607"/>
      <c r="U37" s="607"/>
      <c r="V37" s="607"/>
      <c r="W37" s="492"/>
      <c r="X37" s="639"/>
      <c r="Y37" s="84" t="s">
        <v>33</v>
      </c>
      <c r="Z37" s="82" t="s">
        <v>581</v>
      </c>
      <c r="AA37" s="527"/>
      <c r="AB37" s="605"/>
      <c r="AC37" s="638"/>
      <c r="AD37" s="492"/>
      <c r="AE37" s="639"/>
      <c r="AF37" s="604"/>
      <c r="AG37" s="492"/>
      <c r="AH37" s="527"/>
      <c r="AI37" s="605"/>
      <c r="AJ37" s="605"/>
      <c r="AK37" s="492"/>
      <c r="AL37" s="622"/>
      <c r="AM37" s="645"/>
      <c r="AN37" s="646"/>
      <c r="AO37" s="527"/>
      <c r="AP37" s="640"/>
      <c r="AQ37" s="640"/>
      <c r="AR37" s="492"/>
      <c r="AS37" s="765"/>
      <c r="AT37" s="696"/>
      <c r="AU37" s="697"/>
      <c r="AV37" s="527"/>
      <c r="AW37" s="656"/>
      <c r="AX37" s="656"/>
      <c r="AY37" s="492"/>
      <c r="AZ37" s="662"/>
      <c r="BA37" s="604"/>
      <c r="BB37" s="492"/>
      <c r="BC37" s="527"/>
      <c r="BD37" s="605"/>
      <c r="BE37" s="605"/>
      <c r="BF37" s="492"/>
      <c r="BG37" s="763"/>
      <c r="BH37" s="671"/>
      <c r="BI37" s="527"/>
      <c r="BJ37" s="527"/>
      <c r="BK37" s="605"/>
      <c r="BL37" s="638"/>
      <c r="BM37" s="492"/>
      <c r="BN37" s="626"/>
      <c r="BO37" s="671"/>
      <c r="BP37" s="527"/>
      <c r="BQ37" s="527"/>
      <c r="BR37" s="605"/>
      <c r="BS37" s="638"/>
      <c r="BT37" s="492"/>
      <c r="BU37" s="626"/>
      <c r="BV37" s="550"/>
      <c r="BW37" s="527"/>
      <c r="BX37" s="527"/>
      <c r="BY37" s="605"/>
      <c r="BZ37" s="638"/>
      <c r="CA37" s="682"/>
      <c r="CB37" s="431"/>
      <c r="CC37" s="679"/>
      <c r="CD37" s="550"/>
      <c r="CE37" s="551"/>
      <c r="CF37" s="509"/>
      <c r="CG37" s="500"/>
      <c r="CH37" s="552"/>
      <c r="CI37" s="517"/>
      <c r="CJ37" s="431"/>
      <c r="CK37" s="520"/>
      <c r="CL37" s="428"/>
      <c r="CM37" s="469"/>
      <c r="CN37" s="434"/>
      <c r="CO37" s="425"/>
      <c r="CP37" s="470"/>
      <c r="CQ37" s="441"/>
      <c r="CR37" s="431"/>
      <c r="CS37" s="410"/>
      <c r="CT37" s="431"/>
      <c r="CU37" s="551"/>
      <c r="CV37" s="509"/>
      <c r="CW37" s="500"/>
      <c r="CX37" s="500"/>
      <c r="CY37" s="517"/>
      <c r="CZ37" s="431"/>
      <c r="DA37" s="520"/>
      <c r="DB37" s="492"/>
      <c r="DC37" s="744"/>
      <c r="DD37" s="517"/>
    </row>
    <row r="38" spans="1:108" ht="84.75" customHeight="1" x14ac:dyDescent="0.25">
      <c r="A38" s="812"/>
      <c r="B38" s="492"/>
      <c r="C38" s="614"/>
      <c r="D38" s="604"/>
      <c r="E38" s="492"/>
      <c r="F38" s="492"/>
      <c r="G38" s="492"/>
      <c r="H38" s="418"/>
      <c r="I38" s="492"/>
      <c r="J38" s="492"/>
      <c r="K38" s="492"/>
      <c r="L38" s="492"/>
      <c r="M38" s="492"/>
      <c r="N38" s="492"/>
      <c r="O38" s="492"/>
      <c r="P38" s="492"/>
      <c r="Q38" s="622"/>
      <c r="R38" s="84" t="s">
        <v>33</v>
      </c>
      <c r="S38" s="607"/>
      <c r="T38" s="607"/>
      <c r="U38" s="607"/>
      <c r="V38" s="607"/>
      <c r="W38" s="492"/>
      <c r="X38" s="181"/>
      <c r="Y38" s="84" t="s">
        <v>33</v>
      </c>
      <c r="Z38" s="82" t="s">
        <v>581</v>
      </c>
      <c r="AA38" s="527"/>
      <c r="AB38" s="605"/>
      <c r="AC38" s="638"/>
      <c r="AD38" s="492"/>
      <c r="AE38" s="396" t="s">
        <v>590</v>
      </c>
      <c r="AF38" s="123">
        <v>12</v>
      </c>
      <c r="AG38" s="77">
        <v>12</v>
      </c>
      <c r="AH38" s="527"/>
      <c r="AI38" s="62" t="s">
        <v>627</v>
      </c>
      <c r="AJ38" s="62" t="s">
        <v>628</v>
      </c>
      <c r="AK38" s="492"/>
      <c r="AL38" s="133" t="s">
        <v>670</v>
      </c>
      <c r="AM38" s="102">
        <v>12</v>
      </c>
      <c r="AN38" s="61">
        <v>6</v>
      </c>
      <c r="AO38" s="527"/>
      <c r="AP38" s="89" t="s">
        <v>714</v>
      </c>
      <c r="AQ38" s="90">
        <v>31680000</v>
      </c>
      <c r="AR38" s="492"/>
      <c r="AS38" s="133" t="s">
        <v>749</v>
      </c>
      <c r="AT38" s="253">
        <v>12</v>
      </c>
      <c r="AU38" s="254">
        <v>12</v>
      </c>
      <c r="AV38" s="527"/>
      <c r="AW38" s="271" t="s">
        <v>776</v>
      </c>
      <c r="AX38" s="271" t="s">
        <v>776</v>
      </c>
      <c r="AY38" s="492"/>
      <c r="AZ38" s="314" t="s">
        <v>804</v>
      </c>
      <c r="BA38" s="604"/>
      <c r="BB38" s="492"/>
      <c r="BC38" s="527"/>
      <c r="BD38" s="605"/>
      <c r="BE38" s="605"/>
      <c r="BF38" s="492"/>
      <c r="BG38" s="763"/>
      <c r="BH38" s="671"/>
      <c r="BI38" s="527"/>
      <c r="BJ38" s="527"/>
      <c r="BK38" s="605"/>
      <c r="BL38" s="638"/>
      <c r="BM38" s="492"/>
      <c r="BN38" s="626"/>
      <c r="BO38" s="671"/>
      <c r="BP38" s="527"/>
      <c r="BQ38" s="527"/>
      <c r="BR38" s="605"/>
      <c r="BS38" s="638"/>
      <c r="BT38" s="492"/>
      <c r="BU38" s="626"/>
      <c r="BV38" s="550"/>
      <c r="BW38" s="527"/>
      <c r="BX38" s="527"/>
      <c r="BY38" s="605"/>
      <c r="BZ38" s="638"/>
      <c r="CA38" s="678"/>
      <c r="CB38" s="418"/>
      <c r="CC38" s="676"/>
      <c r="CD38" s="550"/>
      <c r="CE38" s="551"/>
      <c r="CF38" s="509"/>
      <c r="CG38" s="500"/>
      <c r="CH38" s="552"/>
      <c r="CI38" s="518"/>
      <c r="CJ38" s="418"/>
      <c r="CK38" s="529"/>
      <c r="CL38" s="413"/>
      <c r="CM38" s="469"/>
      <c r="CN38" s="434"/>
      <c r="CO38" s="425"/>
      <c r="CP38" s="470"/>
      <c r="CQ38" s="420"/>
      <c r="CR38" s="418"/>
      <c r="CS38" s="411"/>
      <c r="CT38" s="418"/>
      <c r="CU38" s="551"/>
      <c r="CV38" s="509"/>
      <c r="CW38" s="500"/>
      <c r="CX38" s="500"/>
      <c r="CY38" s="518"/>
      <c r="CZ38" s="418"/>
      <c r="DA38" s="529"/>
      <c r="DB38" s="492"/>
      <c r="DC38" s="745"/>
      <c r="DD38" s="518"/>
    </row>
    <row r="39" spans="1:108" s="2" customFormat="1" ht="104.25" customHeight="1" x14ac:dyDescent="0.25">
      <c r="A39" s="812"/>
      <c r="B39" s="492"/>
      <c r="C39" s="614"/>
      <c r="D39" s="103" t="s">
        <v>105</v>
      </c>
      <c r="E39" s="67" t="s">
        <v>106</v>
      </c>
      <c r="F39" s="67" t="s">
        <v>107</v>
      </c>
      <c r="G39" s="67" t="s">
        <v>100</v>
      </c>
      <c r="H39" s="77" t="s">
        <v>925</v>
      </c>
      <c r="I39" s="67" t="s">
        <v>29</v>
      </c>
      <c r="J39" s="77">
        <v>12</v>
      </c>
      <c r="K39" s="77" t="s">
        <v>272</v>
      </c>
      <c r="L39" s="77" t="s">
        <v>365</v>
      </c>
      <c r="M39" s="77" t="s">
        <v>307</v>
      </c>
      <c r="N39" s="77" t="s">
        <v>420</v>
      </c>
      <c r="O39" s="77" t="s">
        <v>308</v>
      </c>
      <c r="P39" s="77" t="s">
        <v>378</v>
      </c>
      <c r="Q39" s="118">
        <v>12</v>
      </c>
      <c r="R39" s="84" t="s">
        <v>33</v>
      </c>
      <c r="S39" s="607"/>
      <c r="T39" s="607"/>
      <c r="U39" s="607"/>
      <c r="V39" s="607"/>
      <c r="W39" s="77" t="s">
        <v>251</v>
      </c>
      <c r="X39" s="191"/>
      <c r="Y39" s="84" t="s">
        <v>33</v>
      </c>
      <c r="Z39" s="82" t="s">
        <v>581</v>
      </c>
      <c r="AA39" s="14">
        <v>1</v>
      </c>
      <c r="AB39" s="62"/>
      <c r="AC39" s="62"/>
      <c r="AD39" s="77" t="s">
        <v>251</v>
      </c>
      <c r="AE39" s="397" t="s">
        <v>598</v>
      </c>
      <c r="AF39" s="197">
        <v>1</v>
      </c>
      <c r="AG39" s="188">
        <v>1</v>
      </c>
      <c r="AH39" s="14">
        <v>1</v>
      </c>
      <c r="AI39" s="62" t="s">
        <v>629</v>
      </c>
      <c r="AJ39" s="62" t="s">
        <v>630</v>
      </c>
      <c r="AK39" s="77" t="s">
        <v>251</v>
      </c>
      <c r="AL39" s="202" t="s">
        <v>671</v>
      </c>
      <c r="AM39" s="124">
        <v>0.6</v>
      </c>
      <c r="AN39" s="64">
        <v>0.7</v>
      </c>
      <c r="AO39" s="14">
        <v>1</v>
      </c>
      <c r="AP39" s="91" t="s">
        <v>715</v>
      </c>
      <c r="AQ39" s="92">
        <v>43190000</v>
      </c>
      <c r="AR39" s="77" t="s">
        <v>251</v>
      </c>
      <c r="AS39" s="766" t="s">
        <v>750</v>
      </c>
      <c r="AT39" s="270">
        <v>0.65</v>
      </c>
      <c r="AU39" s="261">
        <v>0</v>
      </c>
      <c r="AV39" s="14">
        <v>1</v>
      </c>
      <c r="AW39" s="271" t="s">
        <v>776</v>
      </c>
      <c r="AX39" s="271" t="s">
        <v>776</v>
      </c>
      <c r="AY39" s="77" t="s">
        <v>251</v>
      </c>
      <c r="AZ39" s="136" t="s">
        <v>805</v>
      </c>
      <c r="BA39" s="123">
        <v>12</v>
      </c>
      <c r="BB39" s="77">
        <v>12</v>
      </c>
      <c r="BC39" s="14">
        <v>1</v>
      </c>
      <c r="BD39" s="62" t="s">
        <v>849</v>
      </c>
      <c r="BE39" s="62" t="s">
        <v>850</v>
      </c>
      <c r="BF39" s="77" t="s">
        <v>251</v>
      </c>
      <c r="BG39" s="133" t="s">
        <v>870</v>
      </c>
      <c r="BH39" s="109">
        <v>7</v>
      </c>
      <c r="BI39" s="77">
        <v>0</v>
      </c>
      <c r="BJ39" s="14">
        <f>(BI39/BH39)*1</f>
        <v>0</v>
      </c>
      <c r="BK39" s="62"/>
      <c r="BL39" s="62"/>
      <c r="BM39" s="77" t="s">
        <v>251</v>
      </c>
      <c r="BN39" s="133" t="s">
        <v>512</v>
      </c>
      <c r="BO39" s="109">
        <v>8</v>
      </c>
      <c r="BP39" s="77">
        <v>12</v>
      </c>
      <c r="BQ39" s="14">
        <v>1</v>
      </c>
      <c r="BR39" s="62">
        <v>0</v>
      </c>
      <c r="BS39" s="62">
        <v>5770000</v>
      </c>
      <c r="BT39" s="77" t="s">
        <v>251</v>
      </c>
      <c r="BU39" s="133" t="s">
        <v>1088</v>
      </c>
      <c r="BV39" s="220">
        <v>9</v>
      </c>
      <c r="BW39" s="77">
        <v>11</v>
      </c>
      <c r="BX39" s="14">
        <v>1</v>
      </c>
      <c r="BY39" s="318">
        <v>90000000</v>
      </c>
      <c r="BZ39" s="319">
        <v>28753833</v>
      </c>
      <c r="CA39" s="293">
        <v>0</v>
      </c>
      <c r="CB39" s="77" t="s">
        <v>925</v>
      </c>
      <c r="CC39" s="221" t="s">
        <v>968</v>
      </c>
      <c r="CD39" s="77">
        <v>12</v>
      </c>
      <c r="CE39" s="77">
        <v>11</v>
      </c>
      <c r="CF39" s="73">
        <f>CE39/CD39</f>
        <v>0.91666666666666663</v>
      </c>
      <c r="CG39" s="320">
        <f>28800000+90000000+48000000</f>
        <v>166800000</v>
      </c>
      <c r="CH39" s="296">
        <f>28753833+28800000+48000000</f>
        <v>105553833</v>
      </c>
      <c r="CI39" s="322">
        <f>CH39/CG39</f>
        <v>0.63281674460431658</v>
      </c>
      <c r="CJ39" s="77" t="s">
        <v>925</v>
      </c>
      <c r="CK39" s="221" t="s">
        <v>1089</v>
      </c>
      <c r="CL39" s="45">
        <v>12</v>
      </c>
      <c r="CM39" s="45">
        <v>11</v>
      </c>
      <c r="CN39" s="51">
        <f>CM39/CL39</f>
        <v>0.91666666666666663</v>
      </c>
      <c r="CO39" s="162">
        <f>28800000+90000000+48000000</f>
        <v>166800000</v>
      </c>
      <c r="CP39" s="159">
        <f>28753833+28800000+48000000</f>
        <v>105553833</v>
      </c>
      <c r="CQ39" s="145">
        <f>CP39/CO39</f>
        <v>0.63281674460431658</v>
      </c>
      <c r="CR39" s="77" t="s">
        <v>925</v>
      </c>
      <c r="CS39" s="239" t="s">
        <v>1016</v>
      </c>
      <c r="CT39" s="77">
        <v>12</v>
      </c>
      <c r="CU39" s="77">
        <v>11</v>
      </c>
      <c r="CV39" s="73">
        <f>CU39/CT39</f>
        <v>0.91666666666666663</v>
      </c>
      <c r="CW39" s="320">
        <f>28800000+90000000+48000000</f>
        <v>166800000</v>
      </c>
      <c r="CX39" s="296">
        <f>28753833+28800000+48000000</f>
        <v>105553833</v>
      </c>
      <c r="CY39" s="322">
        <f>CX39/CW39</f>
        <v>0.63281674460431658</v>
      </c>
      <c r="CZ39" s="77" t="s">
        <v>925</v>
      </c>
      <c r="DA39" s="221" t="s">
        <v>1089</v>
      </c>
      <c r="DB39" s="67">
        <v>12</v>
      </c>
      <c r="DC39" s="149">
        <v>11</v>
      </c>
      <c r="DD39" s="294">
        <f>DC39/DB39</f>
        <v>0.91666666666666663</v>
      </c>
    </row>
    <row r="40" spans="1:108" s="2" customFormat="1" ht="147.75" customHeight="1" x14ac:dyDescent="0.25">
      <c r="A40" s="812"/>
      <c r="B40" s="492"/>
      <c r="C40" s="614"/>
      <c r="D40" s="103" t="s">
        <v>108</v>
      </c>
      <c r="E40" s="67" t="s">
        <v>109</v>
      </c>
      <c r="F40" s="67" t="s">
        <v>110</v>
      </c>
      <c r="G40" s="67" t="s">
        <v>100</v>
      </c>
      <c r="H40" s="77" t="s">
        <v>925</v>
      </c>
      <c r="I40" s="67" t="s">
        <v>29</v>
      </c>
      <c r="J40" s="188">
        <v>1</v>
      </c>
      <c r="K40" s="77" t="s">
        <v>272</v>
      </c>
      <c r="L40" s="77" t="s">
        <v>309</v>
      </c>
      <c r="M40" s="77" t="s">
        <v>29</v>
      </c>
      <c r="N40" s="77" t="s">
        <v>310</v>
      </c>
      <c r="O40" s="77" t="s">
        <v>29</v>
      </c>
      <c r="P40" s="77" t="s">
        <v>311</v>
      </c>
      <c r="Q40" s="121">
        <v>1</v>
      </c>
      <c r="R40" s="84" t="s">
        <v>33</v>
      </c>
      <c r="S40" s="607"/>
      <c r="T40" s="607"/>
      <c r="U40" s="607"/>
      <c r="V40" s="607"/>
      <c r="W40" s="77" t="s">
        <v>252</v>
      </c>
      <c r="X40" s="623"/>
      <c r="Y40" s="84" t="s">
        <v>33</v>
      </c>
      <c r="Z40" s="82" t="s">
        <v>581</v>
      </c>
      <c r="AA40" s="14">
        <v>1</v>
      </c>
      <c r="AB40" s="62"/>
      <c r="AC40" s="62"/>
      <c r="AD40" s="77" t="s">
        <v>252</v>
      </c>
      <c r="AE40" s="623" t="s">
        <v>602</v>
      </c>
      <c r="AF40" s="123">
        <v>12</v>
      </c>
      <c r="AG40" s="77">
        <v>12</v>
      </c>
      <c r="AH40" s="14">
        <v>1</v>
      </c>
      <c r="AI40" s="605" t="s">
        <v>631</v>
      </c>
      <c r="AJ40" s="605" t="s">
        <v>631</v>
      </c>
      <c r="AK40" s="77" t="s">
        <v>252</v>
      </c>
      <c r="AL40" s="622" t="s">
        <v>672</v>
      </c>
      <c r="AM40" s="102">
        <v>12</v>
      </c>
      <c r="AN40" s="61">
        <v>12</v>
      </c>
      <c r="AO40" s="14">
        <v>1</v>
      </c>
      <c r="AP40" s="692">
        <v>106571580996</v>
      </c>
      <c r="AQ40" s="692">
        <v>47709283071</v>
      </c>
      <c r="AR40" s="77" t="s">
        <v>252</v>
      </c>
      <c r="AS40" s="763" t="s">
        <v>751</v>
      </c>
      <c r="AT40" s="253">
        <v>12</v>
      </c>
      <c r="AU40" s="254">
        <v>12</v>
      </c>
      <c r="AV40" s="14">
        <v>1</v>
      </c>
      <c r="AW40" s="271" t="s">
        <v>776</v>
      </c>
      <c r="AX40" s="271" t="s">
        <v>776</v>
      </c>
      <c r="AY40" s="77" t="s">
        <v>252</v>
      </c>
      <c r="AZ40" s="310" t="s">
        <v>806</v>
      </c>
      <c r="BA40" s="123">
        <v>12</v>
      </c>
      <c r="BB40" s="77">
        <v>10</v>
      </c>
      <c r="BC40" s="14">
        <v>1</v>
      </c>
      <c r="BD40" s="62"/>
      <c r="BE40" s="62"/>
      <c r="BF40" s="77" t="s">
        <v>252</v>
      </c>
      <c r="BG40" s="202" t="s">
        <v>871</v>
      </c>
      <c r="BH40" s="222">
        <v>1</v>
      </c>
      <c r="BI40" s="77">
        <v>0</v>
      </c>
      <c r="BJ40" s="14">
        <v>0</v>
      </c>
      <c r="BK40" s="62"/>
      <c r="BL40" s="62"/>
      <c r="BM40" s="77" t="s">
        <v>252</v>
      </c>
      <c r="BN40" s="202" t="s">
        <v>513</v>
      </c>
      <c r="BO40" s="109">
        <v>100</v>
      </c>
      <c r="BP40" s="77">
        <v>1</v>
      </c>
      <c r="BQ40" s="14">
        <v>1</v>
      </c>
      <c r="BR40" s="62">
        <v>13200000</v>
      </c>
      <c r="BS40" s="62" t="s">
        <v>565</v>
      </c>
      <c r="BT40" s="77" t="s">
        <v>252</v>
      </c>
      <c r="BU40" s="202" t="s">
        <v>566</v>
      </c>
      <c r="BV40" s="188">
        <v>1</v>
      </c>
      <c r="BW40" s="188">
        <v>1</v>
      </c>
      <c r="BX40" s="14">
        <v>1</v>
      </c>
      <c r="BY40" s="266">
        <v>8655000</v>
      </c>
      <c r="BZ40" s="266">
        <v>8655000</v>
      </c>
      <c r="CA40" s="14">
        <f>BZ40/BY40</f>
        <v>1</v>
      </c>
      <c r="CB40" s="77" t="s">
        <v>925</v>
      </c>
      <c r="CC40" s="87" t="s">
        <v>969</v>
      </c>
      <c r="CD40" s="88">
        <v>1</v>
      </c>
      <c r="CE40" s="188">
        <v>1</v>
      </c>
      <c r="CF40" s="73">
        <v>1</v>
      </c>
      <c r="CG40" s="296">
        <f>9600000+8655000</f>
        <v>18255000</v>
      </c>
      <c r="CH40" s="296">
        <f>9600000+8655000</f>
        <v>18255000</v>
      </c>
      <c r="CI40" s="73">
        <f>CH40/CG40</f>
        <v>1</v>
      </c>
      <c r="CJ40" s="77" t="s">
        <v>925</v>
      </c>
      <c r="CK40" s="263" t="s">
        <v>1090</v>
      </c>
      <c r="CL40" s="56">
        <v>1</v>
      </c>
      <c r="CM40" s="56">
        <v>1</v>
      </c>
      <c r="CN40" s="51">
        <v>1</v>
      </c>
      <c r="CO40" s="159">
        <f>9600000+8655000</f>
        <v>18255000</v>
      </c>
      <c r="CP40" s="159">
        <f>9600000+8655000</f>
        <v>18255000</v>
      </c>
      <c r="CQ40" s="51">
        <f>CP40/CO40</f>
        <v>1</v>
      </c>
      <c r="CR40" s="77" t="s">
        <v>925</v>
      </c>
      <c r="CS40" s="235" t="s">
        <v>1017</v>
      </c>
      <c r="CT40" s="188">
        <v>1</v>
      </c>
      <c r="CU40" s="188">
        <v>1</v>
      </c>
      <c r="CV40" s="73">
        <v>1</v>
      </c>
      <c r="CW40" s="296">
        <f>9600000+8655000</f>
        <v>18255000</v>
      </c>
      <c r="CX40" s="296">
        <f>9600000+8655000</f>
        <v>18255000</v>
      </c>
      <c r="CY40" s="73">
        <f>CX40/CW40</f>
        <v>1</v>
      </c>
      <c r="CZ40" s="77" t="s">
        <v>925</v>
      </c>
      <c r="DA40" s="263" t="s">
        <v>1090</v>
      </c>
      <c r="DB40" s="188">
        <v>1</v>
      </c>
      <c r="DC40" s="188">
        <v>1</v>
      </c>
      <c r="DD40" s="73">
        <f>DC40/DB40</f>
        <v>1</v>
      </c>
    </row>
    <row r="41" spans="1:108" ht="123" customHeight="1" x14ac:dyDescent="0.25">
      <c r="A41" s="812"/>
      <c r="B41" s="492"/>
      <c r="C41" s="614"/>
      <c r="D41" s="604" t="s">
        <v>111</v>
      </c>
      <c r="E41" s="492" t="s">
        <v>112</v>
      </c>
      <c r="F41" s="77" t="s">
        <v>113</v>
      </c>
      <c r="G41" s="77" t="s">
        <v>114</v>
      </c>
      <c r="H41" s="77" t="s">
        <v>926</v>
      </c>
      <c r="I41" s="77">
        <v>1</v>
      </c>
      <c r="J41" s="77">
        <v>12</v>
      </c>
      <c r="K41" s="492" t="s">
        <v>272</v>
      </c>
      <c r="L41" s="636" t="s">
        <v>312</v>
      </c>
      <c r="M41" s="492">
        <v>1203002</v>
      </c>
      <c r="N41" s="492" t="s">
        <v>313</v>
      </c>
      <c r="O41" s="492">
        <v>120300200</v>
      </c>
      <c r="P41" s="492" t="s">
        <v>314</v>
      </c>
      <c r="Q41" s="118">
        <v>12</v>
      </c>
      <c r="R41" s="84" t="s">
        <v>33</v>
      </c>
      <c r="S41" s="607"/>
      <c r="T41" s="607"/>
      <c r="U41" s="607"/>
      <c r="V41" s="607"/>
      <c r="W41" s="492" t="s">
        <v>253</v>
      </c>
      <c r="X41" s="623"/>
      <c r="Y41" s="84" t="s">
        <v>33</v>
      </c>
      <c r="Z41" s="82" t="s">
        <v>582</v>
      </c>
      <c r="AA41" s="14" t="e">
        <f>Z41/Y41</f>
        <v>#VALUE!</v>
      </c>
      <c r="AB41" s="62"/>
      <c r="AC41" s="62"/>
      <c r="AD41" s="492" t="s">
        <v>253</v>
      </c>
      <c r="AE41" s="623"/>
      <c r="AF41" s="123">
        <v>1</v>
      </c>
      <c r="AG41" s="77">
        <v>1</v>
      </c>
      <c r="AH41" s="14">
        <f>AG41/AF41</f>
        <v>1</v>
      </c>
      <c r="AI41" s="605"/>
      <c r="AJ41" s="605"/>
      <c r="AK41" s="492" t="s">
        <v>253</v>
      </c>
      <c r="AL41" s="622"/>
      <c r="AM41" s="102">
        <v>1</v>
      </c>
      <c r="AN41" s="61">
        <v>1</v>
      </c>
      <c r="AO41" s="14">
        <f>AN41/AM41</f>
        <v>1</v>
      </c>
      <c r="AP41" s="550"/>
      <c r="AQ41" s="550"/>
      <c r="AR41" s="492" t="s">
        <v>253</v>
      </c>
      <c r="AS41" s="763"/>
      <c r="AT41" s="253">
        <v>1</v>
      </c>
      <c r="AU41" s="254">
        <v>1</v>
      </c>
      <c r="AV41" s="14">
        <f>AU41/AT41</f>
        <v>1</v>
      </c>
      <c r="AW41" s="271" t="s">
        <v>776</v>
      </c>
      <c r="AX41" s="271" t="s">
        <v>776</v>
      </c>
      <c r="AY41" s="492" t="s">
        <v>253</v>
      </c>
      <c r="AZ41" s="323" t="s">
        <v>807</v>
      </c>
      <c r="BA41" s="123">
        <v>1</v>
      </c>
      <c r="BB41" s="77">
        <v>1</v>
      </c>
      <c r="BC41" s="14">
        <f>BB41/BA41</f>
        <v>1</v>
      </c>
      <c r="BD41" s="605"/>
      <c r="BE41" s="605"/>
      <c r="BF41" s="492" t="s">
        <v>253</v>
      </c>
      <c r="BG41" s="763" t="s">
        <v>947</v>
      </c>
      <c r="BH41" s="109">
        <v>12</v>
      </c>
      <c r="BI41" s="77">
        <v>10</v>
      </c>
      <c r="BJ41" s="14">
        <f>BI41/BH41</f>
        <v>0.83333333333333337</v>
      </c>
      <c r="BK41" s="62">
        <v>14200000</v>
      </c>
      <c r="BL41" s="62">
        <v>14200000</v>
      </c>
      <c r="BM41" s="492" t="s">
        <v>253</v>
      </c>
      <c r="BN41" s="182" t="s">
        <v>514</v>
      </c>
      <c r="BO41" s="109">
        <v>12</v>
      </c>
      <c r="BP41" s="77">
        <v>12</v>
      </c>
      <c r="BQ41" s="14">
        <f>BP41/BO41</f>
        <v>1</v>
      </c>
      <c r="BR41" s="62">
        <v>14200000</v>
      </c>
      <c r="BS41" s="62" t="s">
        <v>1091</v>
      </c>
      <c r="BT41" s="492" t="s">
        <v>253</v>
      </c>
      <c r="BU41" s="182" t="s">
        <v>1092</v>
      </c>
      <c r="BV41" s="155">
        <v>12</v>
      </c>
      <c r="BW41" s="324">
        <v>12</v>
      </c>
      <c r="BX41" s="14">
        <f>BW41/BV41</f>
        <v>1</v>
      </c>
      <c r="BY41" s="266">
        <v>0</v>
      </c>
      <c r="BZ41" s="266">
        <v>0</v>
      </c>
      <c r="CA41" s="14">
        <f>BY41/BX41</f>
        <v>0</v>
      </c>
      <c r="CB41" s="77" t="s">
        <v>926</v>
      </c>
      <c r="CC41" s="139" t="s">
        <v>970</v>
      </c>
      <c r="CD41" s="155">
        <v>12</v>
      </c>
      <c r="CE41" s="325">
        <v>12</v>
      </c>
      <c r="CF41" s="315">
        <f>CE41/CD41</f>
        <v>1</v>
      </c>
      <c r="CG41" s="296">
        <f>6000000+9000000+9000000</f>
        <v>24000000</v>
      </c>
      <c r="CH41" s="296">
        <f>9000000+9000000+7500000</f>
        <v>25500000</v>
      </c>
      <c r="CI41" s="68">
        <f>CG41/CH41</f>
        <v>0.94117647058823528</v>
      </c>
      <c r="CJ41" s="77" t="s">
        <v>926</v>
      </c>
      <c r="CK41" s="86" t="s">
        <v>1093</v>
      </c>
      <c r="CL41" s="45">
        <v>12</v>
      </c>
      <c r="CM41" s="156">
        <v>12</v>
      </c>
      <c r="CN41" s="173">
        <f>CM41/CL41</f>
        <v>1</v>
      </c>
      <c r="CO41" s="159">
        <v>22200000</v>
      </c>
      <c r="CP41" s="159">
        <v>11100000</v>
      </c>
      <c r="CQ41" s="49">
        <f>+CP41/CO41</f>
        <v>0.5</v>
      </c>
      <c r="CR41" s="77" t="s">
        <v>926</v>
      </c>
      <c r="CS41" s="233" t="s">
        <v>1192</v>
      </c>
      <c r="CT41" s="77">
        <v>12</v>
      </c>
      <c r="CU41" s="325">
        <v>12</v>
      </c>
      <c r="CV41" s="315">
        <f>CU41/CT41</f>
        <v>1</v>
      </c>
      <c r="CW41" s="296">
        <v>14800000</v>
      </c>
      <c r="CX41" s="296">
        <v>7400000</v>
      </c>
      <c r="CY41" s="68">
        <f>+CX41/CW41</f>
        <v>0.5</v>
      </c>
      <c r="CZ41" s="77" t="s">
        <v>926</v>
      </c>
      <c r="DA41" s="86" t="s">
        <v>1094</v>
      </c>
      <c r="DB41" s="77">
        <v>12</v>
      </c>
      <c r="DC41" s="67">
        <v>12</v>
      </c>
      <c r="DD41" s="70">
        <f>DC41/DB41</f>
        <v>1</v>
      </c>
    </row>
    <row r="42" spans="1:108" ht="131.25" customHeight="1" x14ac:dyDescent="0.25">
      <c r="A42" s="812"/>
      <c r="B42" s="492"/>
      <c r="C42" s="614"/>
      <c r="D42" s="604"/>
      <c r="E42" s="492"/>
      <c r="F42" s="67" t="s">
        <v>115</v>
      </c>
      <c r="G42" s="67" t="s">
        <v>116</v>
      </c>
      <c r="H42" s="77" t="s">
        <v>927</v>
      </c>
      <c r="I42" s="77" t="s">
        <v>117</v>
      </c>
      <c r="J42" s="77" t="s">
        <v>118</v>
      </c>
      <c r="K42" s="492"/>
      <c r="L42" s="636"/>
      <c r="M42" s="492"/>
      <c r="N42" s="492"/>
      <c r="O42" s="492"/>
      <c r="P42" s="492"/>
      <c r="Q42" s="118" t="s">
        <v>118</v>
      </c>
      <c r="R42" s="84" t="s">
        <v>33</v>
      </c>
      <c r="S42" s="607"/>
      <c r="T42" s="607"/>
      <c r="U42" s="607"/>
      <c r="V42" s="607"/>
      <c r="W42" s="492"/>
      <c r="X42" s="181"/>
      <c r="Y42" s="84" t="s">
        <v>33</v>
      </c>
      <c r="Z42" s="82" t="s">
        <v>29</v>
      </c>
      <c r="AA42" s="14">
        <v>1</v>
      </c>
      <c r="AB42" s="62"/>
      <c r="AC42" s="62"/>
      <c r="AD42" s="492"/>
      <c r="AE42" s="396" t="s">
        <v>603</v>
      </c>
      <c r="AF42" s="604">
        <v>1</v>
      </c>
      <c r="AG42" s="492">
        <v>1</v>
      </c>
      <c r="AH42" s="14">
        <v>1</v>
      </c>
      <c r="AI42" s="605"/>
      <c r="AJ42" s="605"/>
      <c r="AK42" s="492"/>
      <c r="AL42" s="622"/>
      <c r="AM42" s="604" t="s">
        <v>613</v>
      </c>
      <c r="AN42" s="492" t="s">
        <v>613</v>
      </c>
      <c r="AO42" s="14">
        <v>1</v>
      </c>
      <c r="AP42" s="605" t="s">
        <v>716</v>
      </c>
      <c r="AQ42" s="605" t="s">
        <v>620</v>
      </c>
      <c r="AR42" s="492"/>
      <c r="AS42" s="763" t="s">
        <v>752</v>
      </c>
      <c r="AT42" s="698">
        <v>1</v>
      </c>
      <c r="AU42" s="697">
        <v>1</v>
      </c>
      <c r="AV42" s="14">
        <v>1</v>
      </c>
      <c r="AW42" s="656" t="s">
        <v>777</v>
      </c>
      <c r="AX42" s="656" t="s">
        <v>778</v>
      </c>
      <c r="AY42" s="492"/>
      <c r="AZ42" s="658" t="s">
        <v>808</v>
      </c>
      <c r="BA42" s="123">
        <v>332</v>
      </c>
      <c r="BB42" s="77">
        <v>200</v>
      </c>
      <c r="BC42" s="14">
        <v>1</v>
      </c>
      <c r="BD42" s="605"/>
      <c r="BE42" s="605"/>
      <c r="BF42" s="492"/>
      <c r="BG42" s="763"/>
      <c r="BH42" s="123">
        <v>234.42</v>
      </c>
      <c r="BI42" s="77">
        <v>306.45999999999998</v>
      </c>
      <c r="BJ42" s="14">
        <v>1</v>
      </c>
      <c r="BK42" s="62">
        <v>97928400</v>
      </c>
      <c r="BL42" s="62">
        <v>27393333</v>
      </c>
      <c r="BM42" s="492"/>
      <c r="BN42" s="182" t="s">
        <v>515</v>
      </c>
      <c r="BO42" s="123">
        <v>234.42</v>
      </c>
      <c r="BP42" s="77">
        <v>306.45999999999998</v>
      </c>
      <c r="BQ42" s="14">
        <v>1</v>
      </c>
      <c r="BR42" s="62">
        <v>97928400</v>
      </c>
      <c r="BS42" s="62" t="s">
        <v>1095</v>
      </c>
      <c r="BT42" s="492"/>
      <c r="BU42" s="182" t="s">
        <v>1096</v>
      </c>
      <c r="BV42" s="77">
        <v>234.42</v>
      </c>
      <c r="BW42" s="77">
        <v>682</v>
      </c>
      <c r="BX42" s="14">
        <v>0</v>
      </c>
      <c r="BY42" s="62">
        <f>17310000+11170350+
768000+7770000</f>
        <v>37018350</v>
      </c>
      <c r="BZ42" s="62">
        <f>17310000+22340700+384000+7770000</f>
        <v>47804700</v>
      </c>
      <c r="CA42" s="293">
        <v>1</v>
      </c>
      <c r="CB42" s="77" t="s">
        <v>927</v>
      </c>
      <c r="CC42" s="139" t="s">
        <v>971</v>
      </c>
      <c r="CD42" s="77" t="s">
        <v>902</v>
      </c>
      <c r="CE42" s="67">
        <v>682</v>
      </c>
      <c r="CF42" s="326">
        <v>0</v>
      </c>
      <c r="CG42" s="66">
        <f>23454000+4000000+17310000+22340700+384000+7770000+9775000+41044500</f>
        <v>126078200</v>
      </c>
      <c r="CH42" s="66">
        <f>23454000+4000000+17310000+22340700+384000+7770000+9775000+41044500</f>
        <v>126078200</v>
      </c>
      <c r="CI42" s="303">
        <f>CH42/CG42</f>
        <v>1</v>
      </c>
      <c r="CJ42" s="77" t="s">
        <v>927</v>
      </c>
      <c r="CK42" s="86" t="s">
        <v>1097</v>
      </c>
      <c r="CL42" s="45" t="s">
        <v>118</v>
      </c>
      <c r="CM42" s="52">
        <v>682</v>
      </c>
      <c r="CN42" s="129">
        <v>0</v>
      </c>
      <c r="CO42" s="50">
        <v>100000000</v>
      </c>
      <c r="CP42" s="50">
        <v>100000000</v>
      </c>
      <c r="CQ42" s="153">
        <f>CP42/CO42</f>
        <v>1</v>
      </c>
      <c r="CR42" s="77" t="s">
        <v>927</v>
      </c>
      <c r="CS42" s="233" t="s">
        <v>1193</v>
      </c>
      <c r="CT42" s="77" t="s">
        <v>118</v>
      </c>
      <c r="CU42" s="67">
        <v>682</v>
      </c>
      <c r="CV42" s="326">
        <v>0</v>
      </c>
      <c r="CW42" s="66">
        <v>14800000</v>
      </c>
      <c r="CX42" s="296">
        <v>7400000</v>
      </c>
      <c r="CY42" s="303">
        <f>CX42/CW42</f>
        <v>0.5</v>
      </c>
      <c r="CZ42" s="77" t="s">
        <v>927</v>
      </c>
      <c r="DA42" s="86" t="s">
        <v>1098</v>
      </c>
      <c r="DB42" s="77" t="s">
        <v>118</v>
      </c>
      <c r="DC42" s="295">
        <v>682</v>
      </c>
      <c r="DD42" s="309">
        <v>1</v>
      </c>
    </row>
    <row r="43" spans="1:108" ht="45" customHeight="1" x14ac:dyDescent="0.25">
      <c r="A43" s="812"/>
      <c r="B43" s="492"/>
      <c r="C43" s="614"/>
      <c r="D43" s="604" t="s">
        <v>119</v>
      </c>
      <c r="E43" s="492" t="s">
        <v>120</v>
      </c>
      <c r="F43" s="492" t="s">
        <v>121</v>
      </c>
      <c r="G43" s="492" t="s">
        <v>116</v>
      </c>
      <c r="H43" s="417" t="s">
        <v>927</v>
      </c>
      <c r="I43" s="492" t="s">
        <v>122</v>
      </c>
      <c r="J43" s="492" t="s">
        <v>118</v>
      </c>
      <c r="K43" s="492" t="s">
        <v>272</v>
      </c>
      <c r="L43" s="636" t="s">
        <v>312</v>
      </c>
      <c r="M43" s="492">
        <v>1203002</v>
      </c>
      <c r="N43" s="492" t="s">
        <v>313</v>
      </c>
      <c r="O43" s="492">
        <v>120300200</v>
      </c>
      <c r="P43" s="492" t="s">
        <v>314</v>
      </c>
      <c r="Q43" s="622" t="s">
        <v>118</v>
      </c>
      <c r="R43" s="84" t="s">
        <v>33</v>
      </c>
      <c r="S43" s="607"/>
      <c r="T43" s="607"/>
      <c r="U43" s="607"/>
      <c r="V43" s="607"/>
      <c r="W43" s="492"/>
      <c r="X43" s="623"/>
      <c r="Y43" s="84" t="s">
        <v>33</v>
      </c>
      <c r="Z43" s="82" t="s">
        <v>29</v>
      </c>
      <c r="AA43" s="527">
        <v>0.76700000000000002</v>
      </c>
      <c r="AB43" s="605"/>
      <c r="AC43" s="605"/>
      <c r="AD43" s="492"/>
      <c r="AE43" s="623" t="s">
        <v>599</v>
      </c>
      <c r="AF43" s="604"/>
      <c r="AG43" s="492"/>
      <c r="AH43" s="527">
        <v>0.76700000000000002</v>
      </c>
      <c r="AI43" s="605"/>
      <c r="AJ43" s="605"/>
      <c r="AK43" s="492"/>
      <c r="AL43" s="622"/>
      <c r="AM43" s="604"/>
      <c r="AN43" s="492"/>
      <c r="AO43" s="527">
        <v>0.76700000000000002</v>
      </c>
      <c r="AP43" s="605"/>
      <c r="AQ43" s="605"/>
      <c r="AR43" s="492"/>
      <c r="AS43" s="763"/>
      <c r="AT43" s="698"/>
      <c r="AU43" s="697"/>
      <c r="AV43" s="527">
        <v>0.76700000000000002</v>
      </c>
      <c r="AW43" s="656"/>
      <c r="AX43" s="656"/>
      <c r="AY43" s="492"/>
      <c r="AZ43" s="658"/>
      <c r="BA43" s="604">
        <v>1</v>
      </c>
      <c r="BB43" s="492">
        <v>1</v>
      </c>
      <c r="BC43" s="527">
        <v>0.76700000000000002</v>
      </c>
      <c r="BD43" s="605"/>
      <c r="BE43" s="605"/>
      <c r="BF43" s="492"/>
      <c r="BG43" s="763"/>
      <c r="BH43" s="657" t="s">
        <v>399</v>
      </c>
      <c r="BI43" s="553">
        <v>0.31940000000000002</v>
      </c>
      <c r="BJ43" s="527">
        <v>0</v>
      </c>
      <c r="BK43" s="605">
        <v>15000000</v>
      </c>
      <c r="BL43" s="605">
        <v>3620000</v>
      </c>
      <c r="BM43" s="492"/>
      <c r="BN43" s="626" t="s">
        <v>516</v>
      </c>
      <c r="BO43" s="657" t="s">
        <v>399</v>
      </c>
      <c r="BP43" s="553">
        <v>0.31940000000000002</v>
      </c>
      <c r="BQ43" s="527">
        <v>0.76700000000000002</v>
      </c>
      <c r="BR43" s="605">
        <v>15000000</v>
      </c>
      <c r="BS43" s="605" t="s">
        <v>567</v>
      </c>
      <c r="BT43" s="492"/>
      <c r="BU43" s="626" t="s">
        <v>1099</v>
      </c>
      <c r="BV43" s="622" t="s">
        <v>118</v>
      </c>
      <c r="BW43" s="728">
        <v>56.78</v>
      </c>
      <c r="BX43" s="527">
        <v>0.76700000000000002</v>
      </c>
      <c r="BY43" s="729">
        <v>157000000</v>
      </c>
      <c r="BZ43" s="513">
        <v>0</v>
      </c>
      <c r="CA43" s="677">
        <f>BZ43/BY43</f>
        <v>0</v>
      </c>
      <c r="CB43" s="417" t="s">
        <v>927</v>
      </c>
      <c r="CC43" s="675" t="s">
        <v>996</v>
      </c>
      <c r="CD43" s="417" t="s">
        <v>902</v>
      </c>
      <c r="CE43" s="553">
        <v>0.56779999999999997</v>
      </c>
      <c r="CF43" s="554">
        <v>0.76700000000000002</v>
      </c>
      <c r="CG43" s="555">
        <f>157000000+1020000</f>
        <v>158020000</v>
      </c>
      <c r="CH43" s="521">
        <v>10200000</v>
      </c>
      <c r="CI43" s="557">
        <f>CH43/CG43</f>
        <v>6.4548791292241489E-2</v>
      </c>
      <c r="CJ43" s="417" t="s">
        <v>927</v>
      </c>
      <c r="CK43" s="519" t="s">
        <v>1100</v>
      </c>
      <c r="CL43" s="412" t="s">
        <v>118</v>
      </c>
      <c r="CM43" s="474">
        <v>0.56779999999999997</v>
      </c>
      <c r="CN43" s="468">
        <v>0.76700000000000002</v>
      </c>
      <c r="CO43" s="475">
        <f>586666+14800000</f>
        <v>15386666</v>
      </c>
      <c r="CP43" s="403">
        <f>586666+7400000</f>
        <v>7986666</v>
      </c>
      <c r="CQ43" s="442">
        <f>CP43/CO43</f>
        <v>0.51906410394558511</v>
      </c>
      <c r="CR43" s="417" t="s">
        <v>927</v>
      </c>
      <c r="CS43" s="409" t="s">
        <v>1194</v>
      </c>
      <c r="CT43" s="417" t="s">
        <v>118</v>
      </c>
      <c r="CU43" s="553">
        <v>0.56779999999999997</v>
      </c>
      <c r="CV43" s="554">
        <v>0.76700000000000002</v>
      </c>
      <c r="CW43" s="555">
        <f>421173332 + 14800000</f>
        <v>435973332</v>
      </c>
      <c r="CX43" s="555">
        <f>421173332 + 14800000</f>
        <v>435973332</v>
      </c>
      <c r="CY43" s="557">
        <f>CX43/CW43</f>
        <v>1</v>
      </c>
      <c r="CZ43" s="417" t="s">
        <v>927</v>
      </c>
      <c r="DA43" s="519" t="s">
        <v>1101</v>
      </c>
      <c r="DB43" s="492" t="s">
        <v>118</v>
      </c>
      <c r="DC43" s="746">
        <v>0.31940000000000002</v>
      </c>
      <c r="DD43" s="557">
        <v>0</v>
      </c>
    </row>
    <row r="44" spans="1:108" ht="97.5" customHeight="1" x14ac:dyDescent="0.25">
      <c r="A44" s="812"/>
      <c r="B44" s="492"/>
      <c r="C44" s="614"/>
      <c r="D44" s="604"/>
      <c r="E44" s="492"/>
      <c r="F44" s="492"/>
      <c r="G44" s="492"/>
      <c r="H44" s="418"/>
      <c r="I44" s="492"/>
      <c r="J44" s="492"/>
      <c r="K44" s="492"/>
      <c r="L44" s="636"/>
      <c r="M44" s="492"/>
      <c r="N44" s="492"/>
      <c r="O44" s="492"/>
      <c r="P44" s="492"/>
      <c r="Q44" s="622"/>
      <c r="R44" s="84" t="s">
        <v>33</v>
      </c>
      <c r="S44" s="607"/>
      <c r="T44" s="607"/>
      <c r="U44" s="607"/>
      <c r="V44" s="607"/>
      <c r="W44" s="492"/>
      <c r="X44" s="623"/>
      <c r="Y44" s="84" t="s">
        <v>33</v>
      </c>
      <c r="Z44" s="82" t="s">
        <v>29</v>
      </c>
      <c r="AA44" s="527"/>
      <c r="AB44" s="605"/>
      <c r="AC44" s="605"/>
      <c r="AD44" s="492"/>
      <c r="AE44" s="623"/>
      <c r="AF44" s="604">
        <v>1</v>
      </c>
      <c r="AG44" s="492">
        <v>1</v>
      </c>
      <c r="AH44" s="527"/>
      <c r="AI44" s="605" t="s">
        <v>632</v>
      </c>
      <c r="AJ44" s="605" t="s">
        <v>633</v>
      </c>
      <c r="AK44" s="492"/>
      <c r="AL44" s="622" t="s">
        <v>673</v>
      </c>
      <c r="AM44" s="642">
        <v>1</v>
      </c>
      <c r="AN44" s="550">
        <v>1</v>
      </c>
      <c r="AO44" s="527"/>
      <c r="AP44" s="640">
        <v>20600000</v>
      </c>
      <c r="AQ44" s="640" t="s">
        <v>620</v>
      </c>
      <c r="AR44" s="492"/>
      <c r="AS44" s="763" t="s">
        <v>753</v>
      </c>
      <c r="AT44" s="698">
        <v>1</v>
      </c>
      <c r="AU44" s="697">
        <v>1</v>
      </c>
      <c r="AV44" s="527"/>
      <c r="AW44" s="661" t="s">
        <v>776</v>
      </c>
      <c r="AX44" s="661" t="s">
        <v>776</v>
      </c>
      <c r="AY44" s="492"/>
      <c r="AZ44" s="658" t="s">
        <v>809</v>
      </c>
      <c r="BA44" s="604"/>
      <c r="BB44" s="492"/>
      <c r="BC44" s="527"/>
      <c r="BD44" s="605"/>
      <c r="BE44" s="605"/>
      <c r="BF44" s="492"/>
      <c r="BG44" s="763"/>
      <c r="BH44" s="657"/>
      <c r="BI44" s="553"/>
      <c r="BJ44" s="527"/>
      <c r="BK44" s="605"/>
      <c r="BL44" s="605"/>
      <c r="BM44" s="492"/>
      <c r="BN44" s="626"/>
      <c r="BO44" s="657"/>
      <c r="BP44" s="553"/>
      <c r="BQ44" s="527"/>
      <c r="BR44" s="605"/>
      <c r="BS44" s="605"/>
      <c r="BT44" s="492"/>
      <c r="BU44" s="626"/>
      <c r="BV44" s="622"/>
      <c r="BW44" s="728"/>
      <c r="BX44" s="527"/>
      <c r="BY44" s="730"/>
      <c r="BZ44" s="515"/>
      <c r="CA44" s="678"/>
      <c r="CB44" s="418"/>
      <c r="CC44" s="676"/>
      <c r="CD44" s="418"/>
      <c r="CE44" s="553"/>
      <c r="CF44" s="554"/>
      <c r="CG44" s="556"/>
      <c r="CH44" s="522"/>
      <c r="CI44" s="558"/>
      <c r="CJ44" s="418"/>
      <c r="CK44" s="529"/>
      <c r="CL44" s="413"/>
      <c r="CM44" s="474"/>
      <c r="CN44" s="468"/>
      <c r="CO44" s="476"/>
      <c r="CP44" s="405"/>
      <c r="CQ44" s="443"/>
      <c r="CR44" s="418"/>
      <c r="CS44" s="411"/>
      <c r="CT44" s="418"/>
      <c r="CU44" s="553"/>
      <c r="CV44" s="554"/>
      <c r="CW44" s="556"/>
      <c r="CX44" s="556"/>
      <c r="CY44" s="558"/>
      <c r="CZ44" s="418"/>
      <c r="DA44" s="529"/>
      <c r="DB44" s="492"/>
      <c r="DC44" s="747"/>
      <c r="DD44" s="558"/>
    </row>
    <row r="45" spans="1:108" ht="51" customHeight="1" x14ac:dyDescent="0.25">
      <c r="A45" s="812"/>
      <c r="B45" s="492"/>
      <c r="C45" s="614"/>
      <c r="D45" s="604" t="s">
        <v>123</v>
      </c>
      <c r="E45" s="492" t="s">
        <v>124</v>
      </c>
      <c r="F45" s="492" t="s">
        <v>125</v>
      </c>
      <c r="G45" s="492" t="s">
        <v>116</v>
      </c>
      <c r="H45" s="417" t="s">
        <v>928</v>
      </c>
      <c r="I45" s="492" t="s">
        <v>126</v>
      </c>
      <c r="J45" s="492" t="s">
        <v>118</v>
      </c>
      <c r="K45" s="492" t="s">
        <v>315</v>
      </c>
      <c r="L45" s="492" t="s">
        <v>316</v>
      </c>
      <c r="M45" s="492" t="s">
        <v>29</v>
      </c>
      <c r="N45" s="492" t="s">
        <v>317</v>
      </c>
      <c r="O45" s="492" t="s">
        <v>29</v>
      </c>
      <c r="P45" s="492" t="s">
        <v>318</v>
      </c>
      <c r="Q45" s="622" t="s">
        <v>118</v>
      </c>
      <c r="R45" s="84" t="s">
        <v>33</v>
      </c>
      <c r="S45" s="607"/>
      <c r="T45" s="607"/>
      <c r="U45" s="607"/>
      <c r="V45" s="607"/>
      <c r="W45" s="492" t="s">
        <v>254</v>
      </c>
      <c r="X45" s="623"/>
      <c r="Y45" s="84" t="s">
        <v>33</v>
      </c>
      <c r="Z45" s="82" t="s">
        <v>29</v>
      </c>
      <c r="AA45" s="527">
        <v>0.74860000000000004</v>
      </c>
      <c r="AB45" s="605"/>
      <c r="AC45" s="605"/>
      <c r="AD45" s="492" t="s">
        <v>254</v>
      </c>
      <c r="AE45" s="623"/>
      <c r="AF45" s="604"/>
      <c r="AG45" s="492"/>
      <c r="AH45" s="527">
        <v>0.74860000000000004</v>
      </c>
      <c r="AI45" s="605"/>
      <c r="AJ45" s="605"/>
      <c r="AK45" s="492" t="s">
        <v>254</v>
      </c>
      <c r="AL45" s="622"/>
      <c r="AM45" s="642"/>
      <c r="AN45" s="550"/>
      <c r="AO45" s="527">
        <v>0.74860000000000004</v>
      </c>
      <c r="AP45" s="640"/>
      <c r="AQ45" s="640"/>
      <c r="AR45" s="492" t="s">
        <v>254</v>
      </c>
      <c r="AS45" s="763"/>
      <c r="AT45" s="698"/>
      <c r="AU45" s="697"/>
      <c r="AV45" s="527">
        <v>0.74860000000000004</v>
      </c>
      <c r="AW45" s="661"/>
      <c r="AX45" s="661"/>
      <c r="AY45" s="492" t="s">
        <v>254</v>
      </c>
      <c r="AZ45" s="658"/>
      <c r="BA45" s="604">
        <v>933</v>
      </c>
      <c r="BB45" s="492">
        <v>558</v>
      </c>
      <c r="BC45" s="527">
        <v>0.74860000000000004</v>
      </c>
      <c r="BD45" s="605">
        <v>430000000</v>
      </c>
      <c r="BE45" s="605">
        <v>260170284</v>
      </c>
      <c r="BF45" s="492" t="s">
        <v>254</v>
      </c>
      <c r="BG45" s="763" t="s">
        <v>872</v>
      </c>
      <c r="BH45" s="633" t="s">
        <v>398</v>
      </c>
      <c r="BI45" s="541">
        <v>0.1862</v>
      </c>
      <c r="BJ45" s="527">
        <v>0</v>
      </c>
      <c r="BK45" s="605"/>
      <c r="BL45" s="605"/>
      <c r="BM45" s="492" t="s">
        <v>254</v>
      </c>
      <c r="BN45" s="672" t="s">
        <v>517</v>
      </c>
      <c r="BO45" s="633" t="s">
        <v>398</v>
      </c>
      <c r="BP45" s="541">
        <v>0.1862</v>
      </c>
      <c r="BQ45" s="527">
        <v>0.74860000000000004</v>
      </c>
      <c r="BR45" s="605"/>
      <c r="BS45" s="605">
        <v>21000000</v>
      </c>
      <c r="BT45" s="492" t="s">
        <v>254</v>
      </c>
      <c r="BU45" s="672" t="s">
        <v>1102</v>
      </c>
      <c r="BV45" s="417" t="s">
        <v>902</v>
      </c>
      <c r="BW45" s="559">
        <v>131</v>
      </c>
      <c r="BX45" s="527">
        <v>0.74860000000000004</v>
      </c>
      <c r="BY45" s="605">
        <f>49862300+85288200+85288200+10000000</f>
        <v>230438700</v>
      </c>
      <c r="BZ45" s="687">
        <f>85288200+85288200+10000000</f>
        <v>180576400</v>
      </c>
      <c r="CA45" s="677">
        <f>BZ45/BY45</f>
        <v>0.78362011242035301</v>
      </c>
      <c r="CB45" s="417" t="s">
        <v>928</v>
      </c>
      <c r="CC45" s="733" t="s">
        <v>972</v>
      </c>
      <c r="CD45" s="417" t="s">
        <v>902</v>
      </c>
      <c r="CE45" s="559">
        <v>131</v>
      </c>
      <c r="CF45" s="554">
        <v>0.74860000000000004</v>
      </c>
      <c r="CG45" s="500">
        <f>49862300+85288200+85288200+10000000+26250000+3000000</f>
        <v>259688700</v>
      </c>
      <c r="CH45" s="560">
        <f>85288200+85288200+10000000+12250000+3000000</f>
        <v>195826400</v>
      </c>
      <c r="CI45" s="557">
        <f>CH45/CG45</f>
        <v>0.7540813289141961</v>
      </c>
      <c r="CJ45" s="417" t="s">
        <v>928</v>
      </c>
      <c r="CK45" s="519" t="s">
        <v>1103</v>
      </c>
      <c r="CL45" s="412" t="s">
        <v>118</v>
      </c>
      <c r="CM45" s="467">
        <v>131</v>
      </c>
      <c r="CN45" s="468">
        <v>0.74860000000000004</v>
      </c>
      <c r="CO45" s="425">
        <v>49555000</v>
      </c>
      <c r="CP45" s="444">
        <v>587000</v>
      </c>
      <c r="CQ45" s="442">
        <f>CP45/CO45</f>
        <v>1.1845424276056907E-2</v>
      </c>
      <c r="CR45" s="417" t="s">
        <v>928</v>
      </c>
      <c r="CS45" s="409" t="s">
        <v>1195</v>
      </c>
      <c r="CT45" s="417" t="s">
        <v>118</v>
      </c>
      <c r="CU45" s="559">
        <v>131</v>
      </c>
      <c r="CV45" s="554">
        <v>0.74860000000000004</v>
      </c>
      <c r="CW45" s="500">
        <v>13500000</v>
      </c>
      <c r="CX45" s="560">
        <v>13500000</v>
      </c>
      <c r="CY45" s="557">
        <f>CX45/CW45</f>
        <v>1</v>
      </c>
      <c r="CZ45" s="417" t="s">
        <v>928</v>
      </c>
      <c r="DA45" s="519" t="s">
        <v>1104</v>
      </c>
      <c r="DB45" s="492" t="s">
        <v>118</v>
      </c>
      <c r="DC45" s="612">
        <v>0.1862</v>
      </c>
      <c r="DD45" s="557">
        <v>0</v>
      </c>
    </row>
    <row r="46" spans="1:108" ht="92.25" customHeight="1" x14ac:dyDescent="0.25">
      <c r="A46" s="812"/>
      <c r="B46" s="492"/>
      <c r="C46" s="614"/>
      <c r="D46" s="604"/>
      <c r="E46" s="492"/>
      <c r="F46" s="492"/>
      <c r="G46" s="492"/>
      <c r="H46" s="418"/>
      <c r="I46" s="492"/>
      <c r="J46" s="492"/>
      <c r="K46" s="492"/>
      <c r="L46" s="492"/>
      <c r="M46" s="492"/>
      <c r="N46" s="492"/>
      <c r="O46" s="492"/>
      <c r="P46" s="492"/>
      <c r="Q46" s="622"/>
      <c r="R46" s="84" t="s">
        <v>33</v>
      </c>
      <c r="S46" s="607"/>
      <c r="T46" s="607"/>
      <c r="U46" s="607"/>
      <c r="V46" s="607"/>
      <c r="W46" s="492"/>
      <c r="X46" s="623"/>
      <c r="Y46" s="84" t="s">
        <v>33</v>
      </c>
      <c r="Z46" s="82" t="s">
        <v>29</v>
      </c>
      <c r="AA46" s="527"/>
      <c r="AB46" s="605"/>
      <c r="AC46" s="605"/>
      <c r="AD46" s="492"/>
      <c r="AE46" s="623"/>
      <c r="AF46" s="123">
        <v>1</v>
      </c>
      <c r="AG46" s="77">
        <v>1</v>
      </c>
      <c r="AH46" s="527"/>
      <c r="AI46" s="62" t="s">
        <v>629</v>
      </c>
      <c r="AJ46" s="62" t="s">
        <v>630</v>
      </c>
      <c r="AK46" s="492"/>
      <c r="AL46" s="118" t="s">
        <v>674</v>
      </c>
      <c r="AM46" s="102">
        <v>1</v>
      </c>
      <c r="AN46" s="61">
        <v>1</v>
      </c>
      <c r="AO46" s="527"/>
      <c r="AP46" s="91" t="s">
        <v>715</v>
      </c>
      <c r="AQ46" s="92">
        <v>43190000</v>
      </c>
      <c r="AR46" s="492"/>
      <c r="AS46" s="766" t="s">
        <v>750</v>
      </c>
      <c r="AT46" s="253">
        <v>1</v>
      </c>
      <c r="AU46" s="254">
        <v>1</v>
      </c>
      <c r="AV46" s="527"/>
      <c r="AW46" s="271" t="s">
        <v>776</v>
      </c>
      <c r="AX46" s="271" t="s">
        <v>776</v>
      </c>
      <c r="AY46" s="492"/>
      <c r="AZ46" s="136" t="s">
        <v>810</v>
      </c>
      <c r="BA46" s="604"/>
      <c r="BB46" s="492"/>
      <c r="BC46" s="527"/>
      <c r="BD46" s="605"/>
      <c r="BE46" s="605"/>
      <c r="BF46" s="492"/>
      <c r="BG46" s="763"/>
      <c r="BH46" s="604"/>
      <c r="BI46" s="541"/>
      <c r="BJ46" s="527"/>
      <c r="BK46" s="605"/>
      <c r="BL46" s="605"/>
      <c r="BM46" s="492"/>
      <c r="BN46" s="672"/>
      <c r="BO46" s="604"/>
      <c r="BP46" s="541"/>
      <c r="BQ46" s="527"/>
      <c r="BR46" s="605"/>
      <c r="BS46" s="605"/>
      <c r="BT46" s="492"/>
      <c r="BU46" s="672"/>
      <c r="BV46" s="418"/>
      <c r="BW46" s="559"/>
      <c r="BX46" s="527"/>
      <c r="BY46" s="605"/>
      <c r="BZ46" s="687"/>
      <c r="CA46" s="678"/>
      <c r="CB46" s="418"/>
      <c r="CC46" s="734"/>
      <c r="CD46" s="418"/>
      <c r="CE46" s="559"/>
      <c r="CF46" s="554"/>
      <c r="CG46" s="500"/>
      <c r="CH46" s="560"/>
      <c r="CI46" s="558"/>
      <c r="CJ46" s="418"/>
      <c r="CK46" s="529"/>
      <c r="CL46" s="413"/>
      <c r="CM46" s="467"/>
      <c r="CN46" s="468"/>
      <c r="CO46" s="425"/>
      <c r="CP46" s="444"/>
      <c r="CQ46" s="443"/>
      <c r="CR46" s="418"/>
      <c r="CS46" s="411"/>
      <c r="CT46" s="418"/>
      <c r="CU46" s="559"/>
      <c r="CV46" s="554"/>
      <c r="CW46" s="500"/>
      <c r="CX46" s="560"/>
      <c r="CY46" s="558"/>
      <c r="CZ46" s="418"/>
      <c r="DA46" s="529"/>
      <c r="DB46" s="492"/>
      <c r="DC46" s="613"/>
      <c r="DD46" s="558"/>
    </row>
    <row r="47" spans="1:108" ht="348.75" customHeight="1" x14ac:dyDescent="0.25">
      <c r="A47" s="812"/>
      <c r="B47" s="492"/>
      <c r="C47" s="614"/>
      <c r="D47" s="123" t="s">
        <v>127</v>
      </c>
      <c r="E47" s="77" t="s">
        <v>128</v>
      </c>
      <c r="F47" s="77" t="s">
        <v>129</v>
      </c>
      <c r="G47" s="77" t="s">
        <v>116</v>
      </c>
      <c r="H47" s="77" t="s">
        <v>929</v>
      </c>
      <c r="I47" s="77" t="s">
        <v>130</v>
      </c>
      <c r="J47" s="77" t="s">
        <v>118</v>
      </c>
      <c r="K47" s="77" t="s">
        <v>272</v>
      </c>
      <c r="L47" s="77" t="s">
        <v>309</v>
      </c>
      <c r="M47" s="77" t="s">
        <v>29</v>
      </c>
      <c r="N47" s="77" t="s">
        <v>310</v>
      </c>
      <c r="O47" s="77" t="s">
        <v>29</v>
      </c>
      <c r="P47" s="77" t="s">
        <v>311</v>
      </c>
      <c r="Q47" s="118" t="s">
        <v>118</v>
      </c>
      <c r="R47" s="84" t="s">
        <v>33</v>
      </c>
      <c r="S47" s="607"/>
      <c r="T47" s="607"/>
      <c r="U47" s="607"/>
      <c r="V47" s="607"/>
      <c r="W47" s="77" t="s">
        <v>252</v>
      </c>
      <c r="X47" s="623"/>
      <c r="Y47" s="84" t="s">
        <v>33</v>
      </c>
      <c r="Z47" s="82" t="s">
        <v>29</v>
      </c>
      <c r="AA47" s="14">
        <v>0.71279999999999999</v>
      </c>
      <c r="AB47" s="62"/>
      <c r="AC47" s="62"/>
      <c r="AD47" s="77" t="s">
        <v>252</v>
      </c>
      <c r="AE47" s="623"/>
      <c r="AF47" s="123">
        <v>1</v>
      </c>
      <c r="AG47" s="188" t="s">
        <v>29</v>
      </c>
      <c r="AH47" s="14">
        <v>0.71279999999999999</v>
      </c>
      <c r="AI47" s="605" t="s">
        <v>634</v>
      </c>
      <c r="AJ47" s="605" t="s">
        <v>635</v>
      </c>
      <c r="AK47" s="77" t="s">
        <v>252</v>
      </c>
      <c r="AL47" s="621" t="s">
        <v>675</v>
      </c>
      <c r="AM47" s="102">
        <v>1</v>
      </c>
      <c r="AN47" s="61">
        <v>1</v>
      </c>
      <c r="AO47" s="14">
        <v>0.71279999999999999</v>
      </c>
      <c r="AP47" s="640" t="s">
        <v>717</v>
      </c>
      <c r="AQ47" s="640" t="s">
        <v>718</v>
      </c>
      <c r="AR47" s="77" t="s">
        <v>252</v>
      </c>
      <c r="AS47" s="763" t="s">
        <v>754</v>
      </c>
      <c r="AT47" s="253">
        <v>1</v>
      </c>
      <c r="AU47" s="254">
        <v>3</v>
      </c>
      <c r="AV47" s="14">
        <v>0.71279999999999999</v>
      </c>
      <c r="AW47" s="271" t="s">
        <v>776</v>
      </c>
      <c r="AX47" s="271" t="s">
        <v>776</v>
      </c>
      <c r="AY47" s="77" t="s">
        <v>252</v>
      </c>
      <c r="AZ47" s="310" t="s">
        <v>811</v>
      </c>
      <c r="BA47" s="123">
        <v>12</v>
      </c>
      <c r="BB47" s="77">
        <v>10</v>
      </c>
      <c r="BC47" s="14">
        <v>0.71279999999999999</v>
      </c>
      <c r="BD47" s="62"/>
      <c r="BE47" s="62"/>
      <c r="BF47" s="77" t="s">
        <v>252</v>
      </c>
      <c r="BG47" s="202" t="s">
        <v>871</v>
      </c>
      <c r="BH47" s="223" t="s">
        <v>397</v>
      </c>
      <c r="BI47" s="212">
        <v>8.1500000000000003E-2</v>
      </c>
      <c r="BJ47" s="14">
        <v>0</v>
      </c>
      <c r="BK47" s="62"/>
      <c r="BL47" s="62"/>
      <c r="BM47" s="77" t="s">
        <v>252</v>
      </c>
      <c r="BN47" s="186" t="s">
        <v>518</v>
      </c>
      <c r="BO47" s="223" t="s">
        <v>397</v>
      </c>
      <c r="BP47" s="212">
        <v>8.1500000000000003E-2</v>
      </c>
      <c r="BQ47" s="14">
        <v>0.71279999999999999</v>
      </c>
      <c r="BR47" s="62">
        <v>23080000</v>
      </c>
      <c r="BS47" s="62"/>
      <c r="BT47" s="77" t="s">
        <v>252</v>
      </c>
      <c r="BU47" s="186" t="s">
        <v>1105</v>
      </c>
      <c r="BV47" s="77" t="s">
        <v>902</v>
      </c>
      <c r="BW47" s="329">
        <v>7.2</v>
      </c>
      <c r="BX47" s="14">
        <v>0.71279999999999999</v>
      </c>
      <c r="BY47" s="266">
        <v>8655000</v>
      </c>
      <c r="BZ47" s="266">
        <v>8655000</v>
      </c>
      <c r="CA47" s="272">
        <f>BZ47/BY47</f>
        <v>1</v>
      </c>
      <c r="CB47" s="77" t="s">
        <v>929</v>
      </c>
      <c r="CC47" s="187" t="s">
        <v>973</v>
      </c>
      <c r="CD47" s="77">
        <v>7.2</v>
      </c>
      <c r="CE47" s="329">
        <v>7.2</v>
      </c>
      <c r="CF47" s="326">
        <f>CE47/CD47</f>
        <v>1</v>
      </c>
      <c r="CG47" s="296">
        <f>8655000+10200000+13571428+9600000+47250000+19200000</f>
        <v>108476428</v>
      </c>
      <c r="CH47" s="296">
        <f>8655000+10200000+13571428+9600000+21000000+19200000</f>
        <v>82226428</v>
      </c>
      <c r="CI47" s="327">
        <f>CH47/CG47</f>
        <v>0.75801194338736888</v>
      </c>
      <c r="CJ47" s="77" t="s">
        <v>929</v>
      </c>
      <c r="CK47" s="87" t="s">
        <v>1106</v>
      </c>
      <c r="CL47" s="45">
        <v>7.2</v>
      </c>
      <c r="CM47" s="161">
        <v>7.2</v>
      </c>
      <c r="CN47" s="129">
        <f>CM47/CL47</f>
        <v>1</v>
      </c>
      <c r="CO47" s="376">
        <f>26400000+11200000</f>
        <v>37600000</v>
      </c>
      <c r="CP47" s="376">
        <f>26400000+5200000</f>
        <v>31600000</v>
      </c>
      <c r="CQ47" s="146">
        <f>CP47/CO47</f>
        <v>0.84042553191489366</v>
      </c>
      <c r="CR47" s="77" t="s">
        <v>929</v>
      </c>
      <c r="CS47" s="241" t="s">
        <v>1196</v>
      </c>
      <c r="CT47" s="77">
        <v>7.2</v>
      </c>
      <c r="CU47" s="329">
        <v>7.2</v>
      </c>
      <c r="CV47" s="326">
        <f>CU47/CT47</f>
        <v>1</v>
      </c>
      <c r="CW47" s="330">
        <v>31500000</v>
      </c>
      <c r="CX47" s="330">
        <f>5100000 + 26400000</f>
        <v>31500000</v>
      </c>
      <c r="CY47" s="327">
        <f>CX47/CW47</f>
        <v>1</v>
      </c>
      <c r="CZ47" s="77" t="s">
        <v>929</v>
      </c>
      <c r="DA47" s="87" t="s">
        <v>1107</v>
      </c>
      <c r="DB47" s="77" t="s">
        <v>118</v>
      </c>
      <c r="DC47" s="328">
        <v>7.1999999999999995E-2</v>
      </c>
      <c r="DD47" s="327">
        <v>0</v>
      </c>
    </row>
    <row r="48" spans="1:108" ht="41.25" customHeight="1" x14ac:dyDescent="0.25">
      <c r="A48" s="812"/>
      <c r="B48" s="492"/>
      <c r="C48" s="614"/>
      <c r="D48" s="604" t="s">
        <v>131</v>
      </c>
      <c r="E48" s="492" t="s">
        <v>132</v>
      </c>
      <c r="F48" s="77" t="s">
        <v>421</v>
      </c>
      <c r="G48" s="77" t="s">
        <v>133</v>
      </c>
      <c r="H48" s="77" t="s">
        <v>930</v>
      </c>
      <c r="I48" s="77" t="s">
        <v>29</v>
      </c>
      <c r="J48" s="188">
        <v>1</v>
      </c>
      <c r="K48" s="492" t="s">
        <v>272</v>
      </c>
      <c r="L48" s="492" t="s">
        <v>319</v>
      </c>
      <c r="M48" s="492" t="s">
        <v>29</v>
      </c>
      <c r="N48" s="492" t="s">
        <v>320</v>
      </c>
      <c r="O48" s="492" t="s">
        <v>29</v>
      </c>
      <c r="P48" s="492" t="s">
        <v>371</v>
      </c>
      <c r="Q48" s="121">
        <v>1</v>
      </c>
      <c r="R48" s="84" t="s">
        <v>33</v>
      </c>
      <c r="S48" s="607"/>
      <c r="T48" s="607"/>
      <c r="U48" s="607"/>
      <c r="V48" s="607"/>
      <c r="W48" s="492" t="s">
        <v>255</v>
      </c>
      <c r="X48" s="623"/>
      <c r="Y48" s="84" t="s">
        <v>33</v>
      </c>
      <c r="Z48" s="82">
        <v>2</v>
      </c>
      <c r="AA48" s="14" t="e">
        <f>Z48/Y48</f>
        <v>#VALUE!</v>
      </c>
      <c r="AB48" s="605"/>
      <c r="AC48" s="605"/>
      <c r="AD48" s="492" t="s">
        <v>255</v>
      </c>
      <c r="AE48" s="623"/>
      <c r="AF48" s="197" t="s">
        <v>612</v>
      </c>
      <c r="AG48" s="77">
        <v>441</v>
      </c>
      <c r="AH48" s="14" t="e">
        <f>AG48/AF48</f>
        <v>#VALUE!</v>
      </c>
      <c r="AI48" s="605"/>
      <c r="AJ48" s="605"/>
      <c r="AK48" s="492" t="s">
        <v>255</v>
      </c>
      <c r="AL48" s="621"/>
      <c r="AM48" s="102" t="s">
        <v>612</v>
      </c>
      <c r="AN48" s="61" t="s">
        <v>33</v>
      </c>
      <c r="AO48" s="14" t="e">
        <f>AN48/AM48</f>
        <v>#VALUE!</v>
      </c>
      <c r="AP48" s="640"/>
      <c r="AQ48" s="640"/>
      <c r="AR48" s="492" t="s">
        <v>255</v>
      </c>
      <c r="AS48" s="763"/>
      <c r="AT48" s="253">
        <v>12</v>
      </c>
      <c r="AU48" s="254">
        <v>3</v>
      </c>
      <c r="AV48" s="14">
        <f>AU48/AT48</f>
        <v>0.25</v>
      </c>
      <c r="AW48" s="271" t="s">
        <v>776</v>
      </c>
      <c r="AX48" s="271" t="s">
        <v>776</v>
      </c>
      <c r="AY48" s="492" t="s">
        <v>255</v>
      </c>
      <c r="AZ48" s="310" t="s">
        <v>812</v>
      </c>
      <c r="BA48" s="123">
        <v>1</v>
      </c>
      <c r="BB48" s="224">
        <v>4</v>
      </c>
      <c r="BC48" s="14">
        <f>BB48/BA48</f>
        <v>4</v>
      </c>
      <c r="BD48" s="605"/>
      <c r="BE48" s="605"/>
      <c r="BF48" s="492" t="s">
        <v>255</v>
      </c>
      <c r="BG48" s="778" t="s">
        <v>873</v>
      </c>
      <c r="BH48" s="197">
        <v>0.7</v>
      </c>
      <c r="BI48" s="77">
        <v>0</v>
      </c>
      <c r="BJ48" s="14" t="s">
        <v>519</v>
      </c>
      <c r="BK48" s="605"/>
      <c r="BL48" s="605"/>
      <c r="BM48" s="492" t="s">
        <v>255</v>
      </c>
      <c r="BN48" s="183" t="s">
        <v>520</v>
      </c>
      <c r="BO48" s="331">
        <v>1800</v>
      </c>
      <c r="BP48" s="77">
        <v>1361</v>
      </c>
      <c r="BQ48" s="14">
        <f>BP48/BO48</f>
        <v>0.75611111111111107</v>
      </c>
      <c r="BR48" s="605">
        <v>1000000000</v>
      </c>
      <c r="BS48" s="605" t="s">
        <v>446</v>
      </c>
      <c r="BT48" s="492" t="s">
        <v>255</v>
      </c>
      <c r="BU48" s="183" t="s">
        <v>1108</v>
      </c>
      <c r="BV48" s="88">
        <v>1</v>
      </c>
      <c r="BW48" s="188">
        <v>1</v>
      </c>
      <c r="BX48" s="14">
        <f>BW48/BV48</f>
        <v>1</v>
      </c>
      <c r="BY48" s="513">
        <f>6000000+10000000</f>
        <v>16000000</v>
      </c>
      <c r="BZ48" s="513">
        <f>6000000+10000000</f>
        <v>16000000</v>
      </c>
      <c r="CA48" s="677">
        <f>BZ48/BY48</f>
        <v>1</v>
      </c>
      <c r="CB48" s="77" t="s">
        <v>930</v>
      </c>
      <c r="CC48" s="225" t="s">
        <v>1003</v>
      </c>
      <c r="CD48" s="88">
        <v>1</v>
      </c>
      <c r="CE48" s="188">
        <v>1</v>
      </c>
      <c r="CF48" s="315">
        <f>CE48/CD48</f>
        <v>1</v>
      </c>
      <c r="CG48" s="521">
        <f>6000000+10000000</f>
        <v>16000000</v>
      </c>
      <c r="CH48" s="521">
        <f>6000000+10000000</f>
        <v>16000000</v>
      </c>
      <c r="CI48" s="523">
        <f>CH48/CG48</f>
        <v>1</v>
      </c>
      <c r="CJ48" s="77" t="s">
        <v>930</v>
      </c>
      <c r="CK48" s="86" t="s">
        <v>1109</v>
      </c>
      <c r="CL48" s="56">
        <v>1</v>
      </c>
      <c r="CM48" s="56">
        <v>1</v>
      </c>
      <c r="CN48" s="173">
        <f>CM48/CL48</f>
        <v>1</v>
      </c>
      <c r="CO48" s="403">
        <f>163363764+14800000</f>
        <v>178163764</v>
      </c>
      <c r="CP48" s="403">
        <f>42071436+7400000</f>
        <v>49471436</v>
      </c>
      <c r="CQ48" s="472">
        <f>CP48/CO48</f>
        <v>0.27767394945697266</v>
      </c>
      <c r="CR48" s="77" t="s">
        <v>930</v>
      </c>
      <c r="CS48" s="233" t="s">
        <v>1197</v>
      </c>
      <c r="CT48" s="188">
        <v>1</v>
      </c>
      <c r="CU48" s="188">
        <v>1</v>
      </c>
      <c r="CV48" s="315">
        <f>CU48/CT48</f>
        <v>1</v>
      </c>
      <c r="CW48" s="521">
        <v>178163764</v>
      </c>
      <c r="CX48" s="521">
        <v>49471436</v>
      </c>
      <c r="CY48" s="523">
        <f>CX48/CW48</f>
        <v>0.27767394945697266</v>
      </c>
      <c r="CZ48" s="77" t="s">
        <v>930</v>
      </c>
      <c r="DA48" s="86" t="s">
        <v>1110</v>
      </c>
      <c r="DB48" s="188">
        <v>1</v>
      </c>
      <c r="DC48" s="71">
        <v>1</v>
      </c>
      <c r="DD48" s="297">
        <v>1</v>
      </c>
    </row>
    <row r="49" spans="1:108" ht="104.25" customHeight="1" x14ac:dyDescent="0.25">
      <c r="A49" s="812"/>
      <c r="B49" s="492"/>
      <c r="C49" s="614"/>
      <c r="D49" s="604"/>
      <c r="E49" s="492"/>
      <c r="F49" s="77" t="s">
        <v>134</v>
      </c>
      <c r="G49" s="77" t="s">
        <v>116</v>
      </c>
      <c r="H49" s="77" t="s">
        <v>927</v>
      </c>
      <c r="I49" s="77" t="s">
        <v>135</v>
      </c>
      <c r="J49" s="77" t="s">
        <v>118</v>
      </c>
      <c r="K49" s="492"/>
      <c r="L49" s="492"/>
      <c r="M49" s="492"/>
      <c r="N49" s="492"/>
      <c r="O49" s="492"/>
      <c r="P49" s="492"/>
      <c r="Q49" s="118" t="s">
        <v>118</v>
      </c>
      <c r="R49" s="84" t="s">
        <v>33</v>
      </c>
      <c r="S49" s="607"/>
      <c r="T49" s="607"/>
      <c r="U49" s="607"/>
      <c r="V49" s="607"/>
      <c r="W49" s="492"/>
      <c r="X49" s="181"/>
      <c r="Y49" s="84" t="s">
        <v>33</v>
      </c>
      <c r="Z49" s="82">
        <v>1</v>
      </c>
      <c r="AA49" s="14">
        <v>1</v>
      </c>
      <c r="AB49" s="605"/>
      <c r="AC49" s="605"/>
      <c r="AD49" s="492"/>
      <c r="AE49" s="332" t="s">
        <v>604</v>
      </c>
      <c r="AF49" s="604">
        <v>4</v>
      </c>
      <c r="AG49" s="541">
        <v>0.04</v>
      </c>
      <c r="AH49" s="14">
        <v>1</v>
      </c>
      <c r="AI49" s="605" t="s">
        <v>636</v>
      </c>
      <c r="AJ49" s="605" t="s">
        <v>637</v>
      </c>
      <c r="AK49" s="492"/>
      <c r="AL49" s="622" t="s">
        <v>676</v>
      </c>
      <c r="AM49" s="642">
        <v>5</v>
      </c>
      <c r="AN49" s="550">
        <v>5</v>
      </c>
      <c r="AO49" s="14">
        <v>1</v>
      </c>
      <c r="AP49" s="640" t="s">
        <v>719</v>
      </c>
      <c r="AQ49" s="640" t="s">
        <v>720</v>
      </c>
      <c r="AR49" s="492"/>
      <c r="AS49" s="763" t="s">
        <v>755</v>
      </c>
      <c r="AT49" s="696">
        <v>6</v>
      </c>
      <c r="AU49" s="697">
        <v>3</v>
      </c>
      <c r="AV49" s="14">
        <v>1</v>
      </c>
      <c r="AW49" s="661" t="s">
        <v>776</v>
      </c>
      <c r="AX49" s="661" t="s">
        <v>776</v>
      </c>
      <c r="AY49" s="492"/>
      <c r="AZ49" s="715" t="s">
        <v>813</v>
      </c>
      <c r="BA49" s="102" t="s">
        <v>612</v>
      </c>
      <c r="BB49" s="77">
        <v>200</v>
      </c>
      <c r="BC49" s="14">
        <v>1</v>
      </c>
      <c r="BD49" s="605"/>
      <c r="BE49" s="605"/>
      <c r="BF49" s="492"/>
      <c r="BG49" s="202" t="s">
        <v>874</v>
      </c>
      <c r="BH49" s="219">
        <v>0.15</v>
      </c>
      <c r="BI49" s="212">
        <v>0.1227</v>
      </c>
      <c r="BJ49" s="14">
        <v>1</v>
      </c>
      <c r="BK49" s="605"/>
      <c r="BL49" s="605"/>
      <c r="BM49" s="492"/>
      <c r="BN49" s="226" t="s">
        <v>521</v>
      </c>
      <c r="BO49" s="219">
        <v>0.15</v>
      </c>
      <c r="BP49" s="212">
        <v>0.1227</v>
      </c>
      <c r="BQ49" s="14">
        <v>1</v>
      </c>
      <c r="BR49" s="605"/>
      <c r="BS49" s="605"/>
      <c r="BT49" s="492"/>
      <c r="BU49" s="333" t="s">
        <v>1111</v>
      </c>
      <c r="BV49" s="188">
        <v>0.15</v>
      </c>
      <c r="BW49" s="212">
        <v>0.1227</v>
      </c>
      <c r="BX49" s="14">
        <v>1</v>
      </c>
      <c r="BY49" s="515"/>
      <c r="BZ49" s="515"/>
      <c r="CA49" s="678"/>
      <c r="CB49" s="77" t="s">
        <v>927</v>
      </c>
      <c r="CC49" s="227" t="s">
        <v>974</v>
      </c>
      <c r="CD49" s="77" t="s">
        <v>902</v>
      </c>
      <c r="CE49" s="316">
        <v>0.1227</v>
      </c>
      <c r="CF49" s="68">
        <v>1</v>
      </c>
      <c r="CG49" s="522"/>
      <c r="CH49" s="522"/>
      <c r="CI49" s="524"/>
      <c r="CJ49" s="77" t="s">
        <v>927</v>
      </c>
      <c r="CK49" s="308" t="s">
        <v>1112</v>
      </c>
      <c r="CL49" s="45" t="s">
        <v>118</v>
      </c>
      <c r="CM49" s="53">
        <v>0.1227</v>
      </c>
      <c r="CN49" s="49">
        <v>1</v>
      </c>
      <c r="CO49" s="405"/>
      <c r="CP49" s="405"/>
      <c r="CQ49" s="473"/>
      <c r="CR49" s="77" t="s">
        <v>927</v>
      </c>
      <c r="CS49" s="240" t="s">
        <v>1198</v>
      </c>
      <c r="CT49" s="77" t="s">
        <v>118</v>
      </c>
      <c r="CU49" s="316">
        <v>0.1227</v>
      </c>
      <c r="CV49" s="68">
        <v>1</v>
      </c>
      <c r="CW49" s="522"/>
      <c r="CX49" s="522"/>
      <c r="CY49" s="524"/>
      <c r="CZ49" s="77" t="s">
        <v>927</v>
      </c>
      <c r="DA49" s="308" t="s">
        <v>1113</v>
      </c>
      <c r="DB49" s="77" t="s">
        <v>953</v>
      </c>
      <c r="DC49" s="334">
        <v>0.1227</v>
      </c>
      <c r="DD49" s="297">
        <v>1</v>
      </c>
    </row>
    <row r="50" spans="1:108" ht="41.25" customHeight="1" x14ac:dyDescent="0.25">
      <c r="A50" s="812"/>
      <c r="B50" s="492"/>
      <c r="C50" s="614"/>
      <c r="D50" s="604" t="s">
        <v>136</v>
      </c>
      <c r="E50" s="562" t="s">
        <v>137</v>
      </c>
      <c r="F50" s="562" t="s">
        <v>422</v>
      </c>
      <c r="G50" s="562" t="s">
        <v>423</v>
      </c>
      <c r="H50" s="417" t="s">
        <v>931</v>
      </c>
      <c r="I50" s="562">
        <v>1</v>
      </c>
      <c r="J50" s="492" t="s">
        <v>424</v>
      </c>
      <c r="K50" s="492" t="s">
        <v>272</v>
      </c>
      <c r="L50" s="492" t="s">
        <v>366</v>
      </c>
      <c r="M50" s="492" t="s">
        <v>321</v>
      </c>
      <c r="N50" s="492" t="s">
        <v>425</v>
      </c>
      <c r="O50" s="492" t="s">
        <v>322</v>
      </c>
      <c r="P50" s="492" t="s">
        <v>323</v>
      </c>
      <c r="Q50" s="622" t="s">
        <v>424</v>
      </c>
      <c r="R50" s="84" t="s">
        <v>33</v>
      </c>
      <c r="S50" s="624"/>
      <c r="T50" s="624"/>
      <c r="U50" s="624"/>
      <c r="V50" s="624"/>
      <c r="W50" s="492" t="s">
        <v>256</v>
      </c>
      <c r="X50" s="181"/>
      <c r="Y50" s="84" t="s">
        <v>33</v>
      </c>
      <c r="Z50" s="82" t="s">
        <v>29</v>
      </c>
      <c r="AA50" s="527" t="e">
        <f>Z50/Y50</f>
        <v>#VALUE!</v>
      </c>
      <c r="AB50" s="605"/>
      <c r="AC50" s="605"/>
      <c r="AD50" s="492" t="s">
        <v>256</v>
      </c>
      <c r="AE50" s="396" t="s">
        <v>605</v>
      </c>
      <c r="AF50" s="604"/>
      <c r="AG50" s="541"/>
      <c r="AH50" s="527" t="e">
        <f>AG50/AF50</f>
        <v>#DIV/0!</v>
      </c>
      <c r="AI50" s="605"/>
      <c r="AJ50" s="605"/>
      <c r="AK50" s="492" t="s">
        <v>256</v>
      </c>
      <c r="AL50" s="622"/>
      <c r="AM50" s="642"/>
      <c r="AN50" s="550"/>
      <c r="AO50" s="527" t="e">
        <f>AN50/AM50</f>
        <v>#DIV/0!</v>
      </c>
      <c r="AP50" s="640"/>
      <c r="AQ50" s="640"/>
      <c r="AR50" s="492" t="s">
        <v>256</v>
      </c>
      <c r="AS50" s="763"/>
      <c r="AT50" s="696"/>
      <c r="AU50" s="697"/>
      <c r="AV50" s="527" t="e">
        <f>AU50/AT50</f>
        <v>#DIV/0!</v>
      </c>
      <c r="AW50" s="661"/>
      <c r="AX50" s="661"/>
      <c r="AY50" s="492" t="s">
        <v>256</v>
      </c>
      <c r="AZ50" s="715"/>
      <c r="BA50" s="604">
        <v>1</v>
      </c>
      <c r="BB50" s="492" t="s">
        <v>835</v>
      </c>
      <c r="BC50" s="527" t="e">
        <f>BB50/BA50</f>
        <v>#VALUE!</v>
      </c>
      <c r="BD50" s="605">
        <v>562895700</v>
      </c>
      <c r="BE50" s="605">
        <v>256575255</v>
      </c>
      <c r="BF50" s="492" t="s">
        <v>256</v>
      </c>
      <c r="BG50" s="763" t="s">
        <v>875</v>
      </c>
      <c r="BH50" s="633">
        <v>0.01</v>
      </c>
      <c r="BI50" s="527">
        <v>0</v>
      </c>
      <c r="BJ50" s="527">
        <f>BI50/BH50</f>
        <v>0</v>
      </c>
      <c r="BK50" s="605">
        <v>3000000</v>
      </c>
      <c r="BL50" s="605">
        <v>3000000</v>
      </c>
      <c r="BM50" s="492" t="s">
        <v>256</v>
      </c>
      <c r="BN50" s="670" t="s">
        <v>954</v>
      </c>
      <c r="BO50" s="671">
        <v>0.01</v>
      </c>
      <c r="BP50" s="527">
        <v>0.01</v>
      </c>
      <c r="BQ50" s="527">
        <f>BP50/BO50</f>
        <v>1</v>
      </c>
      <c r="BR50" s="605">
        <v>3000000</v>
      </c>
      <c r="BS50" s="605">
        <v>3000000</v>
      </c>
      <c r="BT50" s="492" t="s">
        <v>256</v>
      </c>
      <c r="BU50" s="670" t="s">
        <v>1114</v>
      </c>
      <c r="BV50" s="525">
        <v>0.01</v>
      </c>
      <c r="BW50" s="527">
        <v>0.01</v>
      </c>
      <c r="BX50" s="527">
        <f>BW50/BV50</f>
        <v>1</v>
      </c>
      <c r="BY50" s="513">
        <f>3800000+5600000</f>
        <v>9400000</v>
      </c>
      <c r="BZ50" s="513">
        <f>3800000+3000000+5600000</f>
        <v>12400000</v>
      </c>
      <c r="CA50" s="677">
        <v>1</v>
      </c>
      <c r="CB50" s="417" t="s">
        <v>931</v>
      </c>
      <c r="CC50" s="681" t="s">
        <v>975</v>
      </c>
      <c r="CD50" s="525">
        <v>0.01</v>
      </c>
      <c r="CE50" s="527">
        <v>0.01</v>
      </c>
      <c r="CF50" s="509">
        <f>CE50/CD50</f>
        <v>1</v>
      </c>
      <c r="CG50" s="521">
        <f>3800000+5600000</f>
        <v>9400000</v>
      </c>
      <c r="CH50" s="521">
        <f>3800000+3000000+5600000</f>
        <v>12400000</v>
      </c>
      <c r="CI50" s="516">
        <v>1</v>
      </c>
      <c r="CJ50" s="417" t="s">
        <v>931</v>
      </c>
      <c r="CK50" s="528" t="s">
        <v>1115</v>
      </c>
      <c r="CL50" s="421">
        <v>0.01</v>
      </c>
      <c r="CM50" s="423">
        <v>0.01</v>
      </c>
      <c r="CN50" s="434">
        <f>CM50/CL50</f>
        <v>1</v>
      </c>
      <c r="CO50" s="403">
        <f>3800000+5600000</f>
        <v>9400000</v>
      </c>
      <c r="CP50" s="403">
        <f>3800000+3000000+5600000</f>
        <v>12400000</v>
      </c>
      <c r="CQ50" s="419">
        <v>1</v>
      </c>
      <c r="CR50" s="417" t="s">
        <v>931</v>
      </c>
      <c r="CS50" s="471" t="s">
        <v>1199</v>
      </c>
      <c r="CT50" s="594">
        <v>0.01</v>
      </c>
      <c r="CU50" s="527">
        <v>0.01</v>
      </c>
      <c r="CV50" s="509">
        <f>CU50/CT50</f>
        <v>1</v>
      </c>
      <c r="CW50" s="521">
        <f>3800000+5600000 + 14800000</f>
        <v>24200000</v>
      </c>
      <c r="CX50" s="521">
        <f>3800000+3000000+5600000+7400000</f>
        <v>19800000</v>
      </c>
      <c r="CY50" s="516">
        <v>1</v>
      </c>
      <c r="CZ50" s="417" t="s">
        <v>931</v>
      </c>
      <c r="DA50" s="528" t="s">
        <v>1116</v>
      </c>
      <c r="DB50" s="492" t="s">
        <v>424</v>
      </c>
      <c r="DC50" s="677">
        <v>0.01</v>
      </c>
      <c r="DD50" s="516">
        <v>1</v>
      </c>
    </row>
    <row r="51" spans="1:108" ht="76.5" customHeight="1" x14ac:dyDescent="0.25">
      <c r="A51" s="812"/>
      <c r="B51" s="492"/>
      <c r="C51" s="614"/>
      <c r="D51" s="604"/>
      <c r="E51" s="562"/>
      <c r="F51" s="562"/>
      <c r="G51" s="562"/>
      <c r="H51" s="418"/>
      <c r="I51" s="562"/>
      <c r="J51" s="492"/>
      <c r="K51" s="492"/>
      <c r="L51" s="492"/>
      <c r="M51" s="492"/>
      <c r="N51" s="492"/>
      <c r="O51" s="492"/>
      <c r="P51" s="492"/>
      <c r="Q51" s="622"/>
      <c r="R51" s="84" t="s">
        <v>33</v>
      </c>
      <c r="S51" s="607"/>
      <c r="T51" s="607"/>
      <c r="U51" s="607"/>
      <c r="V51" s="607"/>
      <c r="W51" s="492"/>
      <c r="X51" s="623"/>
      <c r="Y51" s="84" t="s">
        <v>33</v>
      </c>
      <c r="Z51" s="82" t="s">
        <v>29</v>
      </c>
      <c r="AA51" s="527"/>
      <c r="AB51" s="605"/>
      <c r="AC51" s="605"/>
      <c r="AD51" s="492"/>
      <c r="AE51" s="623" t="s">
        <v>606</v>
      </c>
      <c r="AF51" s="633" t="s">
        <v>613</v>
      </c>
      <c r="AG51" s="548" t="s">
        <v>613</v>
      </c>
      <c r="AH51" s="527"/>
      <c r="AI51" s="605" t="s">
        <v>623</v>
      </c>
      <c r="AJ51" s="605" t="s">
        <v>624</v>
      </c>
      <c r="AK51" s="492"/>
      <c r="AL51" s="621" t="s">
        <v>677</v>
      </c>
      <c r="AM51" s="604" t="s">
        <v>613</v>
      </c>
      <c r="AN51" s="492" t="s">
        <v>613</v>
      </c>
      <c r="AO51" s="527"/>
      <c r="AP51" s="605" t="s">
        <v>721</v>
      </c>
      <c r="AQ51" s="649">
        <v>23220000</v>
      </c>
      <c r="AR51" s="492"/>
      <c r="AS51" s="761" t="s">
        <v>756</v>
      </c>
      <c r="AT51" s="696">
        <v>1</v>
      </c>
      <c r="AU51" s="697">
        <v>1</v>
      </c>
      <c r="AV51" s="527"/>
      <c r="AW51" s="661" t="s">
        <v>776</v>
      </c>
      <c r="AX51" s="661" t="s">
        <v>776</v>
      </c>
      <c r="AY51" s="492"/>
      <c r="AZ51" s="716" t="s">
        <v>814</v>
      </c>
      <c r="BA51" s="604"/>
      <c r="BB51" s="492"/>
      <c r="BC51" s="527"/>
      <c r="BD51" s="605"/>
      <c r="BE51" s="605"/>
      <c r="BF51" s="492"/>
      <c r="BG51" s="763"/>
      <c r="BH51" s="604"/>
      <c r="BI51" s="527"/>
      <c r="BJ51" s="527"/>
      <c r="BK51" s="605"/>
      <c r="BL51" s="605"/>
      <c r="BM51" s="492"/>
      <c r="BN51" s="626"/>
      <c r="BO51" s="671"/>
      <c r="BP51" s="527"/>
      <c r="BQ51" s="527"/>
      <c r="BR51" s="605"/>
      <c r="BS51" s="605"/>
      <c r="BT51" s="492"/>
      <c r="BU51" s="626"/>
      <c r="BV51" s="526"/>
      <c r="BW51" s="527"/>
      <c r="BX51" s="527"/>
      <c r="BY51" s="515"/>
      <c r="BZ51" s="515"/>
      <c r="CA51" s="678"/>
      <c r="CB51" s="418"/>
      <c r="CC51" s="676"/>
      <c r="CD51" s="526"/>
      <c r="CE51" s="527"/>
      <c r="CF51" s="509"/>
      <c r="CG51" s="522"/>
      <c r="CH51" s="522"/>
      <c r="CI51" s="518"/>
      <c r="CJ51" s="418"/>
      <c r="CK51" s="529"/>
      <c r="CL51" s="413"/>
      <c r="CM51" s="423"/>
      <c r="CN51" s="434"/>
      <c r="CO51" s="405"/>
      <c r="CP51" s="405"/>
      <c r="CQ51" s="420"/>
      <c r="CR51" s="418"/>
      <c r="CS51" s="411"/>
      <c r="CT51" s="418"/>
      <c r="CU51" s="527"/>
      <c r="CV51" s="509"/>
      <c r="CW51" s="522"/>
      <c r="CX51" s="522"/>
      <c r="CY51" s="518"/>
      <c r="CZ51" s="418"/>
      <c r="DA51" s="529"/>
      <c r="DB51" s="492"/>
      <c r="DC51" s="678"/>
      <c r="DD51" s="518"/>
    </row>
    <row r="52" spans="1:108" ht="60" customHeight="1" x14ac:dyDescent="0.25">
      <c r="A52" s="812"/>
      <c r="B52" s="492"/>
      <c r="C52" s="614"/>
      <c r="D52" s="604" t="s">
        <v>138</v>
      </c>
      <c r="E52" s="492" t="s">
        <v>139</v>
      </c>
      <c r="F52" s="492" t="s">
        <v>140</v>
      </c>
      <c r="G52" s="492" t="s">
        <v>141</v>
      </c>
      <c r="H52" s="417" t="s">
        <v>932</v>
      </c>
      <c r="I52" s="492" t="s">
        <v>29</v>
      </c>
      <c r="J52" s="548">
        <v>1</v>
      </c>
      <c r="K52" s="492" t="s">
        <v>272</v>
      </c>
      <c r="L52" s="492" t="s">
        <v>309</v>
      </c>
      <c r="M52" s="492">
        <v>1905021</v>
      </c>
      <c r="N52" s="492" t="s">
        <v>324</v>
      </c>
      <c r="O52" s="492">
        <v>190502100</v>
      </c>
      <c r="P52" s="492" t="s">
        <v>325</v>
      </c>
      <c r="Q52" s="621">
        <v>1</v>
      </c>
      <c r="R52" s="84" t="s">
        <v>33</v>
      </c>
      <c r="S52" s="607"/>
      <c r="T52" s="607"/>
      <c r="U52" s="607"/>
      <c r="V52" s="607"/>
      <c r="W52" s="492" t="s">
        <v>248</v>
      </c>
      <c r="X52" s="623"/>
      <c r="Y52" s="84" t="s">
        <v>33</v>
      </c>
      <c r="Z52" s="82" t="s">
        <v>29</v>
      </c>
      <c r="AA52" s="527">
        <v>1</v>
      </c>
      <c r="AB52" s="605"/>
      <c r="AC52" s="605"/>
      <c r="AD52" s="492" t="s">
        <v>248</v>
      </c>
      <c r="AE52" s="623"/>
      <c r="AF52" s="633"/>
      <c r="AG52" s="548"/>
      <c r="AH52" s="527">
        <v>1</v>
      </c>
      <c r="AI52" s="605"/>
      <c r="AJ52" s="605"/>
      <c r="AK52" s="492" t="s">
        <v>248</v>
      </c>
      <c r="AL52" s="621"/>
      <c r="AM52" s="604"/>
      <c r="AN52" s="492"/>
      <c r="AO52" s="527">
        <v>1</v>
      </c>
      <c r="AP52" s="605"/>
      <c r="AQ52" s="492"/>
      <c r="AR52" s="492" t="s">
        <v>248</v>
      </c>
      <c r="AS52" s="761"/>
      <c r="AT52" s="696"/>
      <c r="AU52" s="697"/>
      <c r="AV52" s="527">
        <v>1</v>
      </c>
      <c r="AW52" s="661"/>
      <c r="AX52" s="661"/>
      <c r="AY52" s="492" t="s">
        <v>248</v>
      </c>
      <c r="AZ52" s="716"/>
      <c r="BA52" s="664">
        <v>1</v>
      </c>
      <c r="BB52" s="492">
        <v>1</v>
      </c>
      <c r="BC52" s="527">
        <v>1</v>
      </c>
      <c r="BD52" s="605"/>
      <c r="BE52" s="605"/>
      <c r="BF52" s="492" t="s">
        <v>248</v>
      </c>
      <c r="BG52" s="763" t="s">
        <v>868</v>
      </c>
      <c r="BH52" s="725">
        <v>0.7</v>
      </c>
      <c r="BI52" s="527">
        <v>0</v>
      </c>
      <c r="BJ52" s="527">
        <f>BI52/BH52*1</f>
        <v>0</v>
      </c>
      <c r="BK52" s="605"/>
      <c r="BL52" s="605"/>
      <c r="BM52" s="492" t="s">
        <v>248</v>
      </c>
      <c r="BN52" s="626" t="s">
        <v>522</v>
      </c>
      <c r="BO52" s="725">
        <v>0.8</v>
      </c>
      <c r="BP52" s="527">
        <v>1</v>
      </c>
      <c r="BQ52" s="527">
        <v>1</v>
      </c>
      <c r="BR52" s="605">
        <v>0</v>
      </c>
      <c r="BS52" s="605">
        <v>2285000</v>
      </c>
      <c r="BT52" s="492" t="s">
        <v>248</v>
      </c>
      <c r="BU52" s="626" t="s">
        <v>1117</v>
      </c>
      <c r="BV52" s="525">
        <v>0.9</v>
      </c>
      <c r="BW52" s="527">
        <v>1</v>
      </c>
      <c r="BX52" s="527">
        <v>1</v>
      </c>
      <c r="BY52" s="605">
        <v>135994000</v>
      </c>
      <c r="BZ52" s="605">
        <v>117200000</v>
      </c>
      <c r="CA52" s="677">
        <f>BZ52/BY52</f>
        <v>0.86180272659087898</v>
      </c>
      <c r="CB52" s="417" t="s">
        <v>932</v>
      </c>
      <c r="CC52" s="675" t="s">
        <v>976</v>
      </c>
      <c r="CD52" s="525">
        <v>1</v>
      </c>
      <c r="CE52" s="527">
        <v>1</v>
      </c>
      <c r="CF52" s="530">
        <v>1</v>
      </c>
      <c r="CG52" s="500">
        <f>135994000+10200000+1500000</f>
        <v>147694000</v>
      </c>
      <c r="CH52" s="500">
        <f>117200000+10200000+1500000</f>
        <v>128900000</v>
      </c>
      <c r="CI52" s="531">
        <f>CH52/CG52</f>
        <v>0.87275041640147877</v>
      </c>
      <c r="CJ52" s="417" t="s">
        <v>932</v>
      </c>
      <c r="CK52" s="519" t="s">
        <v>1118</v>
      </c>
      <c r="CL52" s="421">
        <v>1</v>
      </c>
      <c r="CM52" s="423">
        <v>1</v>
      </c>
      <c r="CN52" s="424">
        <v>1</v>
      </c>
      <c r="CO52" s="425">
        <v>253333</v>
      </c>
      <c r="CP52" s="425">
        <v>253333</v>
      </c>
      <c r="CQ52" s="465">
        <f>CP52/CO52</f>
        <v>1</v>
      </c>
      <c r="CR52" s="417" t="s">
        <v>932</v>
      </c>
      <c r="CS52" s="409" t="s">
        <v>1200</v>
      </c>
      <c r="CT52" s="594">
        <v>1</v>
      </c>
      <c r="CU52" s="527">
        <v>1</v>
      </c>
      <c r="CV52" s="530">
        <v>1</v>
      </c>
      <c r="CW52" s="500">
        <v>5100000</v>
      </c>
      <c r="CX52" s="500">
        <v>5100000</v>
      </c>
      <c r="CY52" s="531">
        <f>CX52/CW52</f>
        <v>1</v>
      </c>
      <c r="CZ52" s="417" t="s">
        <v>932</v>
      </c>
      <c r="DA52" s="519" t="s">
        <v>1119</v>
      </c>
      <c r="DB52" s="548">
        <v>1</v>
      </c>
      <c r="DC52" s="677">
        <v>1</v>
      </c>
      <c r="DD52" s="509">
        <v>1</v>
      </c>
    </row>
    <row r="53" spans="1:108" ht="144.75" customHeight="1" x14ac:dyDescent="0.25">
      <c r="A53" s="812"/>
      <c r="B53" s="77" t="s">
        <v>90</v>
      </c>
      <c r="C53" s="279" t="s">
        <v>91</v>
      </c>
      <c r="D53" s="604"/>
      <c r="E53" s="492"/>
      <c r="F53" s="492"/>
      <c r="G53" s="492"/>
      <c r="H53" s="418"/>
      <c r="I53" s="492"/>
      <c r="J53" s="548"/>
      <c r="K53" s="492"/>
      <c r="L53" s="492"/>
      <c r="M53" s="492"/>
      <c r="N53" s="492"/>
      <c r="O53" s="492"/>
      <c r="P53" s="492"/>
      <c r="Q53" s="621"/>
      <c r="R53" s="84" t="s">
        <v>33</v>
      </c>
      <c r="S53" s="607"/>
      <c r="T53" s="607"/>
      <c r="U53" s="607"/>
      <c r="V53" s="607"/>
      <c r="W53" s="492"/>
      <c r="X53" s="623"/>
      <c r="Y53" s="84" t="s">
        <v>33</v>
      </c>
      <c r="Z53" s="82" t="s">
        <v>29</v>
      </c>
      <c r="AA53" s="527"/>
      <c r="AB53" s="605"/>
      <c r="AC53" s="605"/>
      <c r="AD53" s="492"/>
      <c r="AE53" s="623"/>
      <c r="AF53" s="123">
        <v>0.2</v>
      </c>
      <c r="AG53" s="77">
        <v>0</v>
      </c>
      <c r="AH53" s="527"/>
      <c r="AI53" s="605" t="s">
        <v>638</v>
      </c>
      <c r="AJ53" s="605" t="s">
        <v>639</v>
      </c>
      <c r="AK53" s="492"/>
      <c r="AL53" s="622" t="s">
        <v>678</v>
      </c>
      <c r="AM53" s="102">
        <v>0.4</v>
      </c>
      <c r="AN53" s="61" t="s">
        <v>33</v>
      </c>
      <c r="AO53" s="527"/>
      <c r="AP53" s="605" t="s">
        <v>722</v>
      </c>
      <c r="AQ53" s="605" t="s">
        <v>723</v>
      </c>
      <c r="AR53" s="492"/>
      <c r="AS53" s="763" t="s">
        <v>757</v>
      </c>
      <c r="AT53" s="253">
        <v>0.6</v>
      </c>
      <c r="AU53" s="254">
        <v>0.15</v>
      </c>
      <c r="AV53" s="527"/>
      <c r="AW53" s="271" t="s">
        <v>776</v>
      </c>
      <c r="AX53" s="271" t="s">
        <v>776</v>
      </c>
      <c r="AY53" s="492"/>
      <c r="AZ53" s="310" t="s">
        <v>815</v>
      </c>
      <c r="BA53" s="664"/>
      <c r="BB53" s="492"/>
      <c r="BC53" s="527"/>
      <c r="BD53" s="605"/>
      <c r="BE53" s="605"/>
      <c r="BF53" s="492"/>
      <c r="BG53" s="763"/>
      <c r="BH53" s="664"/>
      <c r="BI53" s="527"/>
      <c r="BJ53" s="527"/>
      <c r="BK53" s="605"/>
      <c r="BL53" s="605"/>
      <c r="BM53" s="492"/>
      <c r="BN53" s="626"/>
      <c r="BO53" s="664"/>
      <c r="BP53" s="527"/>
      <c r="BQ53" s="527"/>
      <c r="BR53" s="605"/>
      <c r="BS53" s="605"/>
      <c r="BT53" s="492"/>
      <c r="BU53" s="626"/>
      <c r="BV53" s="526"/>
      <c r="BW53" s="527"/>
      <c r="BX53" s="527"/>
      <c r="BY53" s="605"/>
      <c r="BZ53" s="513"/>
      <c r="CA53" s="678"/>
      <c r="CB53" s="418"/>
      <c r="CC53" s="679"/>
      <c r="CD53" s="526"/>
      <c r="CE53" s="527"/>
      <c r="CF53" s="530"/>
      <c r="CG53" s="500"/>
      <c r="CH53" s="521"/>
      <c r="CI53" s="532"/>
      <c r="CJ53" s="418"/>
      <c r="CK53" s="520"/>
      <c r="CL53" s="422"/>
      <c r="CM53" s="423"/>
      <c r="CN53" s="424"/>
      <c r="CO53" s="425"/>
      <c r="CP53" s="403"/>
      <c r="CQ53" s="466"/>
      <c r="CR53" s="418"/>
      <c r="CS53" s="410"/>
      <c r="CT53" s="595"/>
      <c r="CU53" s="527"/>
      <c r="CV53" s="530"/>
      <c r="CW53" s="500"/>
      <c r="CX53" s="521"/>
      <c r="CY53" s="532"/>
      <c r="CZ53" s="418"/>
      <c r="DA53" s="520"/>
      <c r="DB53" s="548"/>
      <c r="DC53" s="678"/>
      <c r="DD53" s="509"/>
    </row>
    <row r="54" spans="1:108" ht="44.25" customHeight="1" x14ac:dyDescent="0.25">
      <c r="A54" s="812"/>
      <c r="B54" s="492" t="s">
        <v>142</v>
      </c>
      <c r="C54" s="614" t="s">
        <v>91</v>
      </c>
      <c r="D54" s="604" t="s">
        <v>143</v>
      </c>
      <c r="E54" s="492" t="s">
        <v>433</v>
      </c>
      <c r="F54" s="77" t="s">
        <v>144</v>
      </c>
      <c r="G54" s="77" t="s">
        <v>145</v>
      </c>
      <c r="H54" s="77" t="s">
        <v>933</v>
      </c>
      <c r="I54" s="77" t="s">
        <v>146</v>
      </c>
      <c r="J54" s="77" t="s">
        <v>147</v>
      </c>
      <c r="K54" s="492" t="s">
        <v>272</v>
      </c>
      <c r="L54" s="492" t="s">
        <v>309</v>
      </c>
      <c r="M54" s="492">
        <v>1905020</v>
      </c>
      <c r="N54" s="492" t="s">
        <v>326</v>
      </c>
      <c r="O54" s="492">
        <v>190502000</v>
      </c>
      <c r="P54" s="492" t="s">
        <v>327</v>
      </c>
      <c r="Q54" s="118" t="s">
        <v>147</v>
      </c>
      <c r="R54" s="84">
        <v>100</v>
      </c>
      <c r="S54" s="624"/>
      <c r="T54" s="624"/>
      <c r="U54" s="624"/>
      <c r="V54" s="624"/>
      <c r="W54" s="139" t="s">
        <v>268</v>
      </c>
      <c r="X54" s="181" t="s">
        <v>474</v>
      </c>
      <c r="Y54" s="84">
        <v>100</v>
      </c>
      <c r="Z54" s="83">
        <v>0.1</v>
      </c>
      <c r="AA54" s="14">
        <v>0.52939999999999998</v>
      </c>
      <c r="AB54" s="605"/>
      <c r="AC54" s="605"/>
      <c r="AD54" s="139" t="s">
        <v>268</v>
      </c>
      <c r="AE54" s="396" t="s">
        <v>607</v>
      </c>
      <c r="AF54" s="633">
        <v>0.16</v>
      </c>
      <c r="AG54" s="492">
        <v>0</v>
      </c>
      <c r="AH54" s="14">
        <v>0.52939999999999998</v>
      </c>
      <c r="AI54" s="605"/>
      <c r="AJ54" s="605"/>
      <c r="AK54" s="139" t="s">
        <v>268</v>
      </c>
      <c r="AL54" s="622"/>
      <c r="AM54" s="694">
        <v>0.15</v>
      </c>
      <c r="AN54" s="695" t="s">
        <v>33</v>
      </c>
      <c r="AO54" s="14">
        <v>0.52939999999999998</v>
      </c>
      <c r="AP54" s="640"/>
      <c r="AQ54" s="640"/>
      <c r="AR54" s="139" t="s">
        <v>268</v>
      </c>
      <c r="AS54" s="763"/>
      <c r="AT54" s="699">
        <v>0.15</v>
      </c>
      <c r="AU54" s="700">
        <v>0.15</v>
      </c>
      <c r="AV54" s="14">
        <v>0.52939999999999998</v>
      </c>
      <c r="AW54" s="661">
        <v>38000000</v>
      </c>
      <c r="AX54" s="661">
        <v>35720000</v>
      </c>
      <c r="AY54" s="139" t="s">
        <v>268</v>
      </c>
      <c r="AZ54" s="658" t="s">
        <v>816</v>
      </c>
      <c r="BA54" s="138">
        <v>12</v>
      </c>
      <c r="BB54" s="139">
        <v>7</v>
      </c>
      <c r="BC54" s="14">
        <v>0.52939999999999998</v>
      </c>
      <c r="BD54" s="228"/>
      <c r="BE54" s="228"/>
      <c r="BF54" s="139" t="s">
        <v>268</v>
      </c>
      <c r="BG54" s="133" t="s">
        <v>876</v>
      </c>
      <c r="BH54" s="123" t="s">
        <v>400</v>
      </c>
      <c r="BI54" s="1">
        <v>6.8000000000000005E-2</v>
      </c>
      <c r="BJ54" s="14">
        <v>0</v>
      </c>
      <c r="BK54" s="605"/>
      <c r="BL54" s="605"/>
      <c r="BM54" s="139" t="s">
        <v>268</v>
      </c>
      <c r="BN54" s="626" t="s">
        <v>523</v>
      </c>
      <c r="BO54" s="123" t="s">
        <v>400</v>
      </c>
      <c r="BP54" s="1">
        <v>6.8000000000000005E-2</v>
      </c>
      <c r="BQ54" s="14">
        <v>0.52939999999999998</v>
      </c>
      <c r="BR54" s="605">
        <v>13200000</v>
      </c>
      <c r="BS54" s="605">
        <v>3300000</v>
      </c>
      <c r="BT54" s="139" t="s">
        <v>268</v>
      </c>
      <c r="BU54" s="626" t="s">
        <v>1120</v>
      </c>
      <c r="BV54" s="77" t="s">
        <v>903</v>
      </c>
      <c r="BW54" s="1">
        <v>6.8000000000000005E-2</v>
      </c>
      <c r="BX54" s="14">
        <v>0.52939999999999998</v>
      </c>
      <c r="BY54" s="513">
        <v>2885000</v>
      </c>
      <c r="BZ54" s="513">
        <v>2885000</v>
      </c>
      <c r="CA54" s="677">
        <f>BZ54/BY54</f>
        <v>1</v>
      </c>
      <c r="CB54" s="77" t="s">
        <v>933</v>
      </c>
      <c r="CC54" s="675" t="s">
        <v>977</v>
      </c>
      <c r="CD54" s="77" t="s">
        <v>903</v>
      </c>
      <c r="CE54" s="1">
        <v>6.8000000000000005E-2</v>
      </c>
      <c r="CF54" s="251">
        <v>0.52939999999999998</v>
      </c>
      <c r="CG54" s="521">
        <f>2885000+1500000</f>
        <v>4385000</v>
      </c>
      <c r="CH54" s="521">
        <f>2885000+1500000</f>
        <v>4385000</v>
      </c>
      <c r="CI54" s="501">
        <f>CH54/CG54</f>
        <v>1</v>
      </c>
      <c r="CJ54" s="77" t="s">
        <v>933</v>
      </c>
      <c r="CK54" s="519" t="s">
        <v>1121</v>
      </c>
      <c r="CL54" s="45" t="s">
        <v>147</v>
      </c>
      <c r="CM54" s="36">
        <v>6.8000000000000005E-2</v>
      </c>
      <c r="CN54" s="40">
        <v>0.52939999999999998</v>
      </c>
      <c r="CO54" s="403">
        <f>839999+532125</f>
        <v>1372124</v>
      </c>
      <c r="CP54" s="403">
        <f>839999+532125</f>
        <v>1372124</v>
      </c>
      <c r="CQ54" s="406">
        <f>CP54/CO54</f>
        <v>1</v>
      </c>
      <c r="CR54" s="77" t="s">
        <v>933</v>
      </c>
      <c r="CS54" s="409" t="s">
        <v>1201</v>
      </c>
      <c r="CT54" s="77" t="s">
        <v>147</v>
      </c>
      <c r="CU54" s="1">
        <v>6.8000000000000005E-2</v>
      </c>
      <c r="CV54" s="251">
        <v>0.52939999999999998</v>
      </c>
      <c r="CW54" s="521">
        <f xml:space="preserve"> 5100000 + 1703000</f>
        <v>6803000</v>
      </c>
      <c r="CX54" s="521">
        <v>6803000</v>
      </c>
      <c r="CY54" s="501">
        <f>CX54/CW54</f>
        <v>1</v>
      </c>
      <c r="CZ54" s="77" t="s">
        <v>933</v>
      </c>
      <c r="DA54" s="519" t="s">
        <v>1122</v>
      </c>
      <c r="DB54" s="77" t="s">
        <v>147</v>
      </c>
      <c r="DC54" s="1">
        <v>6.8000000000000005E-2</v>
      </c>
      <c r="DD54" s="70">
        <v>0</v>
      </c>
    </row>
    <row r="55" spans="1:108" ht="47.25" customHeight="1" x14ac:dyDescent="0.25">
      <c r="A55" s="812"/>
      <c r="B55" s="492"/>
      <c r="C55" s="614"/>
      <c r="D55" s="604"/>
      <c r="E55" s="492"/>
      <c r="F55" s="492" t="s">
        <v>148</v>
      </c>
      <c r="G55" s="492" t="s">
        <v>145</v>
      </c>
      <c r="H55" s="417" t="s">
        <v>927</v>
      </c>
      <c r="I55" s="492" t="s">
        <v>149</v>
      </c>
      <c r="J55" s="492" t="s">
        <v>147</v>
      </c>
      <c r="K55" s="492"/>
      <c r="L55" s="492"/>
      <c r="M55" s="492"/>
      <c r="N55" s="492"/>
      <c r="O55" s="492"/>
      <c r="P55" s="492"/>
      <c r="Q55" s="622" t="s">
        <v>147</v>
      </c>
      <c r="R55" s="84" t="s">
        <v>33</v>
      </c>
      <c r="S55" s="607"/>
      <c r="T55" s="607"/>
      <c r="U55" s="607"/>
      <c r="V55" s="607"/>
      <c r="W55" s="492"/>
      <c r="X55" s="623"/>
      <c r="Y55" s="84" t="s">
        <v>33</v>
      </c>
      <c r="Z55" s="82">
        <v>1</v>
      </c>
      <c r="AA55" s="527">
        <v>0.52939999999999998</v>
      </c>
      <c r="AB55" s="605"/>
      <c r="AC55" s="605"/>
      <c r="AD55" s="492"/>
      <c r="AE55" s="623" t="s">
        <v>608</v>
      </c>
      <c r="AF55" s="633"/>
      <c r="AG55" s="492"/>
      <c r="AH55" s="527">
        <v>0.52939999999999998</v>
      </c>
      <c r="AI55" s="605"/>
      <c r="AJ55" s="605"/>
      <c r="AK55" s="492"/>
      <c r="AL55" s="622"/>
      <c r="AM55" s="694"/>
      <c r="AN55" s="695"/>
      <c r="AO55" s="527">
        <v>0.52939999999999998</v>
      </c>
      <c r="AP55" s="640"/>
      <c r="AQ55" s="640"/>
      <c r="AR55" s="492"/>
      <c r="AS55" s="763"/>
      <c r="AT55" s="699"/>
      <c r="AU55" s="700"/>
      <c r="AV55" s="527">
        <v>0.52939999999999998</v>
      </c>
      <c r="AW55" s="661"/>
      <c r="AX55" s="661"/>
      <c r="AY55" s="492"/>
      <c r="AZ55" s="658"/>
      <c r="BA55" s="604"/>
      <c r="BB55" s="492"/>
      <c r="BC55" s="527">
        <v>0.52939999999999998</v>
      </c>
      <c r="BD55" s="605"/>
      <c r="BE55" s="605"/>
      <c r="BF55" s="492"/>
      <c r="BG55" s="763" t="s">
        <v>877</v>
      </c>
      <c r="BH55" s="604" t="s">
        <v>400</v>
      </c>
      <c r="BI55" s="541">
        <v>6.8000000000000005E-2</v>
      </c>
      <c r="BJ55" s="527">
        <v>0</v>
      </c>
      <c r="BK55" s="605"/>
      <c r="BL55" s="605"/>
      <c r="BM55" s="492"/>
      <c r="BN55" s="626"/>
      <c r="BO55" s="604" t="s">
        <v>400</v>
      </c>
      <c r="BP55" s="541">
        <v>6.8000000000000005E-2</v>
      </c>
      <c r="BQ55" s="527">
        <v>0.52939999999999998</v>
      </c>
      <c r="BR55" s="605"/>
      <c r="BS55" s="605"/>
      <c r="BT55" s="492"/>
      <c r="BU55" s="626"/>
      <c r="BV55" s="417" t="s">
        <v>903</v>
      </c>
      <c r="BW55" s="541">
        <v>6.8000000000000005E-2</v>
      </c>
      <c r="BX55" s="527">
        <v>0.52939999999999998</v>
      </c>
      <c r="BY55" s="514"/>
      <c r="BZ55" s="514"/>
      <c r="CA55" s="682"/>
      <c r="CB55" s="417" t="s">
        <v>927</v>
      </c>
      <c r="CC55" s="679"/>
      <c r="CD55" s="417" t="s">
        <v>903</v>
      </c>
      <c r="CE55" s="541">
        <v>6.8000000000000005E-2</v>
      </c>
      <c r="CF55" s="499">
        <v>0.52939999999999998</v>
      </c>
      <c r="CG55" s="540"/>
      <c r="CH55" s="540"/>
      <c r="CI55" s="502"/>
      <c r="CJ55" s="417" t="s">
        <v>927</v>
      </c>
      <c r="CK55" s="520"/>
      <c r="CL55" s="412" t="s">
        <v>147</v>
      </c>
      <c r="CM55" s="414">
        <v>6.8000000000000005E-2</v>
      </c>
      <c r="CN55" s="416">
        <v>0.52939999999999998</v>
      </c>
      <c r="CO55" s="404"/>
      <c r="CP55" s="404"/>
      <c r="CQ55" s="407"/>
      <c r="CR55" s="417" t="s">
        <v>927</v>
      </c>
      <c r="CS55" s="410"/>
      <c r="CT55" s="417" t="s">
        <v>147</v>
      </c>
      <c r="CU55" s="541">
        <v>6.8000000000000005E-2</v>
      </c>
      <c r="CV55" s="499">
        <v>0.52939999999999998</v>
      </c>
      <c r="CW55" s="540"/>
      <c r="CX55" s="540"/>
      <c r="CY55" s="502"/>
      <c r="CZ55" s="417" t="s">
        <v>927</v>
      </c>
      <c r="DA55" s="520"/>
      <c r="DB55" s="492" t="s">
        <v>147</v>
      </c>
      <c r="DC55" s="612">
        <v>6.8000000000000005E-2</v>
      </c>
      <c r="DD55" s="523">
        <v>0</v>
      </c>
    </row>
    <row r="56" spans="1:108" ht="35.25" customHeight="1" x14ac:dyDescent="0.25">
      <c r="A56" s="812"/>
      <c r="B56" s="492"/>
      <c r="C56" s="614"/>
      <c r="D56" s="604"/>
      <c r="E56" s="492"/>
      <c r="F56" s="492"/>
      <c r="G56" s="492"/>
      <c r="H56" s="418"/>
      <c r="I56" s="492"/>
      <c r="J56" s="492"/>
      <c r="K56" s="492"/>
      <c r="L56" s="492"/>
      <c r="M56" s="492"/>
      <c r="N56" s="492"/>
      <c r="O56" s="492"/>
      <c r="P56" s="492"/>
      <c r="Q56" s="622"/>
      <c r="R56" s="84" t="s">
        <v>33</v>
      </c>
      <c r="S56" s="607"/>
      <c r="T56" s="607"/>
      <c r="U56" s="607"/>
      <c r="V56" s="607"/>
      <c r="W56" s="492"/>
      <c r="X56" s="623"/>
      <c r="Y56" s="84" t="s">
        <v>33</v>
      </c>
      <c r="Z56" s="624">
        <v>1</v>
      </c>
      <c r="AA56" s="527"/>
      <c r="AB56" s="605"/>
      <c r="AC56" s="605"/>
      <c r="AD56" s="492"/>
      <c r="AE56" s="623"/>
      <c r="AF56" s="123" t="s">
        <v>613</v>
      </c>
      <c r="AG56" s="77" t="s">
        <v>613</v>
      </c>
      <c r="AH56" s="527"/>
      <c r="AI56" s="62" t="s">
        <v>623</v>
      </c>
      <c r="AJ56" s="62" t="s">
        <v>624</v>
      </c>
      <c r="AK56" s="492"/>
      <c r="AL56" s="118" t="s">
        <v>679</v>
      </c>
      <c r="AM56" s="109" t="s">
        <v>613</v>
      </c>
      <c r="AN56" s="220" t="s">
        <v>613</v>
      </c>
      <c r="AO56" s="527"/>
      <c r="AP56" s="62" t="s">
        <v>721</v>
      </c>
      <c r="AQ56" s="62">
        <v>22400000</v>
      </c>
      <c r="AR56" s="492"/>
      <c r="AS56" s="767" t="s">
        <v>758</v>
      </c>
      <c r="AT56" s="253">
        <v>1</v>
      </c>
      <c r="AU56" s="254">
        <v>1</v>
      </c>
      <c r="AV56" s="527"/>
      <c r="AW56" s="271" t="s">
        <v>776</v>
      </c>
      <c r="AX56" s="271" t="s">
        <v>776</v>
      </c>
      <c r="AY56" s="492"/>
      <c r="AZ56" s="336" t="s">
        <v>817</v>
      </c>
      <c r="BA56" s="604"/>
      <c r="BB56" s="492"/>
      <c r="BC56" s="527"/>
      <c r="BD56" s="605"/>
      <c r="BE56" s="605"/>
      <c r="BF56" s="492"/>
      <c r="BG56" s="763"/>
      <c r="BH56" s="604"/>
      <c r="BI56" s="492"/>
      <c r="BJ56" s="527"/>
      <c r="BK56" s="605"/>
      <c r="BL56" s="605"/>
      <c r="BM56" s="492"/>
      <c r="BN56" s="626"/>
      <c r="BO56" s="604"/>
      <c r="BP56" s="492"/>
      <c r="BQ56" s="527"/>
      <c r="BR56" s="605"/>
      <c r="BS56" s="605"/>
      <c r="BT56" s="492"/>
      <c r="BU56" s="626"/>
      <c r="BV56" s="418"/>
      <c r="BW56" s="492"/>
      <c r="BX56" s="527"/>
      <c r="BY56" s="515"/>
      <c r="BZ56" s="515"/>
      <c r="CA56" s="678"/>
      <c r="CB56" s="418"/>
      <c r="CC56" s="676"/>
      <c r="CD56" s="418"/>
      <c r="CE56" s="492"/>
      <c r="CF56" s="499"/>
      <c r="CG56" s="522"/>
      <c r="CH56" s="522"/>
      <c r="CI56" s="503"/>
      <c r="CJ56" s="418"/>
      <c r="CK56" s="529"/>
      <c r="CL56" s="413"/>
      <c r="CM56" s="415"/>
      <c r="CN56" s="416"/>
      <c r="CO56" s="405"/>
      <c r="CP56" s="405"/>
      <c r="CQ56" s="408"/>
      <c r="CR56" s="418"/>
      <c r="CS56" s="411"/>
      <c r="CT56" s="418"/>
      <c r="CU56" s="492"/>
      <c r="CV56" s="499"/>
      <c r="CW56" s="522"/>
      <c r="CX56" s="522"/>
      <c r="CY56" s="503"/>
      <c r="CZ56" s="418"/>
      <c r="DA56" s="529"/>
      <c r="DB56" s="492"/>
      <c r="DC56" s="418"/>
      <c r="DD56" s="524"/>
    </row>
    <row r="57" spans="1:108" ht="198.75" customHeight="1" x14ac:dyDescent="0.25">
      <c r="A57" s="812"/>
      <c r="B57" s="492"/>
      <c r="C57" s="614"/>
      <c r="D57" s="123" t="s">
        <v>150</v>
      </c>
      <c r="E57" s="77" t="s">
        <v>151</v>
      </c>
      <c r="F57" s="77" t="s">
        <v>152</v>
      </c>
      <c r="G57" s="77" t="s">
        <v>153</v>
      </c>
      <c r="H57" s="77" t="s">
        <v>934</v>
      </c>
      <c r="I57" s="77" t="s">
        <v>154</v>
      </c>
      <c r="J57" s="77" t="s">
        <v>155</v>
      </c>
      <c r="K57" s="77" t="s">
        <v>272</v>
      </c>
      <c r="L57" s="77" t="s">
        <v>328</v>
      </c>
      <c r="M57" s="77" t="s">
        <v>307</v>
      </c>
      <c r="N57" s="77" t="s">
        <v>369</v>
      </c>
      <c r="O57" s="77" t="s">
        <v>308</v>
      </c>
      <c r="P57" s="77" t="s">
        <v>372</v>
      </c>
      <c r="Q57" s="118" t="s">
        <v>155</v>
      </c>
      <c r="R57" s="84" t="s">
        <v>33</v>
      </c>
      <c r="S57" s="607"/>
      <c r="T57" s="607"/>
      <c r="U57" s="607"/>
      <c r="V57" s="607"/>
      <c r="W57" s="77" t="s">
        <v>263</v>
      </c>
      <c r="X57" s="623"/>
      <c r="Y57" s="84" t="s">
        <v>33</v>
      </c>
      <c r="Z57" s="624"/>
      <c r="AA57" s="14">
        <v>1</v>
      </c>
      <c r="AB57" s="62"/>
      <c r="AC57" s="62"/>
      <c r="AD57" s="77" t="s">
        <v>263</v>
      </c>
      <c r="AE57" s="623"/>
      <c r="AF57" s="197">
        <v>0.9</v>
      </c>
      <c r="AG57" s="188">
        <v>1</v>
      </c>
      <c r="AH57" s="14">
        <v>1</v>
      </c>
      <c r="AI57" s="62" t="s">
        <v>625</v>
      </c>
      <c r="AJ57" s="62" t="s">
        <v>626</v>
      </c>
      <c r="AK57" s="77" t="s">
        <v>263</v>
      </c>
      <c r="AL57" s="133" t="s">
        <v>680</v>
      </c>
      <c r="AM57" s="119">
        <v>0.95</v>
      </c>
      <c r="AN57" s="88">
        <v>0.95</v>
      </c>
      <c r="AO57" s="14">
        <v>1</v>
      </c>
      <c r="AP57" s="93" t="s">
        <v>724</v>
      </c>
      <c r="AQ57" s="93" t="s">
        <v>725</v>
      </c>
      <c r="AR57" s="77" t="s">
        <v>263</v>
      </c>
      <c r="AS57" s="202" t="s">
        <v>759</v>
      </c>
      <c r="AT57" s="337">
        <v>1</v>
      </c>
      <c r="AU57" s="281">
        <v>1</v>
      </c>
      <c r="AV57" s="14">
        <v>1</v>
      </c>
      <c r="AW57" s="271" t="s">
        <v>776</v>
      </c>
      <c r="AX57" s="271" t="s">
        <v>776</v>
      </c>
      <c r="AY57" s="77" t="s">
        <v>263</v>
      </c>
      <c r="AZ57" s="338" t="s">
        <v>948</v>
      </c>
      <c r="BA57" s="123">
        <v>390</v>
      </c>
      <c r="BB57" s="77">
        <v>556</v>
      </c>
      <c r="BC57" s="14">
        <v>1</v>
      </c>
      <c r="BD57" s="62">
        <v>0</v>
      </c>
      <c r="BE57" s="62">
        <v>0</v>
      </c>
      <c r="BF57" s="77" t="s">
        <v>263</v>
      </c>
      <c r="BG57" s="133" t="s">
        <v>878</v>
      </c>
      <c r="BH57" s="123" t="s">
        <v>401</v>
      </c>
      <c r="BI57" s="130">
        <v>4358</v>
      </c>
      <c r="BJ57" s="14">
        <v>1</v>
      </c>
      <c r="BK57" s="62"/>
      <c r="BL57" s="62"/>
      <c r="BM57" s="77" t="s">
        <v>263</v>
      </c>
      <c r="BN57" s="203" t="s">
        <v>524</v>
      </c>
      <c r="BO57" s="123" t="s">
        <v>401</v>
      </c>
      <c r="BP57" s="130">
        <v>4358</v>
      </c>
      <c r="BQ57" s="14">
        <v>1</v>
      </c>
      <c r="BR57" s="62"/>
      <c r="BS57" s="62"/>
      <c r="BT57" s="77" t="s">
        <v>263</v>
      </c>
      <c r="BU57" s="203" t="s">
        <v>1123</v>
      </c>
      <c r="BV57" s="229">
        <v>1150</v>
      </c>
      <c r="BW57" s="130">
        <v>4358</v>
      </c>
      <c r="BX57" s="14">
        <v>0</v>
      </c>
      <c r="BY57" s="266">
        <f>10000000+624000+
11170350+
135994000+
624000</f>
        <v>158412350</v>
      </c>
      <c r="BZ57" s="266">
        <f>10000000+624000+
22340700+
546239083+
624000</f>
        <v>579827783</v>
      </c>
      <c r="CA57" s="293">
        <v>1</v>
      </c>
      <c r="CB57" s="77" t="s">
        <v>934</v>
      </c>
      <c r="CC57" s="230" t="s">
        <v>997</v>
      </c>
      <c r="CD57" s="160">
        <v>1100</v>
      </c>
      <c r="CE57" s="130">
        <v>4358</v>
      </c>
      <c r="CF57" s="74">
        <v>0</v>
      </c>
      <c r="CG57" s="266">
        <f>23454000+10000000+624000+1500000+
22340700+
546239083+
624000+9775000+41044500</f>
        <v>655601283</v>
      </c>
      <c r="CH57" s="266">
        <f>41044500+10000000+624000+1500000+
11170350+
135994000+
624000+44965000+41044500</f>
        <v>286966350</v>
      </c>
      <c r="CI57" s="303">
        <f>CH57/CG57</f>
        <v>0.43771474742522737</v>
      </c>
      <c r="CJ57" s="77" t="s">
        <v>934</v>
      </c>
      <c r="CK57" s="221" t="s">
        <v>1124</v>
      </c>
      <c r="CL57" s="45" t="s">
        <v>155</v>
      </c>
      <c r="CM57" s="131">
        <v>4358</v>
      </c>
      <c r="CN57" s="41">
        <v>0</v>
      </c>
      <c r="CO57" s="377">
        <f>532125+10000000</f>
        <v>10532125</v>
      </c>
      <c r="CP57" s="377">
        <v>532125</v>
      </c>
      <c r="CQ57" s="153">
        <f>CP57/CO57</f>
        <v>5.0523992071875336E-2</v>
      </c>
      <c r="CR57" s="77" t="s">
        <v>934</v>
      </c>
      <c r="CS57" s="239" t="s">
        <v>1202</v>
      </c>
      <c r="CT57" s="77" t="s">
        <v>155</v>
      </c>
      <c r="CU57" s="313">
        <v>318</v>
      </c>
      <c r="CV57" s="74">
        <v>1</v>
      </c>
      <c r="CW57" s="339">
        <v>367741</v>
      </c>
      <c r="CX57" s="339">
        <v>367741</v>
      </c>
      <c r="CY57" s="303">
        <f>CX57/CW57</f>
        <v>1</v>
      </c>
      <c r="CZ57" s="77" t="s">
        <v>934</v>
      </c>
      <c r="DA57" s="384" t="s">
        <v>1234</v>
      </c>
      <c r="DB57" s="77" t="s">
        <v>155</v>
      </c>
      <c r="DC57" s="340">
        <v>4358</v>
      </c>
      <c r="DD57" s="303">
        <v>0</v>
      </c>
    </row>
    <row r="58" spans="1:108" ht="205.5" customHeight="1" x14ac:dyDescent="0.25">
      <c r="A58" s="812"/>
      <c r="B58" s="492" t="s">
        <v>156</v>
      </c>
      <c r="C58" s="614" t="s">
        <v>157</v>
      </c>
      <c r="D58" s="123" t="s">
        <v>158</v>
      </c>
      <c r="E58" s="77" t="s">
        <v>159</v>
      </c>
      <c r="F58" s="77" t="s">
        <v>160</v>
      </c>
      <c r="G58" s="77" t="s">
        <v>161</v>
      </c>
      <c r="H58" s="77" t="s">
        <v>935</v>
      </c>
      <c r="I58" s="77" t="s">
        <v>162</v>
      </c>
      <c r="J58" s="77" t="s">
        <v>163</v>
      </c>
      <c r="K58" s="67" t="s">
        <v>272</v>
      </c>
      <c r="L58" s="67" t="s">
        <v>304</v>
      </c>
      <c r="M58" s="67">
        <v>4301037</v>
      </c>
      <c r="N58" s="67" t="s">
        <v>305</v>
      </c>
      <c r="O58" s="67">
        <v>430103704</v>
      </c>
      <c r="P58" s="67" t="s">
        <v>306</v>
      </c>
      <c r="Q58" s="118" t="s">
        <v>163</v>
      </c>
      <c r="R58" s="84" t="s">
        <v>33</v>
      </c>
      <c r="S58" s="624"/>
      <c r="T58" s="624"/>
      <c r="U58" s="624"/>
      <c r="V58" s="624"/>
      <c r="W58" s="71" t="s">
        <v>250</v>
      </c>
      <c r="X58" s="623"/>
      <c r="Y58" s="84" t="s">
        <v>33</v>
      </c>
      <c r="Z58" s="82">
        <v>0</v>
      </c>
      <c r="AA58" s="68">
        <v>1</v>
      </c>
      <c r="AB58" s="66"/>
      <c r="AC58" s="66"/>
      <c r="AD58" s="71" t="s">
        <v>250</v>
      </c>
      <c r="AE58" s="623" t="s">
        <v>609</v>
      </c>
      <c r="AF58" s="123">
        <v>1</v>
      </c>
      <c r="AG58" s="77">
        <v>1</v>
      </c>
      <c r="AH58" s="68">
        <v>1</v>
      </c>
      <c r="AI58" s="605" t="s">
        <v>640</v>
      </c>
      <c r="AJ58" s="605" t="s">
        <v>641</v>
      </c>
      <c r="AK58" s="71" t="s">
        <v>250</v>
      </c>
      <c r="AL58" s="133" t="s">
        <v>681</v>
      </c>
      <c r="AM58" s="102">
        <v>1</v>
      </c>
      <c r="AN58" s="61">
        <v>1</v>
      </c>
      <c r="AO58" s="68">
        <v>1</v>
      </c>
      <c r="AP58" s="649" t="s">
        <v>726</v>
      </c>
      <c r="AQ58" s="492" t="s">
        <v>727</v>
      </c>
      <c r="AR58" s="71" t="s">
        <v>250</v>
      </c>
      <c r="AS58" s="763" t="s">
        <v>760</v>
      </c>
      <c r="AT58" s="696">
        <v>1</v>
      </c>
      <c r="AU58" s="697">
        <v>1</v>
      </c>
      <c r="AV58" s="68">
        <v>1</v>
      </c>
      <c r="AW58" s="709" t="s">
        <v>776</v>
      </c>
      <c r="AX58" s="705" t="s">
        <v>776</v>
      </c>
      <c r="AY58" s="71" t="s">
        <v>250</v>
      </c>
      <c r="AZ58" s="715" t="s">
        <v>818</v>
      </c>
      <c r="BA58" s="103">
        <v>1</v>
      </c>
      <c r="BB58" s="67">
        <v>1</v>
      </c>
      <c r="BC58" s="68">
        <v>1</v>
      </c>
      <c r="BD58" s="66" t="s">
        <v>848</v>
      </c>
      <c r="BE58" s="66">
        <v>31112000</v>
      </c>
      <c r="BF58" s="71" t="s">
        <v>250</v>
      </c>
      <c r="BG58" s="99" t="s">
        <v>879</v>
      </c>
      <c r="BH58" s="107"/>
      <c r="BI58" s="67">
        <v>1</v>
      </c>
      <c r="BJ58" s="68">
        <v>0</v>
      </c>
      <c r="BK58" s="66" t="s">
        <v>525</v>
      </c>
      <c r="BL58" s="66" t="s">
        <v>526</v>
      </c>
      <c r="BM58" s="71" t="s">
        <v>250</v>
      </c>
      <c r="BN58" s="99" t="s">
        <v>527</v>
      </c>
      <c r="BO58" s="107"/>
      <c r="BP58" s="77">
        <v>666</v>
      </c>
      <c r="BQ58" s="68">
        <v>1</v>
      </c>
      <c r="BR58" s="66">
        <v>42833333</v>
      </c>
      <c r="BS58" s="66" t="s">
        <v>568</v>
      </c>
      <c r="BT58" s="71" t="s">
        <v>250</v>
      </c>
      <c r="BU58" s="99" t="s">
        <v>1125</v>
      </c>
      <c r="BV58" s="175">
        <v>90</v>
      </c>
      <c r="BW58" s="77">
        <v>692</v>
      </c>
      <c r="BX58" s="68">
        <v>1</v>
      </c>
      <c r="BY58" s="341">
        <f>20878000000+495000000+177000000</f>
        <v>21550000000</v>
      </c>
      <c r="BZ58" s="341">
        <f>8878000000+177000000+495000000</f>
        <v>9550000000</v>
      </c>
      <c r="CA58" s="304">
        <f>BZ58/BY58</f>
        <v>0.44315545243619492</v>
      </c>
      <c r="CB58" s="77" t="s">
        <v>935</v>
      </c>
      <c r="CC58" s="169" t="s">
        <v>978</v>
      </c>
      <c r="CD58" s="155">
        <v>90</v>
      </c>
      <c r="CE58" s="67">
        <f>692+4</f>
        <v>696</v>
      </c>
      <c r="CF58" s="68">
        <v>1</v>
      </c>
      <c r="CG58" s="341">
        <f>20878000000+495000000+177000000+5000000+1020000+5165000+10000000</f>
        <v>21571185000</v>
      </c>
      <c r="CH58" s="342">
        <f>8878000000+177000000+495000000+5000000+10200000+5165000+10000000</f>
        <v>9580365000</v>
      </c>
      <c r="CI58" s="304">
        <f>CH58/CG58</f>
        <v>0.44412789561630478</v>
      </c>
      <c r="CJ58" s="77" t="s">
        <v>935</v>
      </c>
      <c r="CK58" s="292" t="s">
        <v>1126</v>
      </c>
      <c r="CL58" s="45" t="s">
        <v>163</v>
      </c>
      <c r="CM58" s="52">
        <f>692+4</f>
        <v>696</v>
      </c>
      <c r="CN58" s="49">
        <v>1</v>
      </c>
      <c r="CO58" s="378">
        <f>10000000+11200000</f>
        <v>21200000</v>
      </c>
      <c r="CP58" s="180">
        <v>2800000</v>
      </c>
      <c r="CQ58" s="142">
        <f>CP58/CO58</f>
        <v>0.13207547169811321</v>
      </c>
      <c r="CR58" s="77" t="s">
        <v>935</v>
      </c>
      <c r="CS58" s="238" t="s">
        <v>1203</v>
      </c>
      <c r="CT58" s="77" t="s">
        <v>163</v>
      </c>
      <c r="CU58" s="67">
        <v>37</v>
      </c>
      <c r="CV58" s="68">
        <v>1</v>
      </c>
      <c r="CW58" s="343">
        <v>33278377</v>
      </c>
      <c r="CX58" s="343">
        <v>33278377</v>
      </c>
      <c r="CY58" s="304">
        <f>CX58/CW58</f>
        <v>1</v>
      </c>
      <c r="CZ58" s="77" t="s">
        <v>935</v>
      </c>
      <c r="DA58" s="292" t="s">
        <v>1127</v>
      </c>
      <c r="DB58" s="77">
        <v>90</v>
      </c>
      <c r="DC58" s="249">
        <v>733</v>
      </c>
      <c r="DD58" s="304">
        <v>1</v>
      </c>
    </row>
    <row r="59" spans="1:108" ht="106.5" customHeight="1" x14ac:dyDescent="0.25">
      <c r="A59" s="812"/>
      <c r="B59" s="492"/>
      <c r="C59" s="614"/>
      <c r="D59" s="604" t="s">
        <v>164</v>
      </c>
      <c r="E59" s="492" t="s">
        <v>165</v>
      </c>
      <c r="F59" s="77" t="s">
        <v>166</v>
      </c>
      <c r="G59" s="77" t="s">
        <v>161</v>
      </c>
      <c r="H59" s="77" t="s">
        <v>935</v>
      </c>
      <c r="I59" s="61" t="s">
        <v>162</v>
      </c>
      <c r="J59" s="77" t="s">
        <v>163</v>
      </c>
      <c r="K59" s="562" t="s">
        <v>272</v>
      </c>
      <c r="L59" s="562" t="s">
        <v>329</v>
      </c>
      <c r="M59" s="492">
        <v>4302075</v>
      </c>
      <c r="N59" s="492" t="s">
        <v>330</v>
      </c>
      <c r="O59" s="492">
        <v>430207500</v>
      </c>
      <c r="P59" s="492" t="s">
        <v>331</v>
      </c>
      <c r="Q59" s="118" t="s">
        <v>163</v>
      </c>
      <c r="R59" s="84">
        <v>0</v>
      </c>
      <c r="S59" s="607"/>
      <c r="T59" s="607"/>
      <c r="U59" s="607"/>
      <c r="V59" s="607"/>
      <c r="W59" s="562" t="s">
        <v>257</v>
      </c>
      <c r="X59" s="623"/>
      <c r="Y59" s="84" t="s">
        <v>33</v>
      </c>
      <c r="Z59" s="83">
        <v>0.1</v>
      </c>
      <c r="AA59" s="74" t="e">
        <f>Z59/Y59</f>
        <v>#VALUE!</v>
      </c>
      <c r="AB59" s="500"/>
      <c r="AC59" s="500"/>
      <c r="AD59" s="562" t="s">
        <v>257</v>
      </c>
      <c r="AE59" s="623"/>
      <c r="AF59" s="123">
        <v>1</v>
      </c>
      <c r="AG59" s="77">
        <v>1</v>
      </c>
      <c r="AH59" s="74">
        <f>AG59/AF59</f>
        <v>1</v>
      </c>
      <c r="AI59" s="605"/>
      <c r="AJ59" s="605"/>
      <c r="AK59" s="562" t="s">
        <v>257</v>
      </c>
      <c r="AL59" s="133" t="s">
        <v>681</v>
      </c>
      <c r="AM59" s="102">
        <v>1</v>
      </c>
      <c r="AN59" s="61">
        <v>1</v>
      </c>
      <c r="AO59" s="74">
        <f>AN59/AM59</f>
        <v>1</v>
      </c>
      <c r="AP59" s="550"/>
      <c r="AQ59" s="550"/>
      <c r="AR59" s="562" t="s">
        <v>257</v>
      </c>
      <c r="AS59" s="763"/>
      <c r="AT59" s="696"/>
      <c r="AU59" s="697"/>
      <c r="AV59" s="74" t="e">
        <f>AU59/AT59</f>
        <v>#DIV/0!</v>
      </c>
      <c r="AW59" s="706"/>
      <c r="AX59" s="701"/>
      <c r="AY59" s="562" t="s">
        <v>257</v>
      </c>
      <c r="AZ59" s="715"/>
      <c r="BA59" s="103">
        <v>20</v>
      </c>
      <c r="BB59" s="67">
        <v>923</v>
      </c>
      <c r="BC59" s="74">
        <f>BB59/BA59</f>
        <v>46.15</v>
      </c>
      <c r="BD59" s="500" t="s">
        <v>848</v>
      </c>
      <c r="BE59" s="75">
        <v>623661206</v>
      </c>
      <c r="BF59" s="562" t="s">
        <v>257</v>
      </c>
      <c r="BG59" s="99" t="s">
        <v>880</v>
      </c>
      <c r="BH59" s="104">
        <v>0.7</v>
      </c>
      <c r="BI59" s="73">
        <f>6/12</f>
        <v>0.5</v>
      </c>
      <c r="BJ59" s="74">
        <f>BI59/BH59</f>
        <v>0.7142857142857143</v>
      </c>
      <c r="BK59" s="500" t="s">
        <v>528</v>
      </c>
      <c r="BL59" s="500" t="s">
        <v>529</v>
      </c>
      <c r="BM59" s="562" t="s">
        <v>257</v>
      </c>
      <c r="BN59" s="99" t="s">
        <v>530</v>
      </c>
      <c r="BO59" s="344">
        <v>80</v>
      </c>
      <c r="BP59" s="345">
        <v>69</v>
      </c>
      <c r="BQ59" s="74">
        <f>BP59/BO59</f>
        <v>0.86250000000000004</v>
      </c>
      <c r="BR59" s="500">
        <v>132200000</v>
      </c>
      <c r="BS59" s="500" t="s">
        <v>569</v>
      </c>
      <c r="BT59" s="562" t="s">
        <v>257</v>
      </c>
      <c r="BU59" s="99" t="s">
        <v>1128</v>
      </c>
      <c r="BV59" s="88">
        <v>0.8</v>
      </c>
      <c r="BW59" s="73">
        <v>0.69</v>
      </c>
      <c r="BX59" s="74">
        <f>BW59/BV59</f>
        <v>0.86249999999999993</v>
      </c>
      <c r="BY59" s="521">
        <f>44580000+233685000+
12834828+177000000</f>
        <v>468099828</v>
      </c>
      <c r="BZ59" s="521">
        <f>44580000+233685000+
12834828+
177000000</f>
        <v>468099828</v>
      </c>
      <c r="CA59" s="531">
        <f>BZ59/BY59</f>
        <v>1</v>
      </c>
      <c r="CB59" s="77" t="s">
        <v>935</v>
      </c>
      <c r="CC59" s="169" t="s">
        <v>1010</v>
      </c>
      <c r="CD59" s="155">
        <v>80</v>
      </c>
      <c r="CE59" s="324">
        <v>115</v>
      </c>
      <c r="CF59" s="74">
        <v>1</v>
      </c>
      <c r="CG59" s="521">
        <f>44580000+233685000+242000000+121000000+
12834828+177000000+(2067255637*0.34)+278428571+180000000</f>
        <v>1992395315.5799999</v>
      </c>
      <c r="CH59" s="521">
        <f>44580000+233685000+278428571+278428571+242000000+121000000+
12834828+
177000000+(265643218*0.34)+180000000</f>
        <v>1658275664.1199999</v>
      </c>
      <c r="CI59" s="531">
        <f>CH59/CG59</f>
        <v>0.83230253110551233</v>
      </c>
      <c r="CJ59" s="77" t="s">
        <v>935</v>
      </c>
      <c r="CK59" s="292" t="s">
        <v>1129</v>
      </c>
      <c r="CL59" s="45" t="s">
        <v>163</v>
      </c>
      <c r="CM59" s="177">
        <v>115</v>
      </c>
      <c r="CN59" s="41">
        <v>1</v>
      </c>
      <c r="CO59" s="403">
        <v>3000000</v>
      </c>
      <c r="CP59" s="403">
        <v>0</v>
      </c>
      <c r="CQ59" s="465">
        <f>CP59/CO59</f>
        <v>0</v>
      </c>
      <c r="CR59" s="77" t="s">
        <v>935</v>
      </c>
      <c r="CS59" s="238" t="s">
        <v>1204</v>
      </c>
      <c r="CT59" s="77" t="s">
        <v>163</v>
      </c>
      <c r="CU59" s="325">
        <v>213</v>
      </c>
      <c r="CV59" s="74">
        <v>1</v>
      </c>
      <c r="CW59" s="521">
        <v>126383565</v>
      </c>
      <c r="CX59" s="521">
        <v>126383565</v>
      </c>
      <c r="CY59" s="531">
        <f>CX59/CW59</f>
        <v>1</v>
      </c>
      <c r="CZ59" s="77" t="s">
        <v>935</v>
      </c>
      <c r="DA59" s="292" t="s">
        <v>1130</v>
      </c>
      <c r="DB59" s="77" t="s">
        <v>163</v>
      </c>
      <c r="DC59" s="345">
        <v>69</v>
      </c>
      <c r="DD59" s="74">
        <v>0.69</v>
      </c>
    </row>
    <row r="60" spans="1:108" ht="48" customHeight="1" x14ac:dyDescent="0.25">
      <c r="A60" s="812"/>
      <c r="B60" s="492"/>
      <c r="C60" s="614"/>
      <c r="D60" s="604"/>
      <c r="E60" s="492"/>
      <c r="F60" s="77" t="s">
        <v>167</v>
      </c>
      <c r="G60" s="77" t="s">
        <v>161</v>
      </c>
      <c r="H60" s="77" t="s">
        <v>935</v>
      </c>
      <c r="I60" s="61" t="s">
        <v>162</v>
      </c>
      <c r="J60" s="77" t="s">
        <v>163</v>
      </c>
      <c r="K60" s="562"/>
      <c r="L60" s="562"/>
      <c r="M60" s="492"/>
      <c r="N60" s="492"/>
      <c r="O60" s="492"/>
      <c r="P60" s="492"/>
      <c r="Q60" s="118" t="s">
        <v>163</v>
      </c>
      <c r="R60" s="84">
        <v>0</v>
      </c>
      <c r="S60" s="607"/>
      <c r="T60" s="607"/>
      <c r="U60" s="607"/>
      <c r="V60" s="607"/>
      <c r="W60" s="562"/>
      <c r="X60" s="623"/>
      <c r="Y60" s="84" t="s">
        <v>33</v>
      </c>
      <c r="Z60" s="82">
        <v>1</v>
      </c>
      <c r="AA60" s="74" t="e">
        <f>Z60/Y60</f>
        <v>#VALUE!</v>
      </c>
      <c r="AB60" s="500"/>
      <c r="AC60" s="552"/>
      <c r="AD60" s="562"/>
      <c r="AE60" s="623"/>
      <c r="AF60" s="123" t="s">
        <v>613</v>
      </c>
      <c r="AG60" s="77" t="s">
        <v>613</v>
      </c>
      <c r="AH60" s="74" t="e">
        <f>AG60/AF60</f>
        <v>#VALUE!</v>
      </c>
      <c r="AI60" s="605">
        <v>16300000</v>
      </c>
      <c r="AJ60" s="605">
        <v>14433333</v>
      </c>
      <c r="AK60" s="562"/>
      <c r="AL60" s="133" t="s">
        <v>682</v>
      </c>
      <c r="AM60" s="123" t="s">
        <v>613</v>
      </c>
      <c r="AN60" s="77" t="s">
        <v>613</v>
      </c>
      <c r="AO60" s="74" t="e">
        <f>AN60/AM60</f>
        <v>#VALUE!</v>
      </c>
      <c r="AP60" s="649">
        <v>363307447</v>
      </c>
      <c r="AQ60" s="649">
        <v>73250000</v>
      </c>
      <c r="AR60" s="562"/>
      <c r="AS60" s="763" t="s">
        <v>761</v>
      </c>
      <c r="AT60" s="253">
        <v>1</v>
      </c>
      <c r="AU60" s="254">
        <v>1</v>
      </c>
      <c r="AV60" s="74">
        <f>AU60/AT60</f>
        <v>1</v>
      </c>
      <c r="AW60" s="271" t="s">
        <v>776</v>
      </c>
      <c r="AX60" s="271" t="s">
        <v>776</v>
      </c>
      <c r="AY60" s="562"/>
      <c r="AZ60" s="310" t="s">
        <v>819</v>
      </c>
      <c r="BA60" s="103">
        <v>20</v>
      </c>
      <c r="BB60" s="67">
        <f>20+1755</f>
        <v>1775</v>
      </c>
      <c r="BC60" s="74">
        <f>BB60/BA60</f>
        <v>88.75</v>
      </c>
      <c r="BD60" s="500"/>
      <c r="BE60" s="75">
        <v>75485000</v>
      </c>
      <c r="BF60" s="562"/>
      <c r="BG60" s="99" t="s">
        <v>881</v>
      </c>
      <c r="BH60" s="104">
        <v>0.7</v>
      </c>
      <c r="BI60" s="67">
        <v>0</v>
      </c>
      <c r="BJ60" s="74">
        <v>0</v>
      </c>
      <c r="BK60" s="500"/>
      <c r="BL60" s="552"/>
      <c r="BM60" s="562"/>
      <c r="BN60" s="99" t="s">
        <v>531</v>
      </c>
      <c r="BO60" s="344">
        <v>80</v>
      </c>
      <c r="BP60" s="345">
        <v>69</v>
      </c>
      <c r="BQ60" s="74">
        <f>BP60/BO60</f>
        <v>0.86250000000000004</v>
      </c>
      <c r="BR60" s="500"/>
      <c r="BS60" s="552"/>
      <c r="BT60" s="562"/>
      <c r="BU60" s="99" t="s">
        <v>1131</v>
      </c>
      <c r="BV60" s="88">
        <v>0.9</v>
      </c>
      <c r="BW60" s="73">
        <v>0.69</v>
      </c>
      <c r="BX60" s="74">
        <f>BW60/BV60</f>
        <v>0.76666666666666661</v>
      </c>
      <c r="BY60" s="522"/>
      <c r="BZ60" s="542"/>
      <c r="CA60" s="532"/>
      <c r="CB60" s="77" t="s">
        <v>935</v>
      </c>
      <c r="CC60" s="165" t="s">
        <v>979</v>
      </c>
      <c r="CD60" s="155">
        <v>90</v>
      </c>
      <c r="CE60" s="324">
        <v>20</v>
      </c>
      <c r="CF60" s="74">
        <f>CE60/CD60</f>
        <v>0.22222222222222221</v>
      </c>
      <c r="CG60" s="522"/>
      <c r="CH60" s="542"/>
      <c r="CI60" s="532"/>
      <c r="CJ60" s="77" t="s">
        <v>935</v>
      </c>
      <c r="CK60" s="86" t="s">
        <v>1132</v>
      </c>
      <c r="CL60" s="56">
        <v>0.9</v>
      </c>
      <c r="CM60" s="177">
        <v>0.2</v>
      </c>
      <c r="CN60" s="41">
        <f>CM60/CL60</f>
        <v>0.22222222222222224</v>
      </c>
      <c r="CO60" s="405"/>
      <c r="CP60" s="464"/>
      <c r="CQ60" s="466"/>
      <c r="CR60" s="77" t="s">
        <v>935</v>
      </c>
      <c r="CS60" s="233" t="s">
        <v>1205</v>
      </c>
      <c r="CT60" s="188">
        <v>0.9</v>
      </c>
      <c r="CU60" s="324">
        <v>0.2</v>
      </c>
      <c r="CV60" s="74">
        <f>CU60/CT60</f>
        <v>0.22222222222222224</v>
      </c>
      <c r="CW60" s="522"/>
      <c r="CX60" s="542"/>
      <c r="CY60" s="532"/>
      <c r="CZ60" s="77" t="s">
        <v>935</v>
      </c>
      <c r="DA60" s="86" t="s">
        <v>1133</v>
      </c>
      <c r="DB60" s="77" t="s">
        <v>163</v>
      </c>
      <c r="DC60" s="345">
        <v>69</v>
      </c>
      <c r="DD60" s="251">
        <v>0.69</v>
      </c>
    </row>
    <row r="61" spans="1:108" ht="327.75" customHeight="1" x14ac:dyDescent="0.25">
      <c r="A61" s="812"/>
      <c r="B61" s="492"/>
      <c r="C61" s="614"/>
      <c r="D61" s="604" t="s">
        <v>168</v>
      </c>
      <c r="E61" s="492" t="s">
        <v>169</v>
      </c>
      <c r="F61" s="77" t="s">
        <v>170</v>
      </c>
      <c r="G61" s="77" t="s">
        <v>171</v>
      </c>
      <c r="H61" s="77" t="s">
        <v>936</v>
      </c>
      <c r="I61" s="77" t="s">
        <v>162</v>
      </c>
      <c r="J61" s="77" t="s">
        <v>172</v>
      </c>
      <c r="K61" s="562" t="s">
        <v>272</v>
      </c>
      <c r="L61" s="562" t="s">
        <v>304</v>
      </c>
      <c r="M61" s="562">
        <v>4301037</v>
      </c>
      <c r="N61" s="562" t="s">
        <v>305</v>
      </c>
      <c r="O61" s="562">
        <v>430103704</v>
      </c>
      <c r="P61" s="562" t="s">
        <v>306</v>
      </c>
      <c r="Q61" s="118" t="s">
        <v>172</v>
      </c>
      <c r="R61" s="84"/>
      <c r="S61" s="631"/>
      <c r="T61" s="631">
        <v>0</v>
      </c>
      <c r="U61" s="631"/>
      <c r="V61" s="631" t="s">
        <v>475</v>
      </c>
      <c r="W61" s="562" t="s">
        <v>258</v>
      </c>
      <c r="X61" s="623" t="s">
        <v>476</v>
      </c>
      <c r="Y61" s="84"/>
      <c r="Z61" s="82">
        <v>5</v>
      </c>
      <c r="AA61" s="251">
        <v>1</v>
      </c>
      <c r="AB61" s="500"/>
      <c r="AC61" s="630"/>
      <c r="AD61" s="562" t="s">
        <v>258</v>
      </c>
      <c r="AE61" s="623" t="s">
        <v>610</v>
      </c>
      <c r="AF61" s="123" t="s">
        <v>613</v>
      </c>
      <c r="AG61" s="77" t="s">
        <v>613</v>
      </c>
      <c r="AH61" s="251">
        <v>1</v>
      </c>
      <c r="AI61" s="605"/>
      <c r="AJ61" s="605"/>
      <c r="AK61" s="562" t="s">
        <v>258</v>
      </c>
      <c r="AL61" s="133" t="s">
        <v>682</v>
      </c>
      <c r="AM61" s="123" t="s">
        <v>613</v>
      </c>
      <c r="AN61" s="77" t="s">
        <v>613</v>
      </c>
      <c r="AO61" s="251">
        <v>1</v>
      </c>
      <c r="AP61" s="492"/>
      <c r="AQ61" s="492"/>
      <c r="AR61" s="562" t="s">
        <v>258</v>
      </c>
      <c r="AS61" s="763"/>
      <c r="AT61" s="253">
        <v>1</v>
      </c>
      <c r="AU61" s="254">
        <v>1</v>
      </c>
      <c r="AV61" s="251">
        <v>1</v>
      </c>
      <c r="AW61" s="271" t="s">
        <v>776</v>
      </c>
      <c r="AX61" s="271" t="s">
        <v>776</v>
      </c>
      <c r="AY61" s="562" t="s">
        <v>258</v>
      </c>
      <c r="AZ61" s="310" t="s">
        <v>820</v>
      </c>
      <c r="BA61" s="103">
        <v>13</v>
      </c>
      <c r="BB61" s="67">
        <v>13</v>
      </c>
      <c r="BC61" s="251">
        <v>1</v>
      </c>
      <c r="BD61" s="500"/>
      <c r="BE61" s="500">
        <v>181115580</v>
      </c>
      <c r="BF61" s="562" t="s">
        <v>258</v>
      </c>
      <c r="BG61" s="99" t="s">
        <v>882</v>
      </c>
      <c r="BH61" s="104">
        <v>0.14000000000000001</v>
      </c>
      <c r="BI61" s="67">
        <v>0</v>
      </c>
      <c r="BJ61" s="70">
        <v>0</v>
      </c>
      <c r="BK61" s="75"/>
      <c r="BL61" s="551"/>
      <c r="BM61" s="562" t="s">
        <v>258</v>
      </c>
      <c r="BN61" s="99" t="s">
        <v>532</v>
      </c>
      <c r="BO61" s="104">
        <v>0.16</v>
      </c>
      <c r="BP61" s="71">
        <v>0.2</v>
      </c>
      <c r="BQ61" s="251">
        <v>1</v>
      </c>
      <c r="BR61" s="500" t="s">
        <v>437</v>
      </c>
      <c r="BS61" s="630" t="s">
        <v>570</v>
      </c>
      <c r="BT61" s="562" t="s">
        <v>258</v>
      </c>
      <c r="BU61" s="99" t="s">
        <v>571</v>
      </c>
      <c r="BV61" s="88">
        <v>0.18</v>
      </c>
      <c r="BW61" s="71" t="s">
        <v>1001</v>
      </c>
      <c r="BX61" s="251">
        <v>1</v>
      </c>
      <c r="BY61" s="521">
        <f>1468000000+5250000+
9500000+260366700+90000000</f>
        <v>1833116700</v>
      </c>
      <c r="BZ61" s="630">
        <f>546239083+5250000+9500000+169238355+90000000</f>
        <v>820227438</v>
      </c>
      <c r="CA61" s="501">
        <f>BZ61/BY61</f>
        <v>0.44744965664215486</v>
      </c>
      <c r="CB61" s="77" t="s">
        <v>936</v>
      </c>
      <c r="CC61" s="169" t="s">
        <v>1002</v>
      </c>
      <c r="CD61" s="79">
        <v>0.2</v>
      </c>
      <c r="CE61" s="71" t="s">
        <v>1001</v>
      </c>
      <c r="CF61" s="251">
        <v>1</v>
      </c>
      <c r="CG61" s="521">
        <f>1468000000+5250000+278428571+278428571+121000000+
9500000+260366700+90000000+(2067255637*0.34)+37200000+80000000+92456211</f>
        <v>3423496969.5799999</v>
      </c>
      <c r="CH61" s="543">
        <f>546239083+5250000+9500000+121000000+169238355+90000000+(265643218*0.34)+37200000+278428571+80000000+3182000</f>
        <v>1430356703.1199999</v>
      </c>
      <c r="CI61" s="501">
        <f>CH61/CG61</f>
        <v>0.41780574536202331</v>
      </c>
      <c r="CJ61" s="77" t="s">
        <v>936</v>
      </c>
      <c r="CK61" s="292" t="s">
        <v>1134</v>
      </c>
      <c r="CL61" s="45" t="s">
        <v>172</v>
      </c>
      <c r="CM61" s="54" t="s">
        <v>1001</v>
      </c>
      <c r="CN61" s="40">
        <v>1</v>
      </c>
      <c r="CO61" s="460">
        <f>3000000+11200000</f>
        <v>14200000</v>
      </c>
      <c r="CP61" s="462">
        <v>2800000</v>
      </c>
      <c r="CQ61" s="406">
        <f>CP61/CO61</f>
        <v>0.19718309859154928</v>
      </c>
      <c r="CR61" s="77" t="s">
        <v>936</v>
      </c>
      <c r="CS61" s="238" t="s">
        <v>1206</v>
      </c>
      <c r="CT61" s="77" t="s">
        <v>172</v>
      </c>
      <c r="CU61" s="71" t="s">
        <v>1001</v>
      </c>
      <c r="CV61" s="251">
        <v>1</v>
      </c>
      <c r="CW61" s="596">
        <v>85000000</v>
      </c>
      <c r="CX61" s="596">
        <v>85000000</v>
      </c>
      <c r="CY61" s="501">
        <f>CX61/CW61</f>
        <v>1</v>
      </c>
      <c r="CZ61" s="77" t="s">
        <v>936</v>
      </c>
      <c r="DA61" s="292" t="s">
        <v>1135</v>
      </c>
      <c r="DB61" s="67" t="s">
        <v>172</v>
      </c>
      <c r="DC61" s="71" t="s">
        <v>1001</v>
      </c>
      <c r="DD61" s="335">
        <v>1</v>
      </c>
    </row>
    <row r="62" spans="1:108" ht="297.75" customHeight="1" x14ac:dyDescent="0.25">
      <c r="A62" s="812"/>
      <c r="B62" s="492"/>
      <c r="C62" s="614"/>
      <c r="D62" s="604"/>
      <c r="E62" s="492"/>
      <c r="F62" s="77" t="s">
        <v>173</v>
      </c>
      <c r="G62" s="77" t="s">
        <v>171</v>
      </c>
      <c r="H62" s="77" t="s">
        <v>936</v>
      </c>
      <c r="I62" s="77" t="s">
        <v>174</v>
      </c>
      <c r="J62" s="77" t="s">
        <v>172</v>
      </c>
      <c r="K62" s="562"/>
      <c r="L62" s="562"/>
      <c r="M62" s="562"/>
      <c r="N62" s="562"/>
      <c r="O62" s="562"/>
      <c r="P62" s="562"/>
      <c r="Q62" s="118" t="s">
        <v>172</v>
      </c>
      <c r="R62" s="84"/>
      <c r="S62" s="632"/>
      <c r="T62" s="632"/>
      <c r="U62" s="632"/>
      <c r="V62" s="632"/>
      <c r="W62" s="562"/>
      <c r="X62" s="623"/>
      <c r="Y62" s="84"/>
      <c r="Z62" s="82">
        <v>0</v>
      </c>
      <c r="AA62" s="70">
        <v>0</v>
      </c>
      <c r="AB62" s="500"/>
      <c r="AC62" s="551"/>
      <c r="AD62" s="562"/>
      <c r="AE62" s="623"/>
      <c r="AF62" s="123">
        <v>1</v>
      </c>
      <c r="AG62" s="77">
        <v>1</v>
      </c>
      <c r="AH62" s="70">
        <v>0</v>
      </c>
      <c r="AI62" s="62" t="s">
        <v>642</v>
      </c>
      <c r="AJ62" s="62" t="s">
        <v>642</v>
      </c>
      <c r="AK62" s="562"/>
      <c r="AL62" s="133" t="s">
        <v>683</v>
      </c>
      <c r="AM62" s="102">
        <v>1</v>
      </c>
      <c r="AN62" s="61">
        <v>1</v>
      </c>
      <c r="AO62" s="70">
        <v>0</v>
      </c>
      <c r="AP62" s="62" t="s">
        <v>728</v>
      </c>
      <c r="AQ62" s="62" t="s">
        <v>728</v>
      </c>
      <c r="AR62" s="562"/>
      <c r="AS62" s="133" t="s">
        <v>762</v>
      </c>
      <c r="AT62" s="253">
        <v>1</v>
      </c>
      <c r="AU62" s="254">
        <v>1</v>
      </c>
      <c r="AV62" s="70">
        <v>0</v>
      </c>
      <c r="AW62" s="271" t="s">
        <v>776</v>
      </c>
      <c r="AX62" s="271" t="s">
        <v>776</v>
      </c>
      <c r="AY62" s="562"/>
      <c r="AZ62" s="314" t="s">
        <v>821</v>
      </c>
      <c r="BA62" s="103">
        <v>1</v>
      </c>
      <c r="BB62" s="67">
        <v>1</v>
      </c>
      <c r="BC62" s="70">
        <v>0</v>
      </c>
      <c r="BD62" s="500"/>
      <c r="BE62" s="500"/>
      <c r="BF62" s="562"/>
      <c r="BG62" s="99" t="s">
        <v>883</v>
      </c>
      <c r="BH62" s="104">
        <v>0.14000000000000001</v>
      </c>
      <c r="BI62" s="67">
        <v>0</v>
      </c>
      <c r="BJ62" s="70">
        <v>0</v>
      </c>
      <c r="BK62" s="73"/>
      <c r="BL62" s="551"/>
      <c r="BM62" s="562"/>
      <c r="BN62" s="99" t="s">
        <v>949</v>
      </c>
      <c r="BO62" s="104">
        <v>0.16</v>
      </c>
      <c r="BP62" s="67">
        <v>0</v>
      </c>
      <c r="BQ62" s="70">
        <v>0</v>
      </c>
      <c r="BR62" s="500"/>
      <c r="BS62" s="551"/>
      <c r="BT62" s="562"/>
      <c r="BU62" s="99" t="s">
        <v>950</v>
      </c>
      <c r="BV62" s="88">
        <v>0.18</v>
      </c>
      <c r="BW62" s="71">
        <v>0.79</v>
      </c>
      <c r="BX62" s="70">
        <v>1</v>
      </c>
      <c r="BY62" s="522"/>
      <c r="BZ62" s="551"/>
      <c r="CA62" s="503"/>
      <c r="CB62" s="77" t="s">
        <v>936</v>
      </c>
      <c r="CC62" s="169" t="s">
        <v>1000</v>
      </c>
      <c r="CD62" s="79">
        <v>0.2</v>
      </c>
      <c r="CE62" s="71">
        <v>0.79</v>
      </c>
      <c r="CF62" s="70">
        <v>1</v>
      </c>
      <c r="CG62" s="522"/>
      <c r="CH62" s="543"/>
      <c r="CI62" s="503"/>
      <c r="CJ62" s="77" t="s">
        <v>936</v>
      </c>
      <c r="CK62" s="292" t="s">
        <v>1136</v>
      </c>
      <c r="CL62" s="45" t="s">
        <v>172</v>
      </c>
      <c r="CM62" s="54">
        <v>0.79</v>
      </c>
      <c r="CN62" s="55">
        <v>1</v>
      </c>
      <c r="CO62" s="461"/>
      <c r="CP62" s="463"/>
      <c r="CQ62" s="408"/>
      <c r="CR62" s="77" t="s">
        <v>936</v>
      </c>
      <c r="CS62" s="238" t="s">
        <v>1207</v>
      </c>
      <c r="CT62" s="77" t="s">
        <v>172</v>
      </c>
      <c r="CU62" s="71">
        <v>0.79</v>
      </c>
      <c r="CV62" s="70">
        <v>1</v>
      </c>
      <c r="CW62" s="597"/>
      <c r="CX62" s="597"/>
      <c r="CY62" s="503"/>
      <c r="CZ62" s="77" t="s">
        <v>936</v>
      </c>
      <c r="DA62" s="292" t="s">
        <v>1137</v>
      </c>
      <c r="DB62" s="77" t="s">
        <v>172</v>
      </c>
      <c r="DC62" s="188">
        <v>0.3</v>
      </c>
      <c r="DD62" s="303">
        <v>1</v>
      </c>
    </row>
    <row r="63" spans="1:108" ht="148.5" customHeight="1" x14ac:dyDescent="0.25">
      <c r="A63" s="812"/>
      <c r="B63" s="492"/>
      <c r="C63" s="614"/>
      <c r="D63" s="123" t="s">
        <v>175</v>
      </c>
      <c r="E63" s="77" t="s">
        <v>176</v>
      </c>
      <c r="F63" s="61" t="s">
        <v>177</v>
      </c>
      <c r="G63" s="77" t="s">
        <v>178</v>
      </c>
      <c r="H63" s="77" t="s">
        <v>937</v>
      </c>
      <c r="I63" s="61">
        <v>0</v>
      </c>
      <c r="J63" s="77">
        <v>8</v>
      </c>
      <c r="K63" s="67" t="s">
        <v>272</v>
      </c>
      <c r="L63" s="67" t="s">
        <v>304</v>
      </c>
      <c r="M63" s="67">
        <v>4301037</v>
      </c>
      <c r="N63" s="67" t="s">
        <v>305</v>
      </c>
      <c r="O63" s="67">
        <v>430103704</v>
      </c>
      <c r="P63" s="67" t="s">
        <v>306</v>
      </c>
      <c r="Q63" s="118">
        <v>8</v>
      </c>
      <c r="R63" s="84"/>
      <c r="S63" s="632"/>
      <c r="T63" s="632"/>
      <c r="U63" s="632"/>
      <c r="V63" s="632"/>
      <c r="W63" s="67" t="s">
        <v>259</v>
      </c>
      <c r="X63" s="623"/>
      <c r="Y63" s="84"/>
      <c r="Z63" s="82">
        <v>10</v>
      </c>
      <c r="AA63" s="70">
        <v>1</v>
      </c>
      <c r="AB63" s="346"/>
      <c r="AC63" s="347"/>
      <c r="AD63" s="67" t="s">
        <v>259</v>
      </c>
      <c r="AE63" s="623"/>
      <c r="AF63" s="123">
        <v>3</v>
      </c>
      <c r="AG63" s="77">
        <v>0</v>
      </c>
      <c r="AH63" s="70">
        <v>1</v>
      </c>
      <c r="AI63" s="62" t="s">
        <v>643</v>
      </c>
      <c r="AJ63" s="62" t="s">
        <v>644</v>
      </c>
      <c r="AK63" s="67" t="s">
        <v>259</v>
      </c>
      <c r="AL63" s="133" t="s">
        <v>684</v>
      </c>
      <c r="AM63" s="102">
        <v>3</v>
      </c>
      <c r="AN63" s="61">
        <v>3</v>
      </c>
      <c r="AO63" s="70">
        <v>1</v>
      </c>
      <c r="AP63" s="62">
        <v>15000000</v>
      </c>
      <c r="AQ63" s="62">
        <v>10800000</v>
      </c>
      <c r="AR63" s="67" t="s">
        <v>259</v>
      </c>
      <c r="AS63" s="133" t="s">
        <v>763</v>
      </c>
      <c r="AT63" s="253">
        <v>3</v>
      </c>
      <c r="AU63" s="254">
        <v>3</v>
      </c>
      <c r="AV63" s="70">
        <v>1</v>
      </c>
      <c r="AW63" s="271" t="s">
        <v>776</v>
      </c>
      <c r="AX63" s="271" t="s">
        <v>776</v>
      </c>
      <c r="AY63" s="67" t="s">
        <v>259</v>
      </c>
      <c r="AZ63" s="314" t="s">
        <v>822</v>
      </c>
      <c r="BA63" s="103">
        <v>1</v>
      </c>
      <c r="BB63" s="67">
        <v>3</v>
      </c>
      <c r="BC63" s="70">
        <v>1</v>
      </c>
      <c r="BD63" s="66">
        <v>573181075</v>
      </c>
      <c r="BE63" s="66">
        <v>209343900</v>
      </c>
      <c r="BF63" s="67" t="s">
        <v>259</v>
      </c>
      <c r="BG63" s="120" t="s">
        <v>884</v>
      </c>
      <c r="BH63" s="105">
        <v>6</v>
      </c>
      <c r="BI63" s="67">
        <v>3</v>
      </c>
      <c r="BJ63" s="70">
        <v>0.5</v>
      </c>
      <c r="BK63" s="76">
        <v>490000000</v>
      </c>
      <c r="BL63" s="76">
        <v>490000000</v>
      </c>
      <c r="BM63" s="67" t="s">
        <v>259</v>
      </c>
      <c r="BN63" s="99" t="s">
        <v>533</v>
      </c>
      <c r="BO63" s="105">
        <v>6</v>
      </c>
      <c r="BP63" s="67">
        <v>10</v>
      </c>
      <c r="BQ63" s="70">
        <v>1</v>
      </c>
      <c r="BR63" s="346">
        <v>130000000</v>
      </c>
      <c r="BS63" s="348" t="s">
        <v>572</v>
      </c>
      <c r="BT63" s="67" t="s">
        <v>259</v>
      </c>
      <c r="BU63" s="99" t="s">
        <v>573</v>
      </c>
      <c r="BV63" s="155">
        <v>7</v>
      </c>
      <c r="BW63" s="67">
        <v>7</v>
      </c>
      <c r="BX63" s="70">
        <v>1</v>
      </c>
      <c r="BY63" s="346">
        <f>9000000+43275000+
83000</f>
        <v>52358000</v>
      </c>
      <c r="BZ63" s="346">
        <f>9000000+43275000+
83000</f>
        <v>52358000</v>
      </c>
      <c r="CA63" s="70">
        <f>BZ63/BY63</f>
        <v>1</v>
      </c>
      <c r="CB63" s="77" t="s">
        <v>937</v>
      </c>
      <c r="CC63" s="170" t="s">
        <v>980</v>
      </c>
      <c r="CD63" s="246">
        <v>8</v>
      </c>
      <c r="CE63" s="67">
        <v>11</v>
      </c>
      <c r="CF63" s="70">
        <v>1</v>
      </c>
      <c r="CG63" s="346">
        <f>9000000+43275000+40000000+
83000+2850000+80000000</f>
        <v>175208000</v>
      </c>
      <c r="CH63" s="66">
        <f>9000000+43275000+40000000+2850000
+83000+80000000</f>
        <v>175208000</v>
      </c>
      <c r="CI63" s="70">
        <f>CH63/CG63</f>
        <v>1</v>
      </c>
      <c r="CJ63" s="77" t="s">
        <v>937</v>
      </c>
      <c r="CK63" s="260" t="s">
        <v>1138</v>
      </c>
      <c r="CL63" s="45">
        <v>8</v>
      </c>
      <c r="CM63" s="52">
        <v>11</v>
      </c>
      <c r="CN63" s="55">
        <v>1</v>
      </c>
      <c r="CO63" s="47">
        <f>9000000+43275000+40000000+
83000+2850000+80000000</f>
        <v>175208000</v>
      </c>
      <c r="CP63" s="50">
        <f>9000000+43275000+40000000+2850000
+83000+80000000</f>
        <v>175208000</v>
      </c>
      <c r="CQ63" s="55">
        <f>CP63/CO63</f>
        <v>1</v>
      </c>
      <c r="CR63" s="77" t="s">
        <v>937</v>
      </c>
      <c r="CS63" s="234" t="s">
        <v>1018</v>
      </c>
      <c r="CT63" s="77">
        <v>8</v>
      </c>
      <c r="CU63" s="67">
        <v>15</v>
      </c>
      <c r="CV63" s="70">
        <v>1</v>
      </c>
      <c r="CW63" s="346">
        <v>41184000</v>
      </c>
      <c r="CX63" s="66">
        <v>41184000</v>
      </c>
      <c r="CY63" s="70">
        <f>CX63/CW63</f>
        <v>1</v>
      </c>
      <c r="CZ63" s="77" t="s">
        <v>937</v>
      </c>
      <c r="DA63" s="170" t="s">
        <v>1139</v>
      </c>
      <c r="DB63" s="77">
        <v>8</v>
      </c>
      <c r="DC63" s="67">
        <v>15</v>
      </c>
      <c r="DD63" s="70">
        <v>1</v>
      </c>
    </row>
    <row r="64" spans="1:108" ht="147" customHeight="1" x14ac:dyDescent="0.25">
      <c r="A64" s="812"/>
      <c r="B64" s="492"/>
      <c r="C64" s="614"/>
      <c r="D64" s="123" t="s">
        <v>179</v>
      </c>
      <c r="E64" s="77" t="s">
        <v>180</v>
      </c>
      <c r="F64" s="61" t="s">
        <v>426</v>
      </c>
      <c r="G64" s="61" t="s">
        <v>181</v>
      </c>
      <c r="H64" s="61" t="s">
        <v>938</v>
      </c>
      <c r="I64" s="61" t="s">
        <v>162</v>
      </c>
      <c r="J64" s="77">
        <v>30</v>
      </c>
      <c r="K64" s="67" t="s">
        <v>276</v>
      </c>
      <c r="L64" s="67" t="s">
        <v>332</v>
      </c>
      <c r="M64" s="77">
        <v>3502046</v>
      </c>
      <c r="N64" s="77" t="s">
        <v>333</v>
      </c>
      <c r="O64" s="77">
        <v>350204600</v>
      </c>
      <c r="P64" s="77" t="s">
        <v>334</v>
      </c>
      <c r="Q64" s="118">
        <v>30</v>
      </c>
      <c r="R64" s="84"/>
      <c r="S64" s="632"/>
      <c r="T64" s="632"/>
      <c r="U64" s="632"/>
      <c r="V64" s="632"/>
      <c r="W64" s="67" t="s">
        <v>269</v>
      </c>
      <c r="X64" s="623"/>
      <c r="Y64" s="84">
        <v>1</v>
      </c>
      <c r="Z64" s="82">
        <v>1</v>
      </c>
      <c r="AA64" s="251">
        <f>Z64/Y64</f>
        <v>1</v>
      </c>
      <c r="AB64" s="66"/>
      <c r="AC64" s="66"/>
      <c r="AD64" s="67" t="s">
        <v>269</v>
      </c>
      <c r="AE64" s="623"/>
      <c r="AF64" s="138">
        <v>1</v>
      </c>
      <c r="AG64" s="139">
        <v>1</v>
      </c>
      <c r="AH64" s="251">
        <f>AG64/AF64</f>
        <v>1</v>
      </c>
      <c r="AI64" s="605" t="s">
        <v>645</v>
      </c>
      <c r="AJ64" s="605" t="s">
        <v>646</v>
      </c>
      <c r="AK64" s="67" t="s">
        <v>269</v>
      </c>
      <c r="AL64" s="622" t="s">
        <v>685</v>
      </c>
      <c r="AM64" s="138">
        <v>1</v>
      </c>
      <c r="AN64" s="139">
        <v>1</v>
      </c>
      <c r="AO64" s="251">
        <f>AN64/AM64</f>
        <v>1</v>
      </c>
      <c r="AP64" s="605" t="s">
        <v>729</v>
      </c>
      <c r="AQ64" s="605">
        <v>185210909</v>
      </c>
      <c r="AR64" s="67" t="s">
        <v>269</v>
      </c>
      <c r="AS64" s="763" t="s">
        <v>764</v>
      </c>
      <c r="AT64" s="349">
        <v>1</v>
      </c>
      <c r="AU64" s="289">
        <v>1</v>
      </c>
      <c r="AV64" s="251">
        <f>AU64/AT64</f>
        <v>1</v>
      </c>
      <c r="AW64" s="706" t="s">
        <v>776</v>
      </c>
      <c r="AX64" s="708" t="s">
        <v>776</v>
      </c>
      <c r="AY64" s="67" t="s">
        <v>269</v>
      </c>
      <c r="AZ64" s="658" t="s">
        <v>823</v>
      </c>
      <c r="BA64" s="103">
        <v>3</v>
      </c>
      <c r="BB64" s="67">
        <v>3</v>
      </c>
      <c r="BC64" s="251">
        <f>BB64/BA64</f>
        <v>1</v>
      </c>
      <c r="BD64" s="66">
        <v>119240000</v>
      </c>
      <c r="BE64" s="66">
        <v>95010000</v>
      </c>
      <c r="BF64" s="67" t="s">
        <v>269</v>
      </c>
      <c r="BG64" s="99" t="s">
        <v>885</v>
      </c>
      <c r="BH64" s="105">
        <v>2</v>
      </c>
      <c r="BI64" s="67">
        <v>0</v>
      </c>
      <c r="BJ64" s="68">
        <v>0</v>
      </c>
      <c r="BK64" s="90"/>
      <c r="BL64" s="66"/>
      <c r="BM64" s="67" t="s">
        <v>269</v>
      </c>
      <c r="BN64" s="106" t="s">
        <v>534</v>
      </c>
      <c r="BO64" s="109">
        <v>4</v>
      </c>
      <c r="BP64" s="77">
        <v>1</v>
      </c>
      <c r="BQ64" s="251">
        <f>BP64/BO64</f>
        <v>0.25</v>
      </c>
      <c r="BR64" s="66">
        <v>3000000</v>
      </c>
      <c r="BS64" s="66">
        <v>1000000</v>
      </c>
      <c r="BT64" s="67" t="s">
        <v>269</v>
      </c>
      <c r="BU64" s="106" t="s">
        <v>1140</v>
      </c>
      <c r="BV64" s="140">
        <v>4</v>
      </c>
      <c r="BW64" s="77">
        <v>1</v>
      </c>
      <c r="BX64" s="251">
        <f>BW64/BV64</f>
        <v>0.25</v>
      </c>
      <c r="BY64" s="296">
        <v>3000000</v>
      </c>
      <c r="BZ64" s="296">
        <v>3000000</v>
      </c>
      <c r="CA64" s="251">
        <f>BZ64/BY64</f>
        <v>1</v>
      </c>
      <c r="CB64" s="61" t="s">
        <v>938</v>
      </c>
      <c r="CC64" s="170" t="s">
        <v>981</v>
      </c>
      <c r="CD64" s="160">
        <v>8</v>
      </c>
      <c r="CE64" s="77">
        <v>2</v>
      </c>
      <c r="CF64" s="251">
        <f>CE64/CD64</f>
        <v>0.25</v>
      </c>
      <c r="CG64" s="296">
        <f>3000000+8000000+8000000+28000000</f>
        <v>47000000</v>
      </c>
      <c r="CH64" s="296">
        <f>1500000+2000000+5000000+7000000</f>
        <v>15500000</v>
      </c>
      <c r="CI64" s="251">
        <f>CH64/CG64</f>
        <v>0.32978723404255317</v>
      </c>
      <c r="CJ64" s="61" t="s">
        <v>938</v>
      </c>
      <c r="CK64" s="260" t="s">
        <v>1141</v>
      </c>
      <c r="CL64" s="45">
        <v>30</v>
      </c>
      <c r="CM64" s="45">
        <v>2</v>
      </c>
      <c r="CN64" s="40">
        <f>CM64/CL64</f>
        <v>6.6666666666666666E-2</v>
      </c>
      <c r="CO64" s="159">
        <v>13700000</v>
      </c>
      <c r="CP64" s="159">
        <v>0</v>
      </c>
      <c r="CQ64" s="40">
        <f>CP64/CO64</f>
        <v>0</v>
      </c>
      <c r="CR64" s="61" t="s">
        <v>938</v>
      </c>
      <c r="CS64" s="234" t="s">
        <v>1208</v>
      </c>
      <c r="CT64" s="77">
        <v>30</v>
      </c>
      <c r="CU64" s="77">
        <v>2</v>
      </c>
      <c r="CV64" s="251">
        <f>CU64/CT64</f>
        <v>6.6666666666666666E-2</v>
      </c>
      <c r="CW64" s="296">
        <v>13700000</v>
      </c>
      <c r="CX64" s="296">
        <v>7000000</v>
      </c>
      <c r="CY64" s="251">
        <f>CX64/CW64</f>
        <v>0.51094890510948909</v>
      </c>
      <c r="CZ64" s="61" t="s">
        <v>938</v>
      </c>
      <c r="DA64" s="260" t="s">
        <v>1223</v>
      </c>
      <c r="DB64" s="77">
        <v>30</v>
      </c>
      <c r="DC64" s="77">
        <v>11</v>
      </c>
      <c r="DD64" s="251">
        <v>0.3</v>
      </c>
    </row>
    <row r="65" spans="1:109" ht="77.25" customHeight="1" x14ac:dyDescent="0.25">
      <c r="A65" s="812"/>
      <c r="B65" s="492" t="s">
        <v>182</v>
      </c>
      <c r="C65" s="614" t="s">
        <v>183</v>
      </c>
      <c r="D65" s="604" t="s">
        <v>184</v>
      </c>
      <c r="E65" s="492" t="s">
        <v>185</v>
      </c>
      <c r="F65" s="492" t="s">
        <v>186</v>
      </c>
      <c r="G65" s="492" t="s">
        <v>187</v>
      </c>
      <c r="H65" s="417" t="s">
        <v>939</v>
      </c>
      <c r="I65" s="550" t="s">
        <v>162</v>
      </c>
      <c r="J65" s="492" t="s">
        <v>188</v>
      </c>
      <c r="K65" s="562" t="s">
        <v>272</v>
      </c>
      <c r="L65" s="562" t="s">
        <v>335</v>
      </c>
      <c r="M65" s="492">
        <v>3301073</v>
      </c>
      <c r="N65" s="492" t="s">
        <v>336</v>
      </c>
      <c r="O65" s="492">
        <v>330107301</v>
      </c>
      <c r="P65" s="492" t="s">
        <v>337</v>
      </c>
      <c r="Q65" s="622" t="s">
        <v>188</v>
      </c>
      <c r="R65" s="634">
        <v>160</v>
      </c>
      <c r="S65" s="492">
        <v>118</v>
      </c>
      <c r="T65" s="499">
        <f>S65/R65</f>
        <v>0.73750000000000004</v>
      </c>
      <c r="U65" s="500" t="s">
        <v>447</v>
      </c>
      <c r="V65" s="500" t="s">
        <v>448</v>
      </c>
      <c r="W65" s="562" t="s">
        <v>260</v>
      </c>
      <c r="X65" s="627" t="s">
        <v>449</v>
      </c>
      <c r="Y65" s="634">
        <v>160</v>
      </c>
      <c r="Z65" s="492">
        <v>118</v>
      </c>
      <c r="AA65" s="499">
        <f>Z65/Y65</f>
        <v>0.73750000000000004</v>
      </c>
      <c r="AB65" s="500"/>
      <c r="AC65" s="500"/>
      <c r="AD65" s="562" t="s">
        <v>260</v>
      </c>
      <c r="AE65" s="770"/>
      <c r="AF65" s="647">
        <v>1</v>
      </c>
      <c r="AG65" s="417">
        <v>1</v>
      </c>
      <c r="AH65" s="499">
        <f>AF65/AG65</f>
        <v>1</v>
      </c>
      <c r="AI65" s="605"/>
      <c r="AJ65" s="605"/>
      <c r="AK65" s="562" t="s">
        <v>260</v>
      </c>
      <c r="AL65" s="622"/>
      <c r="AM65" s="647">
        <v>1</v>
      </c>
      <c r="AN65" s="417">
        <v>1</v>
      </c>
      <c r="AO65" s="499">
        <f>AM65/AN65</f>
        <v>1</v>
      </c>
      <c r="AP65" s="605"/>
      <c r="AQ65" s="605"/>
      <c r="AR65" s="562" t="s">
        <v>260</v>
      </c>
      <c r="AS65" s="763"/>
      <c r="AT65" s="710">
        <v>1</v>
      </c>
      <c r="AU65" s="712">
        <v>1</v>
      </c>
      <c r="AV65" s="499" t="e">
        <f>#REF!/#REF!</f>
        <v>#REF!</v>
      </c>
      <c r="AW65" s="706"/>
      <c r="AX65" s="708"/>
      <c r="AY65" s="562" t="s">
        <v>260</v>
      </c>
      <c r="AZ65" s="658"/>
      <c r="BA65" s="665">
        <v>21</v>
      </c>
      <c r="BB65" s="562">
        <v>21</v>
      </c>
      <c r="BC65" s="499">
        <f>BB65/BA65</f>
        <v>1</v>
      </c>
      <c r="BD65" s="500">
        <v>1502044165</v>
      </c>
      <c r="BE65" s="500">
        <v>1449671166</v>
      </c>
      <c r="BF65" s="562" t="s">
        <v>260</v>
      </c>
      <c r="BG65" s="770" t="s">
        <v>886</v>
      </c>
      <c r="BH65" s="634">
        <v>140</v>
      </c>
      <c r="BI65" s="562">
        <v>2</v>
      </c>
      <c r="BJ65" s="573">
        <f>(BI65/BH65)*1</f>
        <v>1.4285714285714285E-2</v>
      </c>
      <c r="BK65" s="500">
        <v>14044000</v>
      </c>
      <c r="BL65" s="500">
        <v>14044000</v>
      </c>
      <c r="BM65" s="562" t="s">
        <v>260</v>
      </c>
      <c r="BN65" s="691" t="s">
        <v>535</v>
      </c>
      <c r="BO65" s="634">
        <v>160</v>
      </c>
      <c r="BP65" s="492">
        <v>118</v>
      </c>
      <c r="BQ65" s="499">
        <f>BP65/BO65</f>
        <v>0.73750000000000004</v>
      </c>
      <c r="BR65" s="500" t="s">
        <v>574</v>
      </c>
      <c r="BS65" s="500" t="s">
        <v>448</v>
      </c>
      <c r="BT65" s="562" t="s">
        <v>260</v>
      </c>
      <c r="BU65" s="691" t="s">
        <v>575</v>
      </c>
      <c r="BV65" s="726">
        <v>160</v>
      </c>
      <c r="BW65" s="492">
        <v>118</v>
      </c>
      <c r="BX65" s="499">
        <f>BW65/BV65</f>
        <v>0.73750000000000004</v>
      </c>
      <c r="BY65" s="500">
        <v>40000000</v>
      </c>
      <c r="BZ65" s="500">
        <f>34620000+8655000+8655000</f>
        <v>51930000</v>
      </c>
      <c r="CA65" s="501">
        <v>1</v>
      </c>
      <c r="CB65" s="417" t="s">
        <v>939</v>
      </c>
      <c r="CC65" s="722" t="s">
        <v>1011</v>
      </c>
      <c r="CD65" s="544">
        <v>200</v>
      </c>
      <c r="CE65" s="492">
        <v>0</v>
      </c>
      <c r="CF65" s="499">
        <f>CE65/CD65</f>
        <v>0</v>
      </c>
      <c r="CG65" s="500">
        <f>40000000+3000000+2200000</f>
        <v>45200000</v>
      </c>
      <c r="CH65" s="500">
        <f>34620000+8655000+8655000+3000000+2200000</f>
        <v>57130000</v>
      </c>
      <c r="CI65" s="501">
        <v>1</v>
      </c>
      <c r="CJ65" s="417" t="s">
        <v>939</v>
      </c>
      <c r="CK65" s="519" t="s">
        <v>1142</v>
      </c>
      <c r="CL65" s="412">
        <v>200</v>
      </c>
      <c r="CM65" s="415">
        <v>0</v>
      </c>
      <c r="CN65" s="416">
        <f>CM65/CL65</f>
        <v>0</v>
      </c>
      <c r="CO65" s="425">
        <v>24000000</v>
      </c>
      <c r="CP65" s="425">
        <v>24000000</v>
      </c>
      <c r="CQ65" s="406">
        <v>1</v>
      </c>
      <c r="CR65" s="417" t="s">
        <v>939</v>
      </c>
      <c r="CS65" s="409" t="s">
        <v>1031</v>
      </c>
      <c r="CT65" s="417">
        <v>200</v>
      </c>
      <c r="CU65" s="492">
        <v>0</v>
      </c>
      <c r="CV65" s="499">
        <f>CU65/CT65</f>
        <v>0</v>
      </c>
      <c r="CW65" s="500">
        <v>24000000</v>
      </c>
      <c r="CX65" s="500">
        <v>24000000</v>
      </c>
      <c r="CY65" s="501">
        <v>1</v>
      </c>
      <c r="CZ65" s="417" t="s">
        <v>939</v>
      </c>
      <c r="DA65" s="519" t="s">
        <v>1225</v>
      </c>
      <c r="DB65" s="492">
        <v>200</v>
      </c>
      <c r="DC65" s="417">
        <v>118</v>
      </c>
      <c r="DD65" s="569">
        <f>DC65/DB65</f>
        <v>0.59</v>
      </c>
    </row>
    <row r="66" spans="1:109" ht="54" customHeight="1" x14ac:dyDescent="0.25">
      <c r="A66" s="812"/>
      <c r="B66" s="492"/>
      <c r="C66" s="614"/>
      <c r="D66" s="604"/>
      <c r="E66" s="492"/>
      <c r="F66" s="492"/>
      <c r="G66" s="492"/>
      <c r="H66" s="418"/>
      <c r="I66" s="550"/>
      <c r="J66" s="492"/>
      <c r="K66" s="562"/>
      <c r="L66" s="562"/>
      <c r="M66" s="492"/>
      <c r="N66" s="492"/>
      <c r="O66" s="492"/>
      <c r="P66" s="492"/>
      <c r="Q66" s="622"/>
      <c r="R66" s="635"/>
      <c r="S66" s="492"/>
      <c r="T66" s="499"/>
      <c r="U66" s="500"/>
      <c r="V66" s="500"/>
      <c r="W66" s="562"/>
      <c r="X66" s="627"/>
      <c r="Y66" s="635"/>
      <c r="Z66" s="492"/>
      <c r="AA66" s="499"/>
      <c r="AB66" s="500"/>
      <c r="AC66" s="500"/>
      <c r="AD66" s="562"/>
      <c r="AE66" s="770"/>
      <c r="AF66" s="648"/>
      <c r="AG66" s="418"/>
      <c r="AH66" s="499"/>
      <c r="AI66" s="605"/>
      <c r="AJ66" s="605"/>
      <c r="AK66" s="562"/>
      <c r="AL66" s="622"/>
      <c r="AM66" s="648"/>
      <c r="AN66" s="418"/>
      <c r="AO66" s="499"/>
      <c r="AP66" s="605"/>
      <c r="AQ66" s="605"/>
      <c r="AR66" s="562"/>
      <c r="AS66" s="763"/>
      <c r="AT66" s="711"/>
      <c r="AU66" s="713"/>
      <c r="AV66" s="499"/>
      <c r="AW66" s="709" t="s">
        <v>776</v>
      </c>
      <c r="AX66" s="709" t="s">
        <v>776</v>
      </c>
      <c r="AY66" s="562"/>
      <c r="AZ66" s="715" t="s">
        <v>824</v>
      </c>
      <c r="BA66" s="665"/>
      <c r="BB66" s="562"/>
      <c r="BC66" s="499"/>
      <c r="BD66" s="500"/>
      <c r="BE66" s="500"/>
      <c r="BF66" s="562"/>
      <c r="BG66" s="770"/>
      <c r="BH66" s="634"/>
      <c r="BI66" s="562"/>
      <c r="BJ66" s="573"/>
      <c r="BK66" s="500"/>
      <c r="BL66" s="500"/>
      <c r="BM66" s="562"/>
      <c r="BN66" s="691"/>
      <c r="BO66" s="635"/>
      <c r="BP66" s="492"/>
      <c r="BQ66" s="499"/>
      <c r="BR66" s="500"/>
      <c r="BS66" s="500"/>
      <c r="BT66" s="562"/>
      <c r="BU66" s="691"/>
      <c r="BV66" s="727"/>
      <c r="BW66" s="492"/>
      <c r="BX66" s="499"/>
      <c r="BY66" s="500"/>
      <c r="BZ66" s="500"/>
      <c r="CA66" s="503"/>
      <c r="CB66" s="418"/>
      <c r="CC66" s="723"/>
      <c r="CD66" s="545"/>
      <c r="CE66" s="492"/>
      <c r="CF66" s="499"/>
      <c r="CG66" s="500"/>
      <c r="CH66" s="500"/>
      <c r="CI66" s="503"/>
      <c r="CJ66" s="418"/>
      <c r="CK66" s="520"/>
      <c r="CL66" s="413"/>
      <c r="CM66" s="415"/>
      <c r="CN66" s="416"/>
      <c r="CO66" s="425"/>
      <c r="CP66" s="425"/>
      <c r="CQ66" s="408"/>
      <c r="CR66" s="418"/>
      <c r="CS66" s="410"/>
      <c r="CT66" s="418"/>
      <c r="CU66" s="492"/>
      <c r="CV66" s="499"/>
      <c r="CW66" s="500"/>
      <c r="CX66" s="500"/>
      <c r="CY66" s="503"/>
      <c r="CZ66" s="418"/>
      <c r="DA66" s="520"/>
      <c r="DB66" s="492"/>
      <c r="DC66" s="418"/>
      <c r="DD66" s="571"/>
    </row>
    <row r="67" spans="1:109" ht="112.5" customHeight="1" x14ac:dyDescent="0.25">
      <c r="A67" s="812"/>
      <c r="B67" s="492"/>
      <c r="C67" s="614"/>
      <c r="D67" s="604" t="s">
        <v>189</v>
      </c>
      <c r="E67" s="492" t="s">
        <v>190</v>
      </c>
      <c r="F67" s="77" t="s">
        <v>191</v>
      </c>
      <c r="G67" s="77" t="s">
        <v>187</v>
      </c>
      <c r="H67" s="77" t="s">
        <v>939</v>
      </c>
      <c r="I67" s="61" t="s">
        <v>162</v>
      </c>
      <c r="J67" s="77" t="s">
        <v>188</v>
      </c>
      <c r="K67" s="562" t="s">
        <v>272</v>
      </c>
      <c r="L67" s="562" t="s">
        <v>335</v>
      </c>
      <c r="M67" s="492">
        <v>3301052</v>
      </c>
      <c r="N67" s="492" t="s">
        <v>338</v>
      </c>
      <c r="O67" s="492">
        <v>330105203</v>
      </c>
      <c r="P67" s="492" t="s">
        <v>339</v>
      </c>
      <c r="Q67" s="118" t="s">
        <v>188</v>
      </c>
      <c r="R67" s="108">
        <v>160</v>
      </c>
      <c r="S67" s="77">
        <v>92</v>
      </c>
      <c r="T67" s="251">
        <f>S67/R67</f>
        <v>0.57499999999999996</v>
      </c>
      <c r="U67" s="66" t="s">
        <v>450</v>
      </c>
      <c r="V67" s="66" t="s">
        <v>451</v>
      </c>
      <c r="W67" s="562"/>
      <c r="X67" s="627" t="s">
        <v>452</v>
      </c>
      <c r="Y67" s="108">
        <v>160</v>
      </c>
      <c r="Z67" s="77">
        <v>92</v>
      </c>
      <c r="AA67" s="251">
        <f>Z67/Y67</f>
        <v>0.57499999999999996</v>
      </c>
      <c r="AB67" s="66"/>
      <c r="AC67" s="66"/>
      <c r="AD67" s="562"/>
      <c r="AE67" s="770"/>
      <c r="AF67" s="123">
        <v>1</v>
      </c>
      <c r="AG67" s="77">
        <v>1</v>
      </c>
      <c r="AH67" s="251">
        <f>AG67/AF67</f>
        <v>1</v>
      </c>
      <c r="AI67" s="605"/>
      <c r="AJ67" s="605"/>
      <c r="AK67" s="562"/>
      <c r="AL67" s="622"/>
      <c r="AM67" s="123">
        <v>1</v>
      </c>
      <c r="AN67" s="77">
        <v>1</v>
      </c>
      <c r="AO67" s="251">
        <f>AN67/AM67</f>
        <v>1</v>
      </c>
      <c r="AP67" s="605"/>
      <c r="AQ67" s="605"/>
      <c r="AR67" s="562"/>
      <c r="AS67" s="763"/>
      <c r="AT67" s="253">
        <v>1</v>
      </c>
      <c r="AU67" s="254">
        <v>1</v>
      </c>
      <c r="AV67" s="251">
        <f>AU67/AT67</f>
        <v>1</v>
      </c>
      <c r="AW67" s="709"/>
      <c r="AX67" s="709"/>
      <c r="AY67" s="562"/>
      <c r="AZ67" s="715"/>
      <c r="BA67" s="103">
        <v>34</v>
      </c>
      <c r="BB67" s="67">
        <v>55</v>
      </c>
      <c r="BC67" s="251">
        <f>BB67/(2*BA67)</f>
        <v>0.80882352941176472</v>
      </c>
      <c r="BD67" s="500"/>
      <c r="BE67" s="500"/>
      <c r="BF67" s="562"/>
      <c r="BG67" s="770"/>
      <c r="BH67" s="108">
        <v>140</v>
      </c>
      <c r="BI67" s="67">
        <v>54</v>
      </c>
      <c r="BJ67" s="70">
        <f>(BI67/BH67)*1</f>
        <v>0.38571428571428573</v>
      </c>
      <c r="BK67" s="66">
        <v>139800000</v>
      </c>
      <c r="BL67" s="66">
        <v>139700000</v>
      </c>
      <c r="BM67" s="562"/>
      <c r="BN67" s="100" t="s">
        <v>536</v>
      </c>
      <c r="BO67" s="108">
        <v>160</v>
      </c>
      <c r="BP67" s="77">
        <v>92</v>
      </c>
      <c r="BQ67" s="251">
        <f>BP67/BO67</f>
        <v>0.57499999999999996</v>
      </c>
      <c r="BR67" s="66" t="s">
        <v>576</v>
      </c>
      <c r="BS67" s="66" t="s">
        <v>451</v>
      </c>
      <c r="BT67" s="562"/>
      <c r="BU67" s="100" t="s">
        <v>577</v>
      </c>
      <c r="BV67" s="61">
        <v>180</v>
      </c>
      <c r="BW67" s="77">
        <v>92</v>
      </c>
      <c r="BX67" s="251">
        <f>BW67/BV67</f>
        <v>0.51111111111111107</v>
      </c>
      <c r="BY67" s="277">
        <v>918000000</v>
      </c>
      <c r="BZ67" s="66">
        <f>23000000+148497504</f>
        <v>171497504</v>
      </c>
      <c r="CA67" s="335">
        <f>BZ67/BY67</f>
        <v>0.18681645315904138</v>
      </c>
      <c r="CB67" s="77" t="s">
        <v>939</v>
      </c>
      <c r="CC67" s="166" t="s">
        <v>1012</v>
      </c>
      <c r="CD67" s="160">
        <v>200</v>
      </c>
      <c r="CE67" s="77">
        <v>0</v>
      </c>
      <c r="CF67" s="14">
        <f>CE67/CD67</f>
        <v>0</v>
      </c>
      <c r="CG67" s="276">
        <f>918000000+1516035847+261643826</f>
        <v>2695679673</v>
      </c>
      <c r="CH67" s="62">
        <f>23000000+148497504+87500000</f>
        <v>258997504</v>
      </c>
      <c r="CI67" s="272">
        <f>CH67/CG67</f>
        <v>9.6078739100244726E-2</v>
      </c>
      <c r="CJ67" s="77" t="s">
        <v>939</v>
      </c>
      <c r="CK67" s="292" t="s">
        <v>1143</v>
      </c>
      <c r="CL67" s="45">
        <v>200</v>
      </c>
      <c r="CM67" s="45">
        <v>0</v>
      </c>
      <c r="CN67" s="172">
        <f>CM67/CL67</f>
        <v>0</v>
      </c>
      <c r="CO67" s="245">
        <v>1800000000</v>
      </c>
      <c r="CP67" s="180">
        <v>0</v>
      </c>
      <c r="CQ67" s="179">
        <f>CP67/CO67</f>
        <v>0</v>
      </c>
      <c r="CR67" s="77" t="s">
        <v>939</v>
      </c>
      <c r="CS67" s="238" t="s">
        <v>1032</v>
      </c>
      <c r="CT67" s="77">
        <v>200</v>
      </c>
      <c r="CU67" s="77">
        <v>0</v>
      </c>
      <c r="CV67" s="14">
        <f>CU67/CT67</f>
        <v>0</v>
      </c>
      <c r="CW67" s="276">
        <v>1800000000</v>
      </c>
      <c r="CX67" s="62">
        <v>0</v>
      </c>
      <c r="CY67" s="272">
        <f>CX67/CW67</f>
        <v>0</v>
      </c>
      <c r="CZ67" s="77" t="s">
        <v>939</v>
      </c>
      <c r="DA67" s="292" t="s">
        <v>1226</v>
      </c>
      <c r="DB67" s="77">
        <v>200</v>
      </c>
      <c r="DC67" s="249">
        <v>92</v>
      </c>
      <c r="DD67" s="335">
        <f>DC67/DB67</f>
        <v>0.46</v>
      </c>
    </row>
    <row r="68" spans="1:109" ht="65.25" customHeight="1" x14ac:dyDescent="0.25">
      <c r="A68" s="812"/>
      <c r="B68" s="492"/>
      <c r="C68" s="614"/>
      <c r="D68" s="604"/>
      <c r="E68" s="492"/>
      <c r="F68" s="77" t="s">
        <v>192</v>
      </c>
      <c r="G68" s="77" t="s">
        <v>187</v>
      </c>
      <c r="H68" s="77" t="s">
        <v>939</v>
      </c>
      <c r="I68" s="61" t="s">
        <v>162</v>
      </c>
      <c r="J68" s="77" t="s">
        <v>188</v>
      </c>
      <c r="K68" s="562"/>
      <c r="L68" s="562"/>
      <c r="M68" s="492"/>
      <c r="N68" s="492"/>
      <c r="O68" s="492"/>
      <c r="P68" s="492"/>
      <c r="Q68" s="118" t="s">
        <v>188</v>
      </c>
      <c r="R68" s="350">
        <v>160</v>
      </c>
      <c r="S68" s="220">
        <v>93</v>
      </c>
      <c r="T68" s="251">
        <f>S68/R68</f>
        <v>0.58125000000000004</v>
      </c>
      <c r="U68" s="75"/>
      <c r="V68" s="75"/>
      <c r="W68" s="562"/>
      <c r="X68" s="627"/>
      <c r="Y68" s="350">
        <v>160</v>
      </c>
      <c r="Z68" s="220">
        <v>93</v>
      </c>
      <c r="AA68" s="251">
        <f>Z68/Y68</f>
        <v>0.58125000000000004</v>
      </c>
      <c r="AB68" s="75"/>
      <c r="AC68" s="75"/>
      <c r="AD68" s="562"/>
      <c r="AE68" s="770"/>
      <c r="AF68" s="123">
        <v>3</v>
      </c>
      <c r="AG68" s="77">
        <v>3</v>
      </c>
      <c r="AH68" s="251">
        <f>AG68/AF68</f>
        <v>1</v>
      </c>
      <c r="AI68" s="605"/>
      <c r="AJ68" s="605"/>
      <c r="AK68" s="562"/>
      <c r="AL68" s="133" t="s">
        <v>686</v>
      </c>
      <c r="AM68" s="102">
        <v>3</v>
      </c>
      <c r="AN68" s="61">
        <v>3</v>
      </c>
      <c r="AO68" s="251">
        <f>AN68/AM68</f>
        <v>1</v>
      </c>
      <c r="AP68" s="605"/>
      <c r="AQ68" s="605"/>
      <c r="AR68" s="562"/>
      <c r="AS68" s="763"/>
      <c r="AT68" s="253">
        <v>3</v>
      </c>
      <c r="AU68" s="254">
        <v>3</v>
      </c>
      <c r="AV68" s="251">
        <f>AU68/AT68</f>
        <v>1</v>
      </c>
      <c r="AW68" s="271" t="s">
        <v>776</v>
      </c>
      <c r="AX68" s="271" t="s">
        <v>776</v>
      </c>
      <c r="AY68" s="562"/>
      <c r="AZ68" s="314" t="s">
        <v>825</v>
      </c>
      <c r="BA68" s="103">
        <v>34</v>
      </c>
      <c r="BB68" s="67">
        <v>55</v>
      </c>
      <c r="BC68" s="251">
        <f>BB68/(2*BA68)</f>
        <v>0.80882352941176472</v>
      </c>
      <c r="BD68" s="500"/>
      <c r="BE68" s="500"/>
      <c r="BF68" s="562"/>
      <c r="BG68" s="770"/>
      <c r="BH68" s="104">
        <v>1.4</v>
      </c>
      <c r="BI68" s="72">
        <v>0</v>
      </c>
      <c r="BJ68" s="70">
        <f>(BI68/BH68)*1</f>
        <v>0</v>
      </c>
      <c r="BK68" s="75"/>
      <c r="BL68" s="75"/>
      <c r="BM68" s="562"/>
      <c r="BN68" s="100" t="s">
        <v>537</v>
      </c>
      <c r="BO68" s="350">
        <v>160</v>
      </c>
      <c r="BP68" s="220">
        <v>93</v>
      </c>
      <c r="BQ68" s="251">
        <f>BP68/BO68</f>
        <v>0.58125000000000004</v>
      </c>
      <c r="BR68" s="75"/>
      <c r="BS68" s="75"/>
      <c r="BT68" s="562"/>
      <c r="BU68" s="100" t="s">
        <v>1144</v>
      </c>
      <c r="BV68" s="61">
        <v>160</v>
      </c>
      <c r="BW68" s="220">
        <v>93</v>
      </c>
      <c r="BX68" s="251">
        <f>BW68/BV68</f>
        <v>0.58125000000000004</v>
      </c>
      <c r="BY68" s="66">
        <v>918000000</v>
      </c>
      <c r="BZ68" s="66">
        <f>23000000+148497504</f>
        <v>171497504</v>
      </c>
      <c r="CA68" s="335">
        <f>BZ68/BY68</f>
        <v>0.18681645315904138</v>
      </c>
      <c r="CB68" s="77" t="s">
        <v>939</v>
      </c>
      <c r="CC68" s="69" t="s">
        <v>982</v>
      </c>
      <c r="CD68" s="160">
        <v>200</v>
      </c>
      <c r="CE68" s="220">
        <v>0</v>
      </c>
      <c r="CF68" s="14">
        <f>CE68/CD68</f>
        <v>0</v>
      </c>
      <c r="CG68" s="62">
        <f>918000000+600000</f>
        <v>918600000</v>
      </c>
      <c r="CH68" s="62">
        <f>23000000+148497504+600000+12000000</f>
        <v>184097504</v>
      </c>
      <c r="CI68" s="272">
        <f>CH68/CG68</f>
        <v>0.20041095580230786</v>
      </c>
      <c r="CJ68" s="77" t="s">
        <v>939</v>
      </c>
      <c r="CK68" s="86" t="s">
        <v>1145</v>
      </c>
      <c r="CL68" s="45">
        <v>200</v>
      </c>
      <c r="CM68" s="48">
        <v>0</v>
      </c>
      <c r="CN68" s="172">
        <f>CM68/CL68</f>
        <v>0</v>
      </c>
      <c r="CO68" s="180">
        <v>544000700</v>
      </c>
      <c r="CP68" s="180">
        <v>0</v>
      </c>
      <c r="CQ68" s="179">
        <f>CP68/CO68</f>
        <v>0</v>
      </c>
      <c r="CR68" s="77" t="s">
        <v>939</v>
      </c>
      <c r="CS68" s="233" t="s">
        <v>1209</v>
      </c>
      <c r="CT68" s="77">
        <v>200</v>
      </c>
      <c r="CU68" s="220">
        <v>0</v>
      </c>
      <c r="CV68" s="14">
        <f>CU68/CT68</f>
        <v>0</v>
      </c>
      <c r="CW68" s="62">
        <v>544000700</v>
      </c>
      <c r="CX68" s="62">
        <v>0</v>
      </c>
      <c r="CY68" s="272">
        <f>CX68/CW68</f>
        <v>0</v>
      </c>
      <c r="CZ68" s="77" t="s">
        <v>939</v>
      </c>
      <c r="DA68" s="86" t="s">
        <v>1146</v>
      </c>
      <c r="DB68" s="77">
        <v>200</v>
      </c>
      <c r="DC68" s="220">
        <v>93</v>
      </c>
      <c r="DD68" s="335">
        <f t="shared" ref="DD68" si="13">DC68/DB68</f>
        <v>0.46500000000000002</v>
      </c>
    </row>
    <row r="69" spans="1:109" ht="54" customHeight="1" thickBot="1" x14ac:dyDescent="0.3">
      <c r="A69" s="812"/>
      <c r="B69" s="492"/>
      <c r="C69" s="614"/>
      <c r="D69" s="123" t="s">
        <v>193</v>
      </c>
      <c r="E69" s="77" t="s">
        <v>194</v>
      </c>
      <c r="F69" s="77" t="s">
        <v>427</v>
      </c>
      <c r="G69" s="77" t="s">
        <v>187</v>
      </c>
      <c r="H69" s="152" t="s">
        <v>939</v>
      </c>
      <c r="I69" s="61">
        <v>6</v>
      </c>
      <c r="J69" s="77">
        <v>60</v>
      </c>
      <c r="K69" s="562"/>
      <c r="L69" s="562"/>
      <c r="M69" s="492"/>
      <c r="N69" s="492"/>
      <c r="O69" s="492"/>
      <c r="P69" s="492"/>
      <c r="Q69" s="118">
        <v>60</v>
      </c>
      <c r="R69" s="109">
        <v>48</v>
      </c>
      <c r="S69" s="77">
        <v>1</v>
      </c>
      <c r="T69" s="251">
        <v>0.5</v>
      </c>
      <c r="U69" s="66" t="s">
        <v>453</v>
      </c>
      <c r="V69" s="66" t="s">
        <v>454</v>
      </c>
      <c r="W69" s="562"/>
      <c r="X69" s="351" t="s">
        <v>1147</v>
      </c>
      <c r="Y69" s="109">
        <v>48</v>
      </c>
      <c r="Z69" s="77">
        <v>1</v>
      </c>
      <c r="AA69" s="251">
        <v>0.5</v>
      </c>
      <c r="AB69" s="66"/>
      <c r="AC69" s="66"/>
      <c r="AD69" s="562"/>
      <c r="AE69" s="99"/>
      <c r="AF69" s="633">
        <v>0.8</v>
      </c>
      <c r="AG69" s="548">
        <v>0.8</v>
      </c>
      <c r="AH69" s="251">
        <v>0.5</v>
      </c>
      <c r="AI69" s="605" t="s">
        <v>614</v>
      </c>
      <c r="AJ69" s="605" t="s">
        <v>615</v>
      </c>
      <c r="AK69" s="562"/>
      <c r="AL69" s="622" t="s">
        <v>687</v>
      </c>
      <c r="AM69" s="641">
        <v>0.9</v>
      </c>
      <c r="AN69" s="549">
        <v>1</v>
      </c>
      <c r="AO69" s="251">
        <v>0.5</v>
      </c>
      <c r="AP69" s="640" t="s">
        <v>700</v>
      </c>
      <c r="AQ69" s="640" t="s">
        <v>701</v>
      </c>
      <c r="AR69" s="562"/>
      <c r="AS69" s="761" t="s">
        <v>765</v>
      </c>
      <c r="AT69" s="699">
        <v>1</v>
      </c>
      <c r="AU69" s="700">
        <v>1</v>
      </c>
      <c r="AV69" s="251">
        <v>0.5</v>
      </c>
      <c r="AW69" s="701">
        <v>25000000</v>
      </c>
      <c r="AX69" s="701">
        <v>23933333</v>
      </c>
      <c r="AY69" s="562"/>
      <c r="AZ69" s="716" t="s">
        <v>826</v>
      </c>
      <c r="BA69" s="103">
        <v>30</v>
      </c>
      <c r="BB69" s="67">
        <v>29</v>
      </c>
      <c r="BC69" s="251">
        <v>0.5</v>
      </c>
      <c r="BD69" s="500"/>
      <c r="BE69" s="500"/>
      <c r="BF69" s="562"/>
      <c r="BG69" s="770"/>
      <c r="BH69" s="105">
        <v>42</v>
      </c>
      <c r="BI69" s="67">
        <v>1</v>
      </c>
      <c r="BJ69" s="70">
        <f>(BI69/BH69)*1</f>
        <v>2.3809523809523808E-2</v>
      </c>
      <c r="BK69" s="66">
        <v>12000000</v>
      </c>
      <c r="BL69" s="66">
        <v>12000000</v>
      </c>
      <c r="BM69" s="562"/>
      <c r="BN69" s="100" t="s">
        <v>538</v>
      </c>
      <c r="BO69" s="109">
        <v>48</v>
      </c>
      <c r="BP69" s="77">
        <v>1</v>
      </c>
      <c r="BQ69" s="251">
        <v>0.5</v>
      </c>
      <c r="BR69" s="66" t="s">
        <v>578</v>
      </c>
      <c r="BS69" s="66" t="s">
        <v>454</v>
      </c>
      <c r="BT69" s="562"/>
      <c r="BU69" s="100" t="s">
        <v>1148</v>
      </c>
      <c r="BV69" s="61">
        <v>54</v>
      </c>
      <c r="BW69" s="77">
        <v>1</v>
      </c>
      <c r="BX69" s="251">
        <v>1.7999999999999999E-2</v>
      </c>
      <c r="BY69" s="66">
        <f>17100000+11400000+5700000</f>
        <v>34200000</v>
      </c>
      <c r="BZ69" s="66">
        <f>17100000+11400000+5700000</f>
        <v>34200000</v>
      </c>
      <c r="CA69" s="251">
        <f>BZ69/BY69</f>
        <v>1</v>
      </c>
      <c r="CB69" s="152" t="s">
        <v>939</v>
      </c>
      <c r="CC69" s="167" t="s">
        <v>983</v>
      </c>
      <c r="CD69" s="61">
        <v>60</v>
      </c>
      <c r="CE69" s="77">
        <v>0</v>
      </c>
      <c r="CF69" s="14">
        <v>1.7999999999999999E-2</v>
      </c>
      <c r="CG69" s="62">
        <f>17100000+11400000+5700000+7000000+1254392020.33+6600000</f>
        <v>1302192020.3299999</v>
      </c>
      <c r="CH69" s="62">
        <f>17100000+11400000+5700000+7000000+6600000</f>
        <v>47800000</v>
      </c>
      <c r="CI69" s="14">
        <f>CH69/CG69</f>
        <v>3.6707335979440717E-2</v>
      </c>
      <c r="CJ69" s="152" t="s">
        <v>939</v>
      </c>
      <c r="CK69" s="221" t="s">
        <v>1149</v>
      </c>
      <c r="CL69" s="45">
        <v>60</v>
      </c>
      <c r="CM69" s="45">
        <v>0</v>
      </c>
      <c r="CN69" s="172">
        <v>1.7999999999999999E-2</v>
      </c>
      <c r="CO69" s="180">
        <v>5000000</v>
      </c>
      <c r="CP69" s="180">
        <v>5000000</v>
      </c>
      <c r="CQ69" s="172">
        <f>CP69/CO69</f>
        <v>1</v>
      </c>
      <c r="CR69" s="152" t="s">
        <v>939</v>
      </c>
      <c r="CS69" s="239" t="s">
        <v>1210</v>
      </c>
      <c r="CT69" s="77">
        <v>60</v>
      </c>
      <c r="CU69" s="67">
        <v>0</v>
      </c>
      <c r="CV69" s="14">
        <v>0</v>
      </c>
      <c r="CW69" s="62">
        <v>5000000</v>
      </c>
      <c r="CX69" s="62">
        <v>5000000</v>
      </c>
      <c r="CY69" s="14">
        <f>CX69/CW69</f>
        <v>1</v>
      </c>
      <c r="CZ69" s="152" t="s">
        <v>939</v>
      </c>
      <c r="DA69" s="221" t="s">
        <v>1150</v>
      </c>
      <c r="DB69" s="67">
        <v>60</v>
      </c>
      <c r="DC69" s="67">
        <v>34</v>
      </c>
      <c r="DD69" s="335">
        <f>DC69/DB69</f>
        <v>0.56666666666666665</v>
      </c>
    </row>
    <row r="70" spans="1:109" ht="18.75" customHeight="1" x14ac:dyDescent="0.25">
      <c r="A70" s="810" t="s">
        <v>195</v>
      </c>
      <c r="B70" s="431" t="s">
        <v>196</v>
      </c>
      <c r="C70" s="609" t="s">
        <v>197</v>
      </c>
      <c r="D70" s="604" t="s">
        <v>198</v>
      </c>
      <c r="E70" s="492" t="s">
        <v>199</v>
      </c>
      <c r="F70" s="492" t="s">
        <v>200</v>
      </c>
      <c r="G70" s="492" t="s">
        <v>201</v>
      </c>
      <c r="H70" s="430" t="s">
        <v>940</v>
      </c>
      <c r="I70" s="550">
        <v>0</v>
      </c>
      <c r="J70" s="492">
        <v>100</v>
      </c>
      <c r="K70" s="562" t="s">
        <v>272</v>
      </c>
      <c r="L70" s="562" t="s">
        <v>273</v>
      </c>
      <c r="M70" s="562" t="s">
        <v>274</v>
      </c>
      <c r="N70" s="562" t="s">
        <v>404</v>
      </c>
      <c r="O70" s="562" t="s">
        <v>274</v>
      </c>
      <c r="P70" s="562" t="s">
        <v>381</v>
      </c>
      <c r="Q70" s="621">
        <v>1</v>
      </c>
      <c r="R70" s="633">
        <v>0.5</v>
      </c>
      <c r="S70" s="548">
        <v>0.5</v>
      </c>
      <c r="T70" s="499">
        <v>1</v>
      </c>
      <c r="U70" s="500">
        <v>11540000</v>
      </c>
      <c r="V70" s="500">
        <v>0</v>
      </c>
      <c r="W70" s="492" t="s">
        <v>243</v>
      </c>
      <c r="X70" s="626" t="s">
        <v>455</v>
      </c>
      <c r="Y70" s="633">
        <v>0.5</v>
      </c>
      <c r="Z70" s="548">
        <v>0.5</v>
      </c>
      <c r="AA70" s="499">
        <v>1</v>
      </c>
      <c r="AB70" s="500"/>
      <c r="AC70" s="500"/>
      <c r="AD70" s="492" t="s">
        <v>243</v>
      </c>
      <c r="AE70" s="763"/>
      <c r="AF70" s="633"/>
      <c r="AG70" s="548"/>
      <c r="AH70" s="499">
        <v>1</v>
      </c>
      <c r="AI70" s="605"/>
      <c r="AJ70" s="605"/>
      <c r="AK70" s="492" t="s">
        <v>243</v>
      </c>
      <c r="AL70" s="622"/>
      <c r="AM70" s="641"/>
      <c r="AN70" s="549"/>
      <c r="AO70" s="499">
        <v>1</v>
      </c>
      <c r="AP70" s="640"/>
      <c r="AQ70" s="640"/>
      <c r="AR70" s="492" t="s">
        <v>243</v>
      </c>
      <c r="AS70" s="761"/>
      <c r="AT70" s="696"/>
      <c r="AU70" s="697"/>
      <c r="AV70" s="499">
        <v>1</v>
      </c>
      <c r="AW70" s="697"/>
      <c r="AX70" s="697"/>
      <c r="AY70" s="492" t="s">
        <v>243</v>
      </c>
      <c r="AZ70" s="716"/>
      <c r="BA70" s="663">
        <v>1</v>
      </c>
      <c r="BB70" s="598">
        <v>0.9</v>
      </c>
      <c r="BC70" s="499">
        <v>1</v>
      </c>
      <c r="BD70" s="500">
        <v>32000000</v>
      </c>
      <c r="BE70" s="500">
        <v>31440300</v>
      </c>
      <c r="BF70" s="492" t="s">
        <v>243</v>
      </c>
      <c r="BG70" s="770" t="s">
        <v>887</v>
      </c>
      <c r="BH70" s="633">
        <v>0.5</v>
      </c>
      <c r="BI70" s="548">
        <v>0</v>
      </c>
      <c r="BJ70" s="499">
        <v>0</v>
      </c>
      <c r="BK70" s="605"/>
      <c r="BL70" s="605"/>
      <c r="BM70" s="492" t="s">
        <v>243</v>
      </c>
      <c r="BN70" s="626" t="s">
        <v>539</v>
      </c>
      <c r="BO70" s="633">
        <v>0.5</v>
      </c>
      <c r="BP70" s="548">
        <v>0.5</v>
      </c>
      <c r="BQ70" s="499">
        <v>1</v>
      </c>
      <c r="BR70" s="500">
        <v>11540000</v>
      </c>
      <c r="BS70" s="500">
        <v>0</v>
      </c>
      <c r="BT70" s="492" t="s">
        <v>243</v>
      </c>
      <c r="BU70" s="626" t="s">
        <v>1151</v>
      </c>
      <c r="BV70" s="525">
        <v>0.5</v>
      </c>
      <c r="BW70" s="548">
        <v>0.5</v>
      </c>
      <c r="BX70" s="499">
        <v>1</v>
      </c>
      <c r="BY70" s="500">
        <v>271452800</v>
      </c>
      <c r="BZ70" s="500">
        <v>223685832</v>
      </c>
      <c r="CA70" s="501">
        <f>BZ70/BY70</f>
        <v>0.82403214113098111</v>
      </c>
      <c r="CB70" s="430" t="s">
        <v>940</v>
      </c>
      <c r="CC70" s="723" t="s">
        <v>984</v>
      </c>
      <c r="CD70" s="525">
        <v>0.5</v>
      </c>
      <c r="CE70" s="548">
        <v>0.5</v>
      </c>
      <c r="CF70" s="499">
        <v>1</v>
      </c>
      <c r="CG70" s="500">
        <v>271452800</v>
      </c>
      <c r="CH70" s="500">
        <v>223685832</v>
      </c>
      <c r="CI70" s="501">
        <f>CH70/CG70</f>
        <v>0.82403214113098111</v>
      </c>
      <c r="CJ70" s="430" t="s">
        <v>940</v>
      </c>
      <c r="CK70" s="504" t="s">
        <v>984</v>
      </c>
      <c r="CL70" s="412">
        <v>100</v>
      </c>
      <c r="CM70" s="429">
        <v>0.5</v>
      </c>
      <c r="CN70" s="416">
        <v>1</v>
      </c>
      <c r="CO70" s="425">
        <v>14800000</v>
      </c>
      <c r="CP70" s="425">
        <v>3700000</v>
      </c>
      <c r="CQ70" s="406">
        <f>CP70/CO70</f>
        <v>0.25</v>
      </c>
      <c r="CR70" s="430" t="s">
        <v>940</v>
      </c>
      <c r="CS70" s="432" t="s">
        <v>1211</v>
      </c>
      <c r="CT70" s="417">
        <v>100</v>
      </c>
      <c r="CU70" s="598">
        <v>0.5</v>
      </c>
      <c r="CV70" s="499">
        <v>0.5</v>
      </c>
      <c r="CW70" s="500">
        <v>14800000</v>
      </c>
      <c r="CX70" s="500">
        <v>3700000</v>
      </c>
      <c r="CY70" s="501">
        <f>CX70/CW70</f>
        <v>0.25</v>
      </c>
      <c r="CZ70" s="430" t="s">
        <v>940</v>
      </c>
      <c r="DA70" s="504" t="s">
        <v>984</v>
      </c>
      <c r="DB70" s="548">
        <v>1</v>
      </c>
      <c r="DC70" s="594">
        <v>0.5</v>
      </c>
      <c r="DD70" s="590">
        <f>DC70/DB70</f>
        <v>0.5</v>
      </c>
    </row>
    <row r="71" spans="1:109" ht="57.75" customHeight="1" x14ac:dyDescent="0.25">
      <c r="A71" s="811"/>
      <c r="B71" s="431"/>
      <c r="C71" s="609"/>
      <c r="D71" s="604"/>
      <c r="E71" s="492"/>
      <c r="F71" s="492"/>
      <c r="G71" s="492"/>
      <c r="H71" s="431"/>
      <c r="I71" s="550"/>
      <c r="J71" s="492"/>
      <c r="K71" s="562"/>
      <c r="L71" s="562"/>
      <c r="M71" s="562"/>
      <c r="N71" s="562"/>
      <c r="O71" s="562"/>
      <c r="P71" s="562"/>
      <c r="Q71" s="622"/>
      <c r="R71" s="633"/>
      <c r="S71" s="548"/>
      <c r="T71" s="499"/>
      <c r="U71" s="500"/>
      <c r="V71" s="500"/>
      <c r="W71" s="492"/>
      <c r="X71" s="626"/>
      <c r="Y71" s="633"/>
      <c r="Z71" s="548"/>
      <c r="AA71" s="499"/>
      <c r="AB71" s="500"/>
      <c r="AC71" s="500"/>
      <c r="AD71" s="492"/>
      <c r="AE71" s="763"/>
      <c r="AF71" s="633"/>
      <c r="AG71" s="548"/>
      <c r="AH71" s="499"/>
      <c r="AI71" s="605"/>
      <c r="AJ71" s="605"/>
      <c r="AK71" s="492"/>
      <c r="AL71" s="622"/>
      <c r="AM71" s="641"/>
      <c r="AN71" s="549"/>
      <c r="AO71" s="499"/>
      <c r="AP71" s="640"/>
      <c r="AQ71" s="640"/>
      <c r="AR71" s="492"/>
      <c r="AS71" s="761"/>
      <c r="AT71" s="696"/>
      <c r="AU71" s="697"/>
      <c r="AV71" s="499"/>
      <c r="AW71" s="697"/>
      <c r="AX71" s="697"/>
      <c r="AY71" s="492"/>
      <c r="AZ71" s="716"/>
      <c r="BA71" s="663"/>
      <c r="BB71" s="562"/>
      <c r="BC71" s="499"/>
      <c r="BD71" s="500"/>
      <c r="BE71" s="500"/>
      <c r="BF71" s="492"/>
      <c r="BG71" s="770"/>
      <c r="BH71" s="633"/>
      <c r="BI71" s="548"/>
      <c r="BJ71" s="499"/>
      <c r="BK71" s="605"/>
      <c r="BL71" s="605"/>
      <c r="BM71" s="492"/>
      <c r="BN71" s="626"/>
      <c r="BO71" s="633"/>
      <c r="BP71" s="548"/>
      <c r="BQ71" s="499"/>
      <c r="BR71" s="500"/>
      <c r="BS71" s="500"/>
      <c r="BT71" s="492"/>
      <c r="BU71" s="626"/>
      <c r="BV71" s="546"/>
      <c r="BW71" s="548"/>
      <c r="BX71" s="499"/>
      <c r="BY71" s="500"/>
      <c r="BZ71" s="500"/>
      <c r="CA71" s="502"/>
      <c r="CB71" s="431"/>
      <c r="CC71" s="723"/>
      <c r="CD71" s="546"/>
      <c r="CE71" s="548"/>
      <c r="CF71" s="499"/>
      <c r="CG71" s="500"/>
      <c r="CH71" s="500"/>
      <c r="CI71" s="502"/>
      <c r="CJ71" s="431"/>
      <c r="CK71" s="504"/>
      <c r="CL71" s="428"/>
      <c r="CM71" s="429"/>
      <c r="CN71" s="416"/>
      <c r="CO71" s="425"/>
      <c r="CP71" s="425"/>
      <c r="CQ71" s="407"/>
      <c r="CR71" s="431"/>
      <c r="CS71" s="432"/>
      <c r="CT71" s="431"/>
      <c r="CU71" s="598"/>
      <c r="CV71" s="499"/>
      <c r="CW71" s="500"/>
      <c r="CX71" s="500"/>
      <c r="CY71" s="502"/>
      <c r="CZ71" s="431"/>
      <c r="DA71" s="504"/>
      <c r="DB71" s="492"/>
      <c r="DC71" s="600"/>
      <c r="DD71" s="590"/>
    </row>
    <row r="72" spans="1:109" ht="82.5" customHeight="1" x14ac:dyDescent="0.25">
      <c r="A72" s="811"/>
      <c r="B72" s="431"/>
      <c r="C72" s="619"/>
      <c r="D72" s="604"/>
      <c r="E72" s="492"/>
      <c r="F72" s="492"/>
      <c r="G72" s="492"/>
      <c r="H72" s="418"/>
      <c r="I72" s="550"/>
      <c r="J72" s="492"/>
      <c r="K72" s="562"/>
      <c r="L72" s="562"/>
      <c r="M72" s="562"/>
      <c r="N72" s="562"/>
      <c r="O72" s="562"/>
      <c r="P72" s="562"/>
      <c r="Q72" s="622"/>
      <c r="R72" s="633"/>
      <c r="S72" s="548"/>
      <c r="T72" s="499"/>
      <c r="U72" s="500"/>
      <c r="V72" s="500"/>
      <c r="W72" s="492"/>
      <c r="X72" s="626"/>
      <c r="Y72" s="633"/>
      <c r="Z72" s="548"/>
      <c r="AA72" s="499"/>
      <c r="AB72" s="500"/>
      <c r="AC72" s="500"/>
      <c r="AD72" s="492"/>
      <c r="AE72" s="763"/>
      <c r="AF72" s="123">
        <v>1</v>
      </c>
      <c r="AG72" s="77">
        <v>1</v>
      </c>
      <c r="AH72" s="499"/>
      <c r="AI72" s="62" t="s">
        <v>29</v>
      </c>
      <c r="AJ72" s="62" t="s">
        <v>29</v>
      </c>
      <c r="AK72" s="492"/>
      <c r="AL72" s="133" t="s">
        <v>688</v>
      </c>
      <c r="AM72" s="102">
        <v>1</v>
      </c>
      <c r="AN72" s="61">
        <v>1</v>
      </c>
      <c r="AO72" s="499"/>
      <c r="AP72" s="89" t="s">
        <v>620</v>
      </c>
      <c r="AQ72" s="89" t="s">
        <v>620</v>
      </c>
      <c r="AR72" s="492"/>
      <c r="AS72" s="133" t="s">
        <v>766</v>
      </c>
      <c r="AT72" s="696">
        <v>1</v>
      </c>
      <c r="AU72" s="697">
        <v>5</v>
      </c>
      <c r="AV72" s="499"/>
      <c r="AW72" s="705">
        <v>25000000</v>
      </c>
      <c r="AX72" s="705">
        <v>23933333</v>
      </c>
      <c r="AY72" s="492"/>
      <c r="AZ72" s="718" t="s">
        <v>827</v>
      </c>
      <c r="BA72" s="663"/>
      <c r="BB72" s="562"/>
      <c r="BC72" s="499"/>
      <c r="BD72" s="500"/>
      <c r="BE72" s="500"/>
      <c r="BF72" s="492"/>
      <c r="BG72" s="770"/>
      <c r="BH72" s="633"/>
      <c r="BI72" s="548"/>
      <c r="BJ72" s="499"/>
      <c r="BK72" s="605"/>
      <c r="BL72" s="605"/>
      <c r="BM72" s="492"/>
      <c r="BN72" s="626"/>
      <c r="BO72" s="633"/>
      <c r="BP72" s="548"/>
      <c r="BQ72" s="499"/>
      <c r="BR72" s="500"/>
      <c r="BS72" s="500"/>
      <c r="BT72" s="492"/>
      <c r="BU72" s="626"/>
      <c r="BV72" s="547"/>
      <c r="BW72" s="548"/>
      <c r="BX72" s="499"/>
      <c r="BY72" s="500"/>
      <c r="BZ72" s="500"/>
      <c r="CA72" s="503"/>
      <c r="CB72" s="418"/>
      <c r="CC72" s="724"/>
      <c r="CD72" s="547"/>
      <c r="CE72" s="548"/>
      <c r="CF72" s="499"/>
      <c r="CG72" s="500"/>
      <c r="CH72" s="500"/>
      <c r="CI72" s="503"/>
      <c r="CJ72" s="418"/>
      <c r="CK72" s="505"/>
      <c r="CL72" s="413"/>
      <c r="CM72" s="429"/>
      <c r="CN72" s="416"/>
      <c r="CO72" s="425"/>
      <c r="CP72" s="425"/>
      <c r="CQ72" s="408"/>
      <c r="CR72" s="418"/>
      <c r="CS72" s="433"/>
      <c r="CT72" s="418"/>
      <c r="CU72" s="598"/>
      <c r="CV72" s="499"/>
      <c r="CW72" s="500"/>
      <c r="CX72" s="500"/>
      <c r="CY72" s="503"/>
      <c r="CZ72" s="418"/>
      <c r="DA72" s="505"/>
      <c r="DB72" s="492"/>
      <c r="DC72" s="595"/>
      <c r="DD72" s="524"/>
    </row>
    <row r="73" spans="1:109" ht="159.75" customHeight="1" x14ac:dyDescent="0.25">
      <c r="A73" s="811"/>
      <c r="B73" s="431"/>
      <c r="C73" s="352" t="s">
        <v>202</v>
      </c>
      <c r="D73" s="123" t="s">
        <v>203</v>
      </c>
      <c r="E73" s="77" t="s">
        <v>204</v>
      </c>
      <c r="F73" s="77" t="s">
        <v>205</v>
      </c>
      <c r="G73" s="77" t="s">
        <v>201</v>
      </c>
      <c r="H73" s="77" t="s">
        <v>941</v>
      </c>
      <c r="I73" s="61">
        <v>0</v>
      </c>
      <c r="J73" s="77">
        <v>10</v>
      </c>
      <c r="K73" s="67" t="s">
        <v>276</v>
      </c>
      <c r="L73" s="67" t="s">
        <v>340</v>
      </c>
      <c r="M73" s="77">
        <v>3902017</v>
      </c>
      <c r="N73" s="77" t="s">
        <v>341</v>
      </c>
      <c r="O73" s="77">
        <v>390201700</v>
      </c>
      <c r="P73" s="77" t="s">
        <v>341</v>
      </c>
      <c r="Q73" s="118">
        <v>10</v>
      </c>
      <c r="R73" s="109">
        <v>8</v>
      </c>
      <c r="S73" s="77">
        <v>20</v>
      </c>
      <c r="T73" s="68">
        <v>1</v>
      </c>
      <c r="U73" s="66"/>
      <c r="V73" s="66"/>
      <c r="W73" s="77" t="s">
        <v>261</v>
      </c>
      <c r="X73" s="133" t="s">
        <v>456</v>
      </c>
      <c r="Y73" s="109">
        <v>8</v>
      </c>
      <c r="Z73" s="77">
        <v>20</v>
      </c>
      <c r="AA73" s="68">
        <v>1</v>
      </c>
      <c r="AB73" s="66"/>
      <c r="AC73" s="71"/>
      <c r="AD73" s="77" t="s">
        <v>261</v>
      </c>
      <c r="AE73" s="133"/>
      <c r="AF73" s="604">
        <v>1</v>
      </c>
      <c r="AG73" s="492">
        <v>1</v>
      </c>
      <c r="AH73" s="68">
        <v>1</v>
      </c>
      <c r="AI73" s="605" t="s">
        <v>614</v>
      </c>
      <c r="AJ73" s="605" t="s">
        <v>615</v>
      </c>
      <c r="AK73" s="77" t="s">
        <v>261</v>
      </c>
      <c r="AL73" s="622" t="s">
        <v>689</v>
      </c>
      <c r="AM73" s="642">
        <v>1</v>
      </c>
      <c r="AN73" s="550">
        <v>1</v>
      </c>
      <c r="AO73" s="68">
        <v>1</v>
      </c>
      <c r="AP73" s="651">
        <v>205750000</v>
      </c>
      <c r="AQ73" s="651">
        <v>102060000</v>
      </c>
      <c r="AR73" s="77" t="s">
        <v>261</v>
      </c>
      <c r="AS73" s="763" t="s">
        <v>767</v>
      </c>
      <c r="AT73" s="696"/>
      <c r="AU73" s="697"/>
      <c r="AV73" s="68">
        <v>1</v>
      </c>
      <c r="AW73" s="705"/>
      <c r="AX73" s="705"/>
      <c r="AY73" s="77" t="s">
        <v>261</v>
      </c>
      <c r="AZ73" s="718"/>
      <c r="BA73" s="103">
        <v>10</v>
      </c>
      <c r="BB73" s="67">
        <v>20</v>
      </c>
      <c r="BC73" s="68">
        <v>1</v>
      </c>
      <c r="BD73" s="66">
        <v>519754832</v>
      </c>
      <c r="BE73" s="66">
        <v>74220990</v>
      </c>
      <c r="BF73" s="77" t="s">
        <v>261</v>
      </c>
      <c r="BG73" s="99" t="s">
        <v>888</v>
      </c>
      <c r="BH73" s="109">
        <v>7</v>
      </c>
      <c r="BI73" s="77">
        <v>0</v>
      </c>
      <c r="BJ73" s="68">
        <v>0</v>
      </c>
      <c r="BK73" s="62"/>
      <c r="BL73" s="62"/>
      <c r="BM73" s="77" t="s">
        <v>261</v>
      </c>
      <c r="BN73" s="133" t="s">
        <v>540</v>
      </c>
      <c r="BO73" s="109">
        <v>8</v>
      </c>
      <c r="BP73" s="77">
        <v>20</v>
      </c>
      <c r="BQ73" s="68">
        <v>1</v>
      </c>
      <c r="BR73" s="66"/>
      <c r="BS73" s="66"/>
      <c r="BT73" s="77" t="s">
        <v>261</v>
      </c>
      <c r="BU73" s="133" t="s">
        <v>1152</v>
      </c>
      <c r="BV73" s="160">
        <v>9</v>
      </c>
      <c r="BW73" s="77">
        <v>9</v>
      </c>
      <c r="BX73" s="68">
        <v>1</v>
      </c>
      <c r="BY73" s="353">
        <v>451220071</v>
      </c>
      <c r="BZ73" s="353">
        <f>BY73/2</f>
        <v>225610035.5</v>
      </c>
      <c r="CA73" s="304">
        <f>BZ73/BY73</f>
        <v>0.5</v>
      </c>
      <c r="CB73" s="77" t="s">
        <v>941</v>
      </c>
      <c r="CC73" s="169" t="s">
        <v>985</v>
      </c>
      <c r="CD73" s="160">
        <v>10</v>
      </c>
      <c r="CE73" s="77">
        <v>9</v>
      </c>
      <c r="CF73" s="354">
        <v>1</v>
      </c>
      <c r="CG73" s="353">
        <f>451220071+35948539+25833670+6400000</f>
        <v>519402280</v>
      </c>
      <c r="CH73" s="62">
        <f>(CG73/2)+28564200+1546720</f>
        <v>289812060</v>
      </c>
      <c r="CI73" s="304">
        <f>CH73/CG73</f>
        <v>0.55797225225888492</v>
      </c>
      <c r="CJ73" s="77" t="s">
        <v>941</v>
      </c>
      <c r="CK73" s="292" t="s">
        <v>1153</v>
      </c>
      <c r="CL73" s="45">
        <v>10</v>
      </c>
      <c r="CM73" s="45">
        <v>9</v>
      </c>
      <c r="CN73" s="243">
        <v>1</v>
      </c>
      <c r="CO73" s="247">
        <f>23616640</f>
        <v>23616640</v>
      </c>
      <c r="CP73" s="248">
        <f>10660309</f>
        <v>10660309</v>
      </c>
      <c r="CQ73" s="142">
        <f>+CP73/CO73</f>
        <v>0.45138974045418823</v>
      </c>
      <c r="CR73" s="77" t="s">
        <v>941</v>
      </c>
      <c r="CS73" s="238" t="s">
        <v>1212</v>
      </c>
      <c r="CT73" s="77">
        <v>10</v>
      </c>
      <c r="CU73" s="67">
        <v>7</v>
      </c>
      <c r="CV73" s="354">
        <v>0.7</v>
      </c>
      <c r="CW73" s="355">
        <f>23616640</f>
        <v>23616640</v>
      </c>
      <c r="CX73" s="356">
        <f>10660309</f>
        <v>10660309</v>
      </c>
      <c r="CY73" s="304">
        <f>+CX73/CW73</f>
        <v>0.45138974045418823</v>
      </c>
      <c r="CZ73" s="77" t="s">
        <v>941</v>
      </c>
      <c r="DA73" s="292" t="s">
        <v>1154</v>
      </c>
      <c r="DB73" s="77">
        <v>10</v>
      </c>
      <c r="DC73" s="249">
        <v>43</v>
      </c>
      <c r="DD73" s="304">
        <v>1</v>
      </c>
    </row>
    <row r="74" spans="1:109" ht="27" customHeight="1" x14ac:dyDescent="0.25">
      <c r="A74" s="811"/>
      <c r="B74" s="431"/>
      <c r="C74" s="616" t="s">
        <v>206</v>
      </c>
      <c r="D74" s="604" t="s">
        <v>207</v>
      </c>
      <c r="E74" s="492" t="s">
        <v>208</v>
      </c>
      <c r="F74" s="492" t="s">
        <v>209</v>
      </c>
      <c r="G74" s="492" t="s">
        <v>201</v>
      </c>
      <c r="H74" s="417" t="s">
        <v>941</v>
      </c>
      <c r="I74" s="550">
        <v>0</v>
      </c>
      <c r="J74" s="492">
        <v>10</v>
      </c>
      <c r="K74" s="562" t="s">
        <v>272</v>
      </c>
      <c r="L74" s="562" t="s">
        <v>293</v>
      </c>
      <c r="M74" s="562" t="s">
        <v>274</v>
      </c>
      <c r="N74" s="562" t="s">
        <v>294</v>
      </c>
      <c r="O74" s="562" t="s">
        <v>274</v>
      </c>
      <c r="P74" s="562" t="s">
        <v>295</v>
      </c>
      <c r="Q74" s="622">
        <v>10</v>
      </c>
      <c r="R74" s="628">
        <v>8</v>
      </c>
      <c r="S74" s="492">
        <v>11</v>
      </c>
      <c r="T74" s="509">
        <f>S74/S74</f>
        <v>1</v>
      </c>
      <c r="U74" s="500">
        <v>60844000</v>
      </c>
      <c r="V74" s="500">
        <v>9900000</v>
      </c>
      <c r="W74" s="492" t="s">
        <v>262</v>
      </c>
      <c r="X74" s="626" t="s">
        <v>457</v>
      </c>
      <c r="Y74" s="628">
        <v>8</v>
      </c>
      <c r="Z74" s="492">
        <v>11</v>
      </c>
      <c r="AA74" s="509">
        <f>Z74/Z74</f>
        <v>1</v>
      </c>
      <c r="AB74" s="500"/>
      <c r="AC74" s="500"/>
      <c r="AD74" s="492" t="s">
        <v>262</v>
      </c>
      <c r="AE74" s="763"/>
      <c r="AF74" s="604"/>
      <c r="AG74" s="492"/>
      <c r="AH74" s="509" t="e">
        <f>AG74/AG74</f>
        <v>#DIV/0!</v>
      </c>
      <c r="AI74" s="605"/>
      <c r="AJ74" s="605"/>
      <c r="AK74" s="492" t="s">
        <v>262</v>
      </c>
      <c r="AL74" s="622"/>
      <c r="AM74" s="642"/>
      <c r="AN74" s="550"/>
      <c r="AO74" s="509" t="e">
        <f>AN74/AN74</f>
        <v>#DIV/0!</v>
      </c>
      <c r="AP74" s="652"/>
      <c r="AQ74" s="652"/>
      <c r="AR74" s="492" t="s">
        <v>262</v>
      </c>
      <c r="AS74" s="763"/>
      <c r="AT74" s="696">
        <v>3</v>
      </c>
      <c r="AU74" s="697">
        <v>1</v>
      </c>
      <c r="AV74" s="509">
        <f>AU74/AU74</f>
        <v>1</v>
      </c>
      <c r="AW74" s="705" t="s">
        <v>776</v>
      </c>
      <c r="AX74" s="706" t="s">
        <v>776</v>
      </c>
      <c r="AY74" s="492" t="s">
        <v>262</v>
      </c>
      <c r="AZ74" s="715" t="s">
        <v>951</v>
      </c>
      <c r="BA74" s="665">
        <v>6</v>
      </c>
      <c r="BB74" s="562" t="s">
        <v>840</v>
      </c>
      <c r="BC74" s="509" t="e">
        <f>BB74/BB74</f>
        <v>#VALUE!</v>
      </c>
      <c r="BD74" s="500">
        <v>1563620850</v>
      </c>
      <c r="BE74" s="500">
        <v>1172715638</v>
      </c>
      <c r="BF74" s="492" t="s">
        <v>262</v>
      </c>
      <c r="BG74" s="770" t="s">
        <v>889</v>
      </c>
      <c r="BH74" s="628">
        <v>7</v>
      </c>
      <c r="BI74" s="492">
        <v>2</v>
      </c>
      <c r="BJ74" s="509">
        <f>(BI74/BH74)*1</f>
        <v>0.2857142857142857</v>
      </c>
      <c r="BK74" s="605"/>
      <c r="BL74" s="605"/>
      <c r="BM74" s="492" t="s">
        <v>262</v>
      </c>
      <c r="BN74" s="670" t="s">
        <v>541</v>
      </c>
      <c r="BO74" s="628">
        <v>8</v>
      </c>
      <c r="BP74" s="492">
        <v>5</v>
      </c>
      <c r="BQ74" s="509">
        <f>BP74/BP74</f>
        <v>1</v>
      </c>
      <c r="BR74" s="500">
        <v>60844000</v>
      </c>
      <c r="BS74" s="500">
        <v>9900000</v>
      </c>
      <c r="BT74" s="492" t="s">
        <v>262</v>
      </c>
      <c r="BU74" s="670" t="s">
        <v>1155</v>
      </c>
      <c r="BV74" s="506">
        <v>9</v>
      </c>
      <c r="BW74" s="492">
        <v>11</v>
      </c>
      <c r="BX74" s="509">
        <f>BW74/BW74</f>
        <v>1</v>
      </c>
      <c r="BY74" s="510">
        <v>2673832466</v>
      </c>
      <c r="BZ74" s="510">
        <f>BY74*6</f>
        <v>16042994796</v>
      </c>
      <c r="CA74" s="516">
        <v>1</v>
      </c>
      <c r="CB74" s="417" t="s">
        <v>941</v>
      </c>
      <c r="CC74" s="722" t="s">
        <v>986</v>
      </c>
      <c r="CD74" s="506">
        <v>10</v>
      </c>
      <c r="CE74" s="492">
        <v>11</v>
      </c>
      <c r="CF74" s="509">
        <f>CE74/CE74</f>
        <v>1</v>
      </c>
      <c r="CG74" s="510">
        <f>2759841966*6+23454000+9775000+41044500</f>
        <v>16633325296</v>
      </c>
      <c r="CH74" s="513">
        <f>2673832466+44965000+41044500+35181000</f>
        <v>2795022966</v>
      </c>
      <c r="CI74" s="516">
        <f>CH74/CG74</f>
        <v>0.16803753406254551</v>
      </c>
      <c r="CJ74" s="417" t="s">
        <v>941</v>
      </c>
      <c r="CK74" s="519" t="s">
        <v>1156</v>
      </c>
      <c r="CL74" s="412">
        <v>10</v>
      </c>
      <c r="CM74" s="415">
        <v>11</v>
      </c>
      <c r="CN74" s="434">
        <f>CM74/CM74</f>
        <v>1</v>
      </c>
      <c r="CO74" s="435">
        <v>1837168787</v>
      </c>
      <c r="CP74" s="438">
        <v>1837168787</v>
      </c>
      <c r="CQ74" s="419">
        <f>CP74/CO74</f>
        <v>1</v>
      </c>
      <c r="CR74" s="417" t="s">
        <v>941</v>
      </c>
      <c r="CS74" s="409" t="s">
        <v>1213</v>
      </c>
      <c r="CT74" s="417">
        <v>10</v>
      </c>
      <c r="CU74" s="492">
        <v>4</v>
      </c>
      <c r="CV74" s="509">
        <f>CU74/CT74</f>
        <v>0.4</v>
      </c>
      <c r="CW74" s="593">
        <v>972474.05438122596</v>
      </c>
      <c r="CX74" s="513">
        <v>972474.05438122596</v>
      </c>
      <c r="CY74" s="516">
        <f>CX74/CW74</f>
        <v>1</v>
      </c>
      <c r="CZ74" s="417" t="s">
        <v>941</v>
      </c>
      <c r="DA74" s="519" t="s">
        <v>1157</v>
      </c>
      <c r="DB74" s="492">
        <v>10</v>
      </c>
      <c r="DC74" s="417">
        <v>11</v>
      </c>
      <c r="DD74" s="509">
        <v>1</v>
      </c>
    </row>
    <row r="75" spans="1:109" ht="107.25" customHeight="1" x14ac:dyDescent="0.25">
      <c r="A75" s="811"/>
      <c r="B75" s="431"/>
      <c r="C75" s="617"/>
      <c r="D75" s="604"/>
      <c r="E75" s="492"/>
      <c r="F75" s="492"/>
      <c r="G75" s="492"/>
      <c r="H75" s="431"/>
      <c r="I75" s="550"/>
      <c r="J75" s="492"/>
      <c r="K75" s="562"/>
      <c r="L75" s="562"/>
      <c r="M75" s="562"/>
      <c r="N75" s="562"/>
      <c r="O75" s="562"/>
      <c r="P75" s="562"/>
      <c r="Q75" s="622"/>
      <c r="R75" s="628"/>
      <c r="S75" s="492"/>
      <c r="T75" s="509"/>
      <c r="U75" s="500"/>
      <c r="V75" s="500"/>
      <c r="W75" s="492"/>
      <c r="X75" s="626"/>
      <c r="Y75" s="628"/>
      <c r="Z75" s="492"/>
      <c r="AA75" s="509"/>
      <c r="AB75" s="500"/>
      <c r="AC75" s="500"/>
      <c r="AD75" s="492"/>
      <c r="AE75" s="763"/>
      <c r="AF75" s="604"/>
      <c r="AG75" s="492"/>
      <c r="AH75" s="509"/>
      <c r="AI75" s="605"/>
      <c r="AJ75" s="605"/>
      <c r="AK75" s="492"/>
      <c r="AL75" s="622"/>
      <c r="AM75" s="642"/>
      <c r="AN75" s="550"/>
      <c r="AO75" s="509"/>
      <c r="AP75" s="652"/>
      <c r="AQ75" s="652"/>
      <c r="AR75" s="492"/>
      <c r="AS75" s="763"/>
      <c r="AT75" s="696"/>
      <c r="AU75" s="697"/>
      <c r="AV75" s="509"/>
      <c r="AW75" s="697"/>
      <c r="AX75" s="706"/>
      <c r="AY75" s="492"/>
      <c r="AZ75" s="715"/>
      <c r="BA75" s="665"/>
      <c r="BB75" s="562"/>
      <c r="BC75" s="509"/>
      <c r="BD75" s="500"/>
      <c r="BE75" s="500"/>
      <c r="BF75" s="492"/>
      <c r="BG75" s="770"/>
      <c r="BH75" s="628"/>
      <c r="BI75" s="492"/>
      <c r="BJ75" s="509"/>
      <c r="BK75" s="605"/>
      <c r="BL75" s="605"/>
      <c r="BM75" s="492"/>
      <c r="BN75" s="670"/>
      <c r="BO75" s="628"/>
      <c r="BP75" s="492"/>
      <c r="BQ75" s="509"/>
      <c r="BR75" s="500"/>
      <c r="BS75" s="500"/>
      <c r="BT75" s="492"/>
      <c r="BU75" s="670"/>
      <c r="BV75" s="507"/>
      <c r="BW75" s="492"/>
      <c r="BX75" s="509"/>
      <c r="BY75" s="511"/>
      <c r="BZ75" s="511"/>
      <c r="CA75" s="517"/>
      <c r="CB75" s="431"/>
      <c r="CC75" s="723"/>
      <c r="CD75" s="507"/>
      <c r="CE75" s="492"/>
      <c r="CF75" s="509"/>
      <c r="CG75" s="511"/>
      <c r="CH75" s="514"/>
      <c r="CI75" s="517"/>
      <c r="CJ75" s="431"/>
      <c r="CK75" s="520"/>
      <c r="CL75" s="428"/>
      <c r="CM75" s="415"/>
      <c r="CN75" s="434"/>
      <c r="CO75" s="436"/>
      <c r="CP75" s="439"/>
      <c r="CQ75" s="441"/>
      <c r="CR75" s="431"/>
      <c r="CS75" s="410"/>
      <c r="CT75" s="431"/>
      <c r="CU75" s="492"/>
      <c r="CV75" s="509"/>
      <c r="CW75" s="511"/>
      <c r="CX75" s="514"/>
      <c r="CY75" s="517"/>
      <c r="CZ75" s="431"/>
      <c r="DA75" s="520"/>
      <c r="DB75" s="492"/>
      <c r="DC75" s="431"/>
      <c r="DD75" s="509"/>
      <c r="DE75" s="435"/>
    </row>
    <row r="76" spans="1:109" ht="218.25" customHeight="1" thickBot="1" x14ac:dyDescent="0.3">
      <c r="A76" s="813"/>
      <c r="B76" s="457"/>
      <c r="C76" s="618"/>
      <c r="D76" s="123" t="s">
        <v>210</v>
      </c>
      <c r="E76" s="77" t="s">
        <v>211</v>
      </c>
      <c r="F76" s="492"/>
      <c r="G76" s="492"/>
      <c r="H76" s="457"/>
      <c r="I76" s="550"/>
      <c r="J76" s="492"/>
      <c r="K76" s="562"/>
      <c r="L76" s="562"/>
      <c r="M76" s="562"/>
      <c r="N76" s="562"/>
      <c r="O76" s="562"/>
      <c r="P76" s="562"/>
      <c r="Q76" s="622"/>
      <c r="R76" s="628"/>
      <c r="S76" s="492"/>
      <c r="T76" s="509"/>
      <c r="U76" s="500"/>
      <c r="V76" s="500"/>
      <c r="W76" s="492"/>
      <c r="X76" s="626"/>
      <c r="Y76" s="628"/>
      <c r="Z76" s="492"/>
      <c r="AA76" s="509"/>
      <c r="AB76" s="500"/>
      <c r="AC76" s="500"/>
      <c r="AD76" s="492"/>
      <c r="AE76" s="763"/>
      <c r="AF76" s="134">
        <v>1</v>
      </c>
      <c r="AG76" s="87">
        <v>1</v>
      </c>
      <c r="AH76" s="509"/>
      <c r="AI76" s="605" t="s">
        <v>614</v>
      </c>
      <c r="AJ76" s="605" t="s">
        <v>615</v>
      </c>
      <c r="AK76" s="492"/>
      <c r="AL76" s="133" t="s">
        <v>690</v>
      </c>
      <c r="AM76" s="102" t="s">
        <v>699</v>
      </c>
      <c r="AN76" s="61" t="s">
        <v>699</v>
      </c>
      <c r="AO76" s="509"/>
      <c r="AP76" s="90">
        <v>24350000</v>
      </c>
      <c r="AQ76" s="90">
        <v>12000000</v>
      </c>
      <c r="AR76" s="492"/>
      <c r="AS76" s="133" t="s">
        <v>768</v>
      </c>
      <c r="AT76" s="123">
        <v>12</v>
      </c>
      <c r="AU76" s="77">
        <v>12</v>
      </c>
      <c r="AV76" s="509"/>
      <c r="AW76" s="94">
        <v>25000000</v>
      </c>
      <c r="AX76" s="255">
        <v>23933333</v>
      </c>
      <c r="AY76" s="492"/>
      <c r="AZ76" s="118" t="s">
        <v>828</v>
      </c>
      <c r="BA76" s="665"/>
      <c r="BB76" s="562"/>
      <c r="BC76" s="509"/>
      <c r="BD76" s="500"/>
      <c r="BE76" s="500"/>
      <c r="BF76" s="492"/>
      <c r="BG76" s="770"/>
      <c r="BH76" s="628"/>
      <c r="BI76" s="492"/>
      <c r="BJ76" s="509"/>
      <c r="BK76" s="605"/>
      <c r="BL76" s="605"/>
      <c r="BM76" s="492"/>
      <c r="BN76" s="670"/>
      <c r="BO76" s="628"/>
      <c r="BP76" s="492"/>
      <c r="BQ76" s="509"/>
      <c r="BR76" s="500"/>
      <c r="BS76" s="500"/>
      <c r="BT76" s="492"/>
      <c r="BU76" s="670"/>
      <c r="BV76" s="508"/>
      <c r="BW76" s="492"/>
      <c r="BX76" s="509"/>
      <c r="BY76" s="512"/>
      <c r="BZ76" s="512"/>
      <c r="CA76" s="518"/>
      <c r="CB76" s="457"/>
      <c r="CC76" s="723"/>
      <c r="CD76" s="508"/>
      <c r="CE76" s="492"/>
      <c r="CF76" s="509"/>
      <c r="CG76" s="512"/>
      <c r="CH76" s="515"/>
      <c r="CI76" s="518"/>
      <c r="CJ76" s="457"/>
      <c r="CK76" s="520"/>
      <c r="CL76" s="413"/>
      <c r="CM76" s="415"/>
      <c r="CN76" s="434"/>
      <c r="CO76" s="437"/>
      <c r="CP76" s="440"/>
      <c r="CQ76" s="420"/>
      <c r="CR76" s="457"/>
      <c r="CS76" s="410"/>
      <c r="CT76" s="418"/>
      <c r="CU76" s="492"/>
      <c r="CV76" s="509"/>
      <c r="CW76" s="512"/>
      <c r="CX76" s="515"/>
      <c r="CY76" s="518"/>
      <c r="CZ76" s="457"/>
      <c r="DA76" s="520"/>
      <c r="DB76" s="492"/>
      <c r="DC76" s="418"/>
      <c r="DD76" s="509"/>
      <c r="DE76" s="436"/>
    </row>
    <row r="77" spans="1:109" ht="98.25" customHeight="1" x14ac:dyDescent="0.25">
      <c r="A77" s="814" t="s">
        <v>212</v>
      </c>
      <c r="B77" s="430" t="s">
        <v>213</v>
      </c>
      <c r="C77" s="608" t="s">
        <v>214</v>
      </c>
      <c r="D77" s="123" t="s">
        <v>215</v>
      </c>
      <c r="E77" s="77" t="s">
        <v>216</v>
      </c>
      <c r="F77" s="77" t="s">
        <v>217</v>
      </c>
      <c r="G77" s="77" t="s">
        <v>218</v>
      </c>
      <c r="H77" s="151" t="s">
        <v>219</v>
      </c>
      <c r="I77" s="61">
        <v>0</v>
      </c>
      <c r="J77" s="77">
        <v>1</v>
      </c>
      <c r="K77" s="67" t="s">
        <v>342</v>
      </c>
      <c r="L77" s="67" t="s">
        <v>343</v>
      </c>
      <c r="M77" s="77" t="s">
        <v>29</v>
      </c>
      <c r="N77" s="77" t="s">
        <v>344</v>
      </c>
      <c r="O77" s="77" t="s">
        <v>29</v>
      </c>
      <c r="P77" s="77" t="s">
        <v>345</v>
      </c>
      <c r="Q77" s="118">
        <v>1</v>
      </c>
      <c r="R77" s="357" t="s">
        <v>383</v>
      </c>
      <c r="S77" s="224" t="s">
        <v>403</v>
      </c>
      <c r="T77" s="68">
        <v>1</v>
      </c>
      <c r="U77" s="66"/>
      <c r="V77" s="66">
        <v>8655000</v>
      </c>
      <c r="W77" s="562" t="s">
        <v>243</v>
      </c>
      <c r="X77" s="101" t="s">
        <v>458</v>
      </c>
      <c r="Y77" s="357" t="s">
        <v>383</v>
      </c>
      <c r="Z77" s="224" t="s">
        <v>403</v>
      </c>
      <c r="AA77" s="68">
        <v>1</v>
      </c>
      <c r="AB77" s="66"/>
      <c r="AC77" s="66"/>
      <c r="AD77" s="562" t="s">
        <v>243</v>
      </c>
      <c r="AE77" s="99"/>
      <c r="AF77" s="134">
        <v>1</v>
      </c>
      <c r="AG77" s="87">
        <v>1</v>
      </c>
      <c r="AH77" s="68">
        <v>1</v>
      </c>
      <c r="AI77" s="605"/>
      <c r="AJ77" s="605"/>
      <c r="AK77" s="562" t="s">
        <v>243</v>
      </c>
      <c r="AL77" s="133" t="s">
        <v>691</v>
      </c>
      <c r="AM77" s="119">
        <v>1</v>
      </c>
      <c r="AN77" s="88">
        <v>0</v>
      </c>
      <c r="AO77" s="68">
        <v>1</v>
      </c>
      <c r="AP77" s="90">
        <v>25000000</v>
      </c>
      <c r="AQ77" s="61">
        <v>0</v>
      </c>
      <c r="AR77" s="562" t="s">
        <v>243</v>
      </c>
      <c r="AS77" s="202" t="s">
        <v>769</v>
      </c>
      <c r="AT77" s="358">
        <v>1</v>
      </c>
      <c r="AU77" s="359">
        <v>1</v>
      </c>
      <c r="AV77" s="68">
        <v>1</v>
      </c>
      <c r="AW77" s="271" t="s">
        <v>776</v>
      </c>
      <c r="AX77" s="271" t="s">
        <v>776</v>
      </c>
      <c r="AY77" s="562" t="s">
        <v>243</v>
      </c>
      <c r="AZ77" s="121" t="s">
        <v>829</v>
      </c>
      <c r="BA77" s="137">
        <v>12</v>
      </c>
      <c r="BB77" s="132">
        <v>12</v>
      </c>
      <c r="BC77" s="68">
        <v>1</v>
      </c>
      <c r="BD77" s="75">
        <v>32000000</v>
      </c>
      <c r="BE77" s="75">
        <v>31440300</v>
      </c>
      <c r="BF77" s="562" t="s">
        <v>243</v>
      </c>
      <c r="BG77" s="99" t="s">
        <v>890</v>
      </c>
      <c r="BH77" s="110" t="s">
        <v>383</v>
      </c>
      <c r="BI77" s="78" t="s">
        <v>542</v>
      </c>
      <c r="BJ77" s="68">
        <v>0</v>
      </c>
      <c r="BK77" s="66"/>
      <c r="BL77" s="66"/>
      <c r="BM77" s="562" t="s">
        <v>243</v>
      </c>
      <c r="BN77" s="101" t="s">
        <v>543</v>
      </c>
      <c r="BO77" s="357" t="s">
        <v>383</v>
      </c>
      <c r="BP77" s="224" t="s">
        <v>403</v>
      </c>
      <c r="BQ77" s="68">
        <v>1</v>
      </c>
      <c r="BR77" s="66"/>
      <c r="BS77" s="66">
        <v>8655000</v>
      </c>
      <c r="BT77" s="562" t="s">
        <v>243</v>
      </c>
      <c r="BU77" s="101" t="s">
        <v>1158</v>
      </c>
      <c r="BV77" s="61">
        <v>1</v>
      </c>
      <c r="BW77" s="224" t="s">
        <v>403</v>
      </c>
      <c r="BX77" s="68">
        <v>1</v>
      </c>
      <c r="BY77" s="66">
        <v>0</v>
      </c>
      <c r="BZ77" s="66">
        <v>0</v>
      </c>
      <c r="CA77" s="305">
        <v>0</v>
      </c>
      <c r="CB77" s="151" t="s">
        <v>219</v>
      </c>
      <c r="CC77" s="168" t="s">
        <v>987</v>
      </c>
      <c r="CD77" s="61">
        <v>1</v>
      </c>
      <c r="CE77" s="224" t="s">
        <v>1028</v>
      </c>
      <c r="CF77" s="68">
        <v>1</v>
      </c>
      <c r="CG77" s="66">
        <v>0</v>
      </c>
      <c r="CH77" s="66">
        <v>0</v>
      </c>
      <c r="CI77" s="305">
        <v>0</v>
      </c>
      <c r="CJ77" s="151" t="s">
        <v>219</v>
      </c>
      <c r="CK77" s="165" t="s">
        <v>987</v>
      </c>
      <c r="CL77" s="45">
        <v>1</v>
      </c>
      <c r="CM77" s="42" t="s">
        <v>1024</v>
      </c>
      <c r="CN77" s="49">
        <v>1</v>
      </c>
      <c r="CO77" s="50">
        <v>0</v>
      </c>
      <c r="CP77" s="50">
        <v>0</v>
      </c>
      <c r="CQ77" s="143">
        <v>0</v>
      </c>
      <c r="CR77" s="151" t="s">
        <v>219</v>
      </c>
      <c r="CS77" s="236" t="s">
        <v>1023</v>
      </c>
      <c r="CT77" s="77">
        <v>1</v>
      </c>
      <c r="CU77" s="224" t="s">
        <v>1024</v>
      </c>
      <c r="CV77" s="68">
        <v>1</v>
      </c>
      <c r="CW77" s="66">
        <v>0</v>
      </c>
      <c r="CX77" s="66">
        <v>0</v>
      </c>
      <c r="CY77" s="305">
        <v>0</v>
      </c>
      <c r="CZ77" s="151" t="s">
        <v>219</v>
      </c>
      <c r="DA77" s="165" t="s">
        <v>1159</v>
      </c>
      <c r="DB77" s="77">
        <v>1</v>
      </c>
      <c r="DC77" s="360" t="s">
        <v>403</v>
      </c>
      <c r="DD77" s="278">
        <v>1</v>
      </c>
      <c r="DE77" s="437"/>
    </row>
    <row r="78" spans="1:109" ht="65.25" customHeight="1" x14ac:dyDescent="0.25">
      <c r="A78" s="810"/>
      <c r="B78" s="431"/>
      <c r="C78" s="609"/>
      <c r="D78" s="123" t="s">
        <v>220</v>
      </c>
      <c r="E78" s="77" t="s">
        <v>221</v>
      </c>
      <c r="F78" s="77" t="s">
        <v>222</v>
      </c>
      <c r="G78" s="77" t="s">
        <v>218</v>
      </c>
      <c r="H78" s="77" t="s">
        <v>942</v>
      </c>
      <c r="I78" s="61">
        <v>0</v>
      </c>
      <c r="J78" s="188">
        <v>1</v>
      </c>
      <c r="K78" s="562" t="s">
        <v>272</v>
      </c>
      <c r="L78" s="562" t="s">
        <v>273</v>
      </c>
      <c r="M78" s="562" t="s">
        <v>274</v>
      </c>
      <c r="N78" s="562" t="s">
        <v>404</v>
      </c>
      <c r="O78" s="562" t="s">
        <v>274</v>
      </c>
      <c r="P78" s="562" t="s">
        <v>373</v>
      </c>
      <c r="Q78" s="121">
        <v>1</v>
      </c>
      <c r="R78" s="119">
        <v>0.5</v>
      </c>
      <c r="S78" s="88">
        <v>0.5</v>
      </c>
      <c r="T78" s="63">
        <f>(S78/R78)*1</f>
        <v>1</v>
      </c>
      <c r="U78" s="66">
        <v>0</v>
      </c>
      <c r="V78" s="66">
        <v>8655000</v>
      </c>
      <c r="W78" s="562"/>
      <c r="X78" s="98" t="s">
        <v>459</v>
      </c>
      <c r="Y78" s="119">
        <v>0.5</v>
      </c>
      <c r="Z78" s="88">
        <v>0.5</v>
      </c>
      <c r="AA78" s="63">
        <f>(Z78/Y78)*1</f>
        <v>1</v>
      </c>
      <c r="AB78" s="66"/>
      <c r="AC78" s="66"/>
      <c r="AD78" s="562"/>
      <c r="AE78" s="771"/>
      <c r="AF78" s="604">
        <v>4</v>
      </c>
      <c r="AG78" s="492">
        <v>2</v>
      </c>
      <c r="AH78" s="63">
        <f>(AG78/AF78)*1</f>
        <v>0.5</v>
      </c>
      <c r="AI78" s="605"/>
      <c r="AJ78" s="605"/>
      <c r="AK78" s="562"/>
      <c r="AL78" s="622" t="s">
        <v>692</v>
      </c>
      <c r="AM78" s="642">
        <v>4</v>
      </c>
      <c r="AN78" s="550">
        <v>2</v>
      </c>
      <c r="AO78" s="63">
        <f>(AN78/AM78)*1</f>
        <v>0.5</v>
      </c>
      <c r="AP78" s="650">
        <v>24350000</v>
      </c>
      <c r="AQ78" s="650">
        <v>12000000</v>
      </c>
      <c r="AR78" s="562"/>
      <c r="AS78" s="763" t="s">
        <v>770</v>
      </c>
      <c r="AT78" s="696">
        <v>4</v>
      </c>
      <c r="AU78" s="697">
        <v>11</v>
      </c>
      <c r="AV78" s="63">
        <f>(AU78/AT78)*1</f>
        <v>2.75</v>
      </c>
      <c r="AW78" s="707">
        <v>25000000</v>
      </c>
      <c r="AX78" s="701">
        <v>23933333</v>
      </c>
      <c r="AY78" s="562"/>
      <c r="AZ78" s="622" t="s">
        <v>830</v>
      </c>
      <c r="BA78" s="111">
        <v>1</v>
      </c>
      <c r="BB78" s="95">
        <v>0.9</v>
      </c>
      <c r="BC78" s="63">
        <f>(BB78/BA78)*1</f>
        <v>0.9</v>
      </c>
      <c r="BD78" s="75"/>
      <c r="BE78" s="75"/>
      <c r="BF78" s="562"/>
      <c r="BG78" s="771" t="s">
        <v>891</v>
      </c>
      <c r="BH78" s="111">
        <v>0.9</v>
      </c>
      <c r="BI78" s="79">
        <v>0.9</v>
      </c>
      <c r="BJ78" s="63">
        <f>(BI78/BH78)*1</f>
        <v>1</v>
      </c>
      <c r="BK78" s="66"/>
      <c r="BL78" s="66"/>
      <c r="BM78" s="562"/>
      <c r="BN78" s="98" t="s">
        <v>544</v>
      </c>
      <c r="BO78" s="119">
        <v>0.5</v>
      </c>
      <c r="BP78" s="88">
        <v>0.5</v>
      </c>
      <c r="BQ78" s="63">
        <f>(BP78/BO78)*1</f>
        <v>1</v>
      </c>
      <c r="BR78" s="66">
        <v>0</v>
      </c>
      <c r="BS78" s="66">
        <v>8655000</v>
      </c>
      <c r="BT78" s="562"/>
      <c r="BU78" s="98" t="s">
        <v>1160</v>
      </c>
      <c r="BV78" s="88">
        <v>0.5</v>
      </c>
      <c r="BW78" s="88">
        <v>0.5</v>
      </c>
      <c r="BX78" s="63">
        <f>(BW78/BV78)*1</f>
        <v>1</v>
      </c>
      <c r="BY78" s="66">
        <v>0</v>
      </c>
      <c r="BZ78" s="66">
        <v>0</v>
      </c>
      <c r="CA78" s="63">
        <v>0</v>
      </c>
      <c r="CB78" s="77" t="s">
        <v>942</v>
      </c>
      <c r="CC78" s="164" t="s">
        <v>998</v>
      </c>
      <c r="CD78" s="88">
        <v>0.5</v>
      </c>
      <c r="CE78" s="88">
        <v>0.5</v>
      </c>
      <c r="CF78" s="63">
        <f>(CE78/CD78)*1</f>
        <v>1</v>
      </c>
      <c r="CG78" s="66">
        <v>0</v>
      </c>
      <c r="CH78" s="66">
        <v>0</v>
      </c>
      <c r="CI78" s="63">
        <v>0</v>
      </c>
      <c r="CJ78" s="77" t="s">
        <v>942</v>
      </c>
      <c r="CK78" s="263" t="s">
        <v>1161</v>
      </c>
      <c r="CL78" s="56">
        <v>1</v>
      </c>
      <c r="CM78" s="43">
        <v>0.5</v>
      </c>
      <c r="CN78" s="34">
        <f>(CM78/CL78)*1</f>
        <v>0.5</v>
      </c>
      <c r="CO78" s="50">
        <v>0</v>
      </c>
      <c r="CP78" s="50">
        <v>0</v>
      </c>
      <c r="CQ78" s="34">
        <v>0</v>
      </c>
      <c r="CR78" s="77" t="s">
        <v>942</v>
      </c>
      <c r="CS78" s="235" t="s">
        <v>1019</v>
      </c>
      <c r="CT78" s="188">
        <v>1</v>
      </c>
      <c r="CU78" s="88">
        <v>0.5</v>
      </c>
      <c r="CV78" s="63">
        <f>(CU78/CT78)*1</f>
        <v>0.5</v>
      </c>
      <c r="CW78" s="66">
        <v>0</v>
      </c>
      <c r="CX78" s="66">
        <v>0</v>
      </c>
      <c r="CY78" s="63">
        <v>0</v>
      </c>
      <c r="CZ78" s="77" t="s">
        <v>942</v>
      </c>
      <c r="DA78" s="263" t="s">
        <v>1161</v>
      </c>
      <c r="DB78" s="188">
        <v>1</v>
      </c>
      <c r="DC78" s="88">
        <v>0.5</v>
      </c>
      <c r="DD78" s="81">
        <f>DC78/DB78</f>
        <v>0.5</v>
      </c>
    </row>
    <row r="79" spans="1:109" ht="33.75" customHeight="1" x14ac:dyDescent="0.25">
      <c r="A79" s="810"/>
      <c r="B79" s="431"/>
      <c r="C79" s="609"/>
      <c r="D79" s="604" t="s">
        <v>223</v>
      </c>
      <c r="E79" s="492" t="s">
        <v>224</v>
      </c>
      <c r="F79" s="492" t="s">
        <v>225</v>
      </c>
      <c r="G79" s="492" t="s">
        <v>13</v>
      </c>
      <c r="H79" s="417" t="s">
        <v>943</v>
      </c>
      <c r="I79" s="550">
        <v>3</v>
      </c>
      <c r="J79" s="492">
        <v>10</v>
      </c>
      <c r="K79" s="562"/>
      <c r="L79" s="562"/>
      <c r="M79" s="562"/>
      <c r="N79" s="562"/>
      <c r="O79" s="562"/>
      <c r="P79" s="562"/>
      <c r="Q79" s="622">
        <v>10</v>
      </c>
      <c r="R79" s="628">
        <v>8</v>
      </c>
      <c r="S79" s="492">
        <v>7</v>
      </c>
      <c r="T79" s="499">
        <f>(S79/R79)*1</f>
        <v>0.875</v>
      </c>
      <c r="U79" s="629">
        <v>8655000</v>
      </c>
      <c r="V79" s="500">
        <v>8655000</v>
      </c>
      <c r="W79" s="562"/>
      <c r="X79" s="627" t="s">
        <v>460</v>
      </c>
      <c r="Y79" s="628">
        <v>8</v>
      </c>
      <c r="Z79" s="492">
        <v>7</v>
      </c>
      <c r="AA79" s="499">
        <f>(Z79/Y79)*1</f>
        <v>0.875</v>
      </c>
      <c r="AB79" s="629"/>
      <c r="AC79" s="500"/>
      <c r="AD79" s="562"/>
      <c r="AE79" s="770"/>
      <c r="AF79" s="604"/>
      <c r="AG79" s="492"/>
      <c r="AH79" s="499" t="e">
        <f>(AG79/AF79)*1</f>
        <v>#DIV/0!</v>
      </c>
      <c r="AI79" s="605"/>
      <c r="AJ79" s="605"/>
      <c r="AK79" s="562"/>
      <c r="AL79" s="622"/>
      <c r="AM79" s="642"/>
      <c r="AN79" s="550"/>
      <c r="AO79" s="499" t="e">
        <f>(AN79/AM79)*1</f>
        <v>#DIV/0!</v>
      </c>
      <c r="AP79" s="650"/>
      <c r="AQ79" s="650"/>
      <c r="AR79" s="562"/>
      <c r="AS79" s="763"/>
      <c r="AT79" s="696"/>
      <c r="AU79" s="697"/>
      <c r="AV79" s="499" t="e">
        <f>(AU79/AT79)*1</f>
        <v>#DIV/0!</v>
      </c>
      <c r="AW79" s="707"/>
      <c r="AX79" s="701"/>
      <c r="AY79" s="562"/>
      <c r="AZ79" s="622"/>
      <c r="BA79" s="665">
        <v>4</v>
      </c>
      <c r="BB79" s="562">
        <v>3</v>
      </c>
      <c r="BC79" s="499">
        <f>(BB79/BA79)*1</f>
        <v>0.75</v>
      </c>
      <c r="BD79" s="500">
        <v>32000000</v>
      </c>
      <c r="BE79" s="500">
        <v>31440300</v>
      </c>
      <c r="BF79" s="562"/>
      <c r="BG79" s="770" t="s">
        <v>892</v>
      </c>
      <c r="BH79" s="717">
        <v>7</v>
      </c>
      <c r="BI79" s="562">
        <v>0</v>
      </c>
      <c r="BJ79" s="499">
        <f>(BI79/BH79)*1</f>
        <v>0</v>
      </c>
      <c r="BK79" s="551"/>
      <c r="BL79" s="500"/>
      <c r="BM79" s="562"/>
      <c r="BN79" s="627" t="s">
        <v>545</v>
      </c>
      <c r="BO79" s="628">
        <v>8</v>
      </c>
      <c r="BP79" s="492">
        <v>7</v>
      </c>
      <c r="BQ79" s="499">
        <f>(BP79/BO79)*1</f>
        <v>0.875</v>
      </c>
      <c r="BR79" s="629">
        <v>8655000</v>
      </c>
      <c r="BS79" s="500">
        <v>8655000</v>
      </c>
      <c r="BT79" s="562"/>
      <c r="BU79" s="627" t="s">
        <v>579</v>
      </c>
      <c r="BV79" s="719">
        <v>1</v>
      </c>
      <c r="BW79" s="492">
        <v>1</v>
      </c>
      <c r="BX79" s="499">
        <f>(BW79/BV79)*1</f>
        <v>1</v>
      </c>
      <c r="BY79" s="720">
        <v>28313000</v>
      </c>
      <c r="BZ79" s="521">
        <v>35000000</v>
      </c>
      <c r="CA79" s="501">
        <f>BY79/BZ79</f>
        <v>0.80894285714285719</v>
      </c>
      <c r="CB79" s="417" t="s">
        <v>943</v>
      </c>
      <c r="CC79" s="721" t="s">
        <v>988</v>
      </c>
      <c r="CD79" s="533">
        <v>1</v>
      </c>
      <c r="CE79" s="492">
        <v>1</v>
      </c>
      <c r="CF79" s="499">
        <f>(CE79/CD79)*1</f>
        <v>1</v>
      </c>
      <c r="CG79" s="535">
        <v>55000000</v>
      </c>
      <c r="CH79" s="521">
        <v>27400333</v>
      </c>
      <c r="CI79" s="501">
        <f>CH79/CG79</f>
        <v>0.49818787272727272</v>
      </c>
      <c r="CJ79" s="417" t="s">
        <v>943</v>
      </c>
      <c r="CK79" s="538" t="s">
        <v>1162</v>
      </c>
      <c r="CL79" s="412">
        <v>10</v>
      </c>
      <c r="CM79" s="415">
        <v>1</v>
      </c>
      <c r="CN79" s="416">
        <f>(CM79/CL79)*1</f>
        <v>0.1</v>
      </c>
      <c r="CO79" s="426">
        <v>55000000</v>
      </c>
      <c r="CP79" s="403">
        <v>27400333</v>
      </c>
      <c r="CQ79" s="406">
        <f>CP79/CO79</f>
        <v>0.49818787272727272</v>
      </c>
      <c r="CR79" s="417" t="s">
        <v>943</v>
      </c>
      <c r="CS79" s="458" t="s">
        <v>1033</v>
      </c>
      <c r="CT79" s="417">
        <v>10</v>
      </c>
      <c r="CU79" s="562">
        <v>1</v>
      </c>
      <c r="CV79" s="499">
        <f>(CU79/CT79)*1</f>
        <v>0.1</v>
      </c>
      <c r="CW79" s="535">
        <v>0</v>
      </c>
      <c r="CX79" s="521">
        <v>0</v>
      </c>
      <c r="CY79" s="501">
        <v>1</v>
      </c>
      <c r="CZ79" s="417" t="s">
        <v>943</v>
      </c>
      <c r="DA79" s="538" t="s">
        <v>1163</v>
      </c>
      <c r="DB79" s="492">
        <v>10</v>
      </c>
      <c r="DC79" s="417">
        <v>8</v>
      </c>
      <c r="DD79" s="523">
        <f>DC79/DB79</f>
        <v>0.8</v>
      </c>
    </row>
    <row r="80" spans="1:109" ht="126.75" customHeight="1" thickBot="1" x14ac:dyDescent="0.3">
      <c r="A80" s="815"/>
      <c r="B80" s="457"/>
      <c r="C80" s="615"/>
      <c r="D80" s="604"/>
      <c r="E80" s="492"/>
      <c r="F80" s="492"/>
      <c r="G80" s="492"/>
      <c r="H80" s="457"/>
      <c r="I80" s="550"/>
      <c r="J80" s="492"/>
      <c r="K80" s="562"/>
      <c r="L80" s="562"/>
      <c r="M80" s="67"/>
      <c r="N80" s="562"/>
      <c r="O80" s="562"/>
      <c r="P80" s="562"/>
      <c r="Q80" s="622"/>
      <c r="R80" s="628"/>
      <c r="S80" s="492"/>
      <c r="T80" s="499"/>
      <c r="U80" s="629"/>
      <c r="V80" s="500"/>
      <c r="W80" s="562"/>
      <c r="X80" s="627"/>
      <c r="Y80" s="628"/>
      <c r="Z80" s="492"/>
      <c r="AA80" s="499"/>
      <c r="AB80" s="629"/>
      <c r="AC80" s="500"/>
      <c r="AD80" s="562"/>
      <c r="AE80" s="770"/>
      <c r="AF80" s="135">
        <v>7</v>
      </c>
      <c r="AG80" s="86">
        <v>7</v>
      </c>
      <c r="AH80" s="499"/>
      <c r="AI80" s="605"/>
      <c r="AJ80" s="605"/>
      <c r="AK80" s="562"/>
      <c r="AL80" s="133" t="s">
        <v>693</v>
      </c>
      <c r="AM80" s="102">
        <v>12</v>
      </c>
      <c r="AN80" s="61">
        <v>12</v>
      </c>
      <c r="AO80" s="499"/>
      <c r="AP80" s="650">
        <v>24350000</v>
      </c>
      <c r="AQ80" s="650">
        <v>12000000</v>
      </c>
      <c r="AR80" s="562"/>
      <c r="AS80" s="133" t="s">
        <v>771</v>
      </c>
      <c r="AT80" s="253">
        <v>12</v>
      </c>
      <c r="AU80" s="254">
        <v>12</v>
      </c>
      <c r="AV80" s="499"/>
      <c r="AW80" s="707">
        <v>25000000</v>
      </c>
      <c r="AX80" s="706">
        <v>23933333</v>
      </c>
      <c r="AY80" s="562"/>
      <c r="AZ80" s="314" t="s">
        <v>831</v>
      </c>
      <c r="BA80" s="665"/>
      <c r="BB80" s="562"/>
      <c r="BC80" s="499"/>
      <c r="BD80" s="500"/>
      <c r="BE80" s="500"/>
      <c r="BF80" s="562"/>
      <c r="BG80" s="770"/>
      <c r="BH80" s="717"/>
      <c r="BI80" s="562"/>
      <c r="BJ80" s="499"/>
      <c r="BK80" s="551"/>
      <c r="BL80" s="500"/>
      <c r="BM80" s="562"/>
      <c r="BN80" s="627"/>
      <c r="BO80" s="628"/>
      <c r="BP80" s="492"/>
      <c r="BQ80" s="499"/>
      <c r="BR80" s="629"/>
      <c r="BS80" s="500"/>
      <c r="BT80" s="562"/>
      <c r="BU80" s="627"/>
      <c r="BV80" s="547"/>
      <c r="BW80" s="492"/>
      <c r="BX80" s="499"/>
      <c r="BY80" s="536"/>
      <c r="BZ80" s="522"/>
      <c r="CA80" s="537"/>
      <c r="CB80" s="457"/>
      <c r="CC80" s="721"/>
      <c r="CD80" s="534"/>
      <c r="CE80" s="492"/>
      <c r="CF80" s="499"/>
      <c r="CG80" s="536"/>
      <c r="CH80" s="522"/>
      <c r="CI80" s="537"/>
      <c r="CJ80" s="457"/>
      <c r="CK80" s="539"/>
      <c r="CL80" s="413"/>
      <c r="CM80" s="415"/>
      <c r="CN80" s="416"/>
      <c r="CO80" s="427"/>
      <c r="CP80" s="405"/>
      <c r="CQ80" s="456"/>
      <c r="CR80" s="457"/>
      <c r="CS80" s="459"/>
      <c r="CT80" s="418"/>
      <c r="CU80" s="562"/>
      <c r="CV80" s="499"/>
      <c r="CW80" s="536"/>
      <c r="CX80" s="522"/>
      <c r="CY80" s="537"/>
      <c r="CZ80" s="457"/>
      <c r="DA80" s="539"/>
      <c r="DB80" s="492"/>
      <c r="DC80" s="457"/>
      <c r="DD80" s="591"/>
    </row>
    <row r="81" spans="1:108" ht="121.5" customHeight="1" x14ac:dyDescent="0.25">
      <c r="A81" s="814" t="s">
        <v>226</v>
      </c>
      <c r="B81" s="430" t="s">
        <v>227</v>
      </c>
      <c r="C81" s="608" t="s">
        <v>228</v>
      </c>
      <c r="D81" s="123" t="s">
        <v>229</v>
      </c>
      <c r="E81" s="77" t="s">
        <v>230</v>
      </c>
      <c r="F81" s="77" t="s">
        <v>231</v>
      </c>
      <c r="G81" s="77" t="s">
        <v>201</v>
      </c>
      <c r="H81" s="151" t="s">
        <v>944</v>
      </c>
      <c r="I81" s="77">
        <v>5</v>
      </c>
      <c r="J81" s="77">
        <v>12</v>
      </c>
      <c r="K81" s="562" t="s">
        <v>272</v>
      </c>
      <c r="L81" s="562" t="s">
        <v>273</v>
      </c>
      <c r="M81" s="562" t="s">
        <v>274</v>
      </c>
      <c r="N81" s="562" t="s">
        <v>404</v>
      </c>
      <c r="O81" s="562" t="s">
        <v>346</v>
      </c>
      <c r="P81" s="562" t="s">
        <v>373</v>
      </c>
      <c r="Q81" s="118">
        <v>12</v>
      </c>
      <c r="R81" s="112">
        <v>5</v>
      </c>
      <c r="S81" s="80">
        <v>7</v>
      </c>
      <c r="T81" s="81">
        <v>1</v>
      </c>
      <c r="U81" s="66">
        <v>8655000</v>
      </c>
      <c r="V81" s="66">
        <v>8655000</v>
      </c>
      <c r="W81" s="562" t="s">
        <v>243</v>
      </c>
      <c r="X81" s="99" t="s">
        <v>461</v>
      </c>
      <c r="Y81" s="112">
        <v>5</v>
      </c>
      <c r="Z81" s="80">
        <v>7</v>
      </c>
      <c r="AA81" s="81">
        <v>1</v>
      </c>
      <c r="AB81" s="66"/>
      <c r="AC81" s="66"/>
      <c r="AD81" s="562" t="s">
        <v>243</v>
      </c>
      <c r="AE81" s="99"/>
      <c r="AF81" s="135">
        <v>0</v>
      </c>
      <c r="AG81" s="86">
        <v>0</v>
      </c>
      <c r="AH81" s="81">
        <v>1</v>
      </c>
      <c r="AI81" s="605"/>
      <c r="AJ81" s="605"/>
      <c r="AK81" s="562" t="s">
        <v>243</v>
      </c>
      <c r="AL81" s="133" t="s">
        <v>694</v>
      </c>
      <c r="AM81" s="102">
        <v>13</v>
      </c>
      <c r="AN81" s="61">
        <v>13</v>
      </c>
      <c r="AO81" s="81">
        <v>1</v>
      </c>
      <c r="AP81" s="650"/>
      <c r="AQ81" s="650"/>
      <c r="AR81" s="562" t="s">
        <v>243</v>
      </c>
      <c r="AS81" s="133" t="s">
        <v>772</v>
      </c>
      <c r="AT81" s="253">
        <v>13</v>
      </c>
      <c r="AU81" s="254">
        <v>0</v>
      </c>
      <c r="AV81" s="81">
        <v>1</v>
      </c>
      <c r="AW81" s="707"/>
      <c r="AX81" s="706"/>
      <c r="AY81" s="562" t="s">
        <v>243</v>
      </c>
      <c r="AZ81" s="314" t="s">
        <v>832</v>
      </c>
      <c r="BA81" s="112">
        <v>12</v>
      </c>
      <c r="BB81" s="96">
        <v>7</v>
      </c>
      <c r="BC81" s="81">
        <v>1</v>
      </c>
      <c r="BD81" s="500">
        <v>32000000</v>
      </c>
      <c r="BE81" s="500">
        <v>32000000</v>
      </c>
      <c r="BF81" s="562" t="s">
        <v>243</v>
      </c>
      <c r="BG81" s="99" t="s">
        <v>893</v>
      </c>
      <c r="BH81" s="112">
        <v>3</v>
      </c>
      <c r="BI81" s="80">
        <v>4</v>
      </c>
      <c r="BJ81" s="81">
        <v>1</v>
      </c>
      <c r="BK81" s="66"/>
      <c r="BL81" s="66"/>
      <c r="BM81" s="562" t="s">
        <v>243</v>
      </c>
      <c r="BN81" s="99" t="s">
        <v>546</v>
      </c>
      <c r="BO81" s="112">
        <v>5</v>
      </c>
      <c r="BP81" s="80">
        <v>6</v>
      </c>
      <c r="BQ81" s="81">
        <v>1</v>
      </c>
      <c r="BR81" s="66">
        <v>8655000</v>
      </c>
      <c r="BS81" s="66">
        <v>8655000</v>
      </c>
      <c r="BT81" s="562" t="s">
        <v>243</v>
      </c>
      <c r="BU81" s="106" t="s">
        <v>1164</v>
      </c>
      <c r="BV81" s="61">
        <v>12</v>
      </c>
      <c r="BW81" s="80">
        <v>5</v>
      </c>
      <c r="BX81" s="81">
        <f>BW81/BV81</f>
        <v>0.41666666666666669</v>
      </c>
      <c r="BY81" s="66">
        <f>34620000+
500000000</f>
        <v>534620000</v>
      </c>
      <c r="BZ81" s="273">
        <f>28800000+
50000000</f>
        <v>78800000</v>
      </c>
      <c r="CA81" s="81">
        <f>BZ81/BY81</f>
        <v>0.14739441098350231</v>
      </c>
      <c r="CB81" s="151" t="s">
        <v>944</v>
      </c>
      <c r="CC81" s="171" t="s">
        <v>989</v>
      </c>
      <c r="CD81" s="61">
        <v>5</v>
      </c>
      <c r="CE81" s="80">
        <v>5</v>
      </c>
      <c r="CF81" s="81">
        <f>CE81/CD81</f>
        <v>1</v>
      </c>
      <c r="CG81" s="66">
        <f>55000000+34620000+714286+
500000000</f>
        <v>590334286</v>
      </c>
      <c r="CH81" s="273">
        <f>28800000+714286+
50000000</f>
        <v>79514286</v>
      </c>
      <c r="CI81" s="81">
        <f>CH81/CG81</f>
        <v>0.13469366066940588</v>
      </c>
      <c r="CJ81" s="151" t="s">
        <v>944</v>
      </c>
      <c r="CK81" s="321" t="s">
        <v>1165</v>
      </c>
      <c r="CL81" s="45">
        <v>12</v>
      </c>
      <c r="CM81" s="57">
        <v>6</v>
      </c>
      <c r="CN81" s="44">
        <f>CM81/CL81</f>
        <v>0.5</v>
      </c>
      <c r="CO81" s="50">
        <f>55000000+34620000+714286+
500000000</f>
        <v>590334286</v>
      </c>
      <c r="CP81" s="158">
        <f>28800000+714286+
50000000</f>
        <v>79514286</v>
      </c>
      <c r="CQ81" s="44">
        <f>CP81/CO81</f>
        <v>0.13469366066940588</v>
      </c>
      <c r="CR81" s="151" t="s">
        <v>944</v>
      </c>
      <c r="CS81" s="242" t="s">
        <v>1214</v>
      </c>
      <c r="CT81" s="77">
        <v>12</v>
      </c>
      <c r="CU81" s="80">
        <v>6</v>
      </c>
      <c r="CV81" s="81">
        <f>CU81/CT81</f>
        <v>0.5</v>
      </c>
      <c r="CW81" s="66">
        <v>5100000</v>
      </c>
      <c r="CX81" s="273">
        <v>5100000</v>
      </c>
      <c r="CY81" s="81">
        <f>CX81/CW81</f>
        <v>1</v>
      </c>
      <c r="CZ81" s="151" t="s">
        <v>944</v>
      </c>
      <c r="DA81" s="321" t="s">
        <v>1166</v>
      </c>
      <c r="DB81" s="77">
        <v>12</v>
      </c>
      <c r="DC81" s="361">
        <v>6</v>
      </c>
      <c r="DD81" s="81">
        <f>DC81/DB81</f>
        <v>0.5</v>
      </c>
    </row>
    <row r="82" spans="1:108" ht="267" customHeight="1" x14ac:dyDescent="0.25">
      <c r="A82" s="811"/>
      <c r="B82" s="431"/>
      <c r="C82" s="609"/>
      <c r="D82" s="123" t="s">
        <v>232</v>
      </c>
      <c r="E82" s="77" t="s">
        <v>233</v>
      </c>
      <c r="F82" s="77" t="s">
        <v>234</v>
      </c>
      <c r="G82" s="77" t="s">
        <v>235</v>
      </c>
      <c r="H82" s="77" t="s">
        <v>945</v>
      </c>
      <c r="I82" s="77">
        <v>2</v>
      </c>
      <c r="J82" s="77">
        <v>13</v>
      </c>
      <c r="K82" s="562"/>
      <c r="L82" s="562"/>
      <c r="M82" s="562"/>
      <c r="N82" s="562"/>
      <c r="O82" s="562"/>
      <c r="P82" s="562"/>
      <c r="Q82" s="118">
        <v>13</v>
      </c>
      <c r="R82" s="112">
        <v>0</v>
      </c>
      <c r="S82" s="80">
        <v>12</v>
      </c>
      <c r="T82" s="81">
        <v>1</v>
      </c>
      <c r="U82" s="66">
        <v>8655000</v>
      </c>
      <c r="V82" s="66">
        <v>8655000</v>
      </c>
      <c r="W82" s="562"/>
      <c r="X82" s="101" t="s">
        <v>464</v>
      </c>
      <c r="Y82" s="112">
        <v>0</v>
      </c>
      <c r="Z82" s="80">
        <v>12</v>
      </c>
      <c r="AA82" s="81">
        <v>1</v>
      </c>
      <c r="AB82" s="66"/>
      <c r="AC82" s="66"/>
      <c r="AD82" s="562"/>
      <c r="AE82" s="99"/>
      <c r="AF82" s="135">
        <v>12</v>
      </c>
      <c r="AG82" s="86">
        <v>12</v>
      </c>
      <c r="AH82" s="81">
        <v>1</v>
      </c>
      <c r="AI82" s="605"/>
      <c r="AJ82" s="605"/>
      <c r="AK82" s="562"/>
      <c r="AL82" s="133" t="s">
        <v>695</v>
      </c>
      <c r="AM82" s="102">
        <v>12</v>
      </c>
      <c r="AN82" s="61">
        <v>12</v>
      </c>
      <c r="AO82" s="81">
        <v>1</v>
      </c>
      <c r="AP82" s="650"/>
      <c r="AQ82" s="650"/>
      <c r="AR82" s="562"/>
      <c r="AS82" s="133" t="s">
        <v>773</v>
      </c>
      <c r="AT82" s="253">
        <v>12</v>
      </c>
      <c r="AU82" s="254">
        <v>13</v>
      </c>
      <c r="AV82" s="81">
        <v>1</v>
      </c>
      <c r="AW82" s="707"/>
      <c r="AX82" s="706"/>
      <c r="AY82" s="562"/>
      <c r="AZ82" s="314" t="s">
        <v>833</v>
      </c>
      <c r="BA82" s="112">
        <v>13</v>
      </c>
      <c r="BB82" s="96">
        <v>13</v>
      </c>
      <c r="BC82" s="81">
        <v>1</v>
      </c>
      <c r="BD82" s="500"/>
      <c r="BE82" s="500"/>
      <c r="BF82" s="562"/>
      <c r="BG82" s="779" t="s">
        <v>952</v>
      </c>
      <c r="BH82" s="112">
        <v>0</v>
      </c>
      <c r="BI82" s="80">
        <v>0</v>
      </c>
      <c r="BJ82" s="81">
        <v>1</v>
      </c>
      <c r="BK82" s="66" t="s">
        <v>547</v>
      </c>
      <c r="BL82" s="66" t="s">
        <v>548</v>
      </c>
      <c r="BM82" s="562"/>
      <c r="BN82" s="101" t="s">
        <v>549</v>
      </c>
      <c r="BO82" s="112">
        <v>0</v>
      </c>
      <c r="BP82" s="80">
        <v>12</v>
      </c>
      <c r="BQ82" s="81">
        <v>1</v>
      </c>
      <c r="BR82" s="66">
        <v>8655000</v>
      </c>
      <c r="BS82" s="66">
        <v>8655000</v>
      </c>
      <c r="BT82" s="562"/>
      <c r="BU82" s="101" t="s">
        <v>1167</v>
      </c>
      <c r="BV82" s="61">
        <v>12</v>
      </c>
      <c r="BW82" s="80">
        <v>12</v>
      </c>
      <c r="BX82" s="81">
        <v>1</v>
      </c>
      <c r="BY82" s="66">
        <v>34620000</v>
      </c>
      <c r="BZ82" s="273">
        <v>28800000</v>
      </c>
      <c r="CA82" s="81">
        <f>BZ82/BY82</f>
        <v>0.83188908145580587</v>
      </c>
      <c r="CB82" s="77" t="s">
        <v>945</v>
      </c>
      <c r="CC82" s="168" t="s">
        <v>990</v>
      </c>
      <c r="CD82" s="61">
        <v>13</v>
      </c>
      <c r="CE82" s="80">
        <v>12</v>
      </c>
      <c r="CF82" s="81">
        <f>CE82/CD82</f>
        <v>0.92307692307692313</v>
      </c>
      <c r="CG82" s="66">
        <f>55000000+34620000+714286</f>
        <v>90334286</v>
      </c>
      <c r="CH82" s="273">
        <f>28800000+714286</f>
        <v>29514286</v>
      </c>
      <c r="CI82" s="81">
        <f>CH82/CG82</f>
        <v>0.32672296762272524</v>
      </c>
      <c r="CJ82" s="77" t="s">
        <v>945</v>
      </c>
      <c r="CK82" s="86" t="s">
        <v>1168</v>
      </c>
      <c r="CL82" s="45">
        <v>13</v>
      </c>
      <c r="CM82" s="57">
        <v>6</v>
      </c>
      <c r="CN82" s="44">
        <f>CM82/CL82</f>
        <v>0.46153846153846156</v>
      </c>
      <c r="CO82" s="378">
        <f>5000000+55500000+8000000</f>
        <v>68500000</v>
      </c>
      <c r="CP82" s="379">
        <f>3450000+14800000+2000000</f>
        <v>20250000</v>
      </c>
      <c r="CQ82" s="44">
        <f>CP82/CO82</f>
        <v>0.29562043795620441</v>
      </c>
      <c r="CR82" s="77" t="s">
        <v>945</v>
      </c>
      <c r="CS82" s="233" t="s">
        <v>1215</v>
      </c>
      <c r="CT82" s="77">
        <v>13</v>
      </c>
      <c r="CU82" s="61">
        <v>10</v>
      </c>
      <c r="CV82" s="81">
        <f>CU82/CT82</f>
        <v>0.76923076923076927</v>
      </c>
      <c r="CW82" s="343">
        <f>8000000+510000</f>
        <v>8510000</v>
      </c>
      <c r="CX82" s="362">
        <f>6000000+5100000</f>
        <v>11100000</v>
      </c>
      <c r="CY82" s="81">
        <v>1</v>
      </c>
      <c r="CZ82" s="77" t="s">
        <v>945</v>
      </c>
      <c r="DA82" s="86" t="s">
        <v>1169</v>
      </c>
      <c r="DB82" s="77">
        <v>13</v>
      </c>
      <c r="DC82" s="80">
        <v>10</v>
      </c>
      <c r="DD82" s="81">
        <f>DC82/DB82</f>
        <v>0.76923076923076927</v>
      </c>
    </row>
    <row r="83" spans="1:108" ht="236.25" customHeight="1" x14ac:dyDescent="0.25">
      <c r="A83" s="811"/>
      <c r="B83" s="431"/>
      <c r="C83" s="609"/>
      <c r="D83" s="123" t="s">
        <v>236</v>
      </c>
      <c r="E83" s="77" t="s">
        <v>237</v>
      </c>
      <c r="F83" s="77" t="s">
        <v>238</v>
      </c>
      <c r="G83" s="77" t="s">
        <v>239</v>
      </c>
      <c r="H83" s="77" t="s">
        <v>945</v>
      </c>
      <c r="I83" s="77">
        <v>12</v>
      </c>
      <c r="J83" s="77">
        <v>13</v>
      </c>
      <c r="K83" s="562"/>
      <c r="L83" s="562"/>
      <c r="M83" s="562"/>
      <c r="N83" s="562"/>
      <c r="O83" s="562"/>
      <c r="P83" s="562"/>
      <c r="Q83" s="118">
        <v>13</v>
      </c>
      <c r="R83" s="112">
        <v>12</v>
      </c>
      <c r="S83" s="80">
        <v>12</v>
      </c>
      <c r="T83" s="63">
        <f t="shared" ref="T83" si="14">(S83/R83)*1</f>
        <v>1</v>
      </c>
      <c r="U83" s="66">
        <v>8655000</v>
      </c>
      <c r="V83" s="66">
        <v>8655000</v>
      </c>
      <c r="W83" s="562"/>
      <c r="X83" s="101" t="s">
        <v>462</v>
      </c>
      <c r="Y83" s="112">
        <v>12</v>
      </c>
      <c r="Z83" s="80">
        <v>12</v>
      </c>
      <c r="AA83" s="63">
        <f t="shared" ref="AA83" si="15">(Z83/Y83)*1</f>
        <v>1</v>
      </c>
      <c r="AB83" s="66"/>
      <c r="AC83" s="66"/>
      <c r="AD83" s="562"/>
      <c r="AE83" s="99"/>
      <c r="AF83" s="135">
        <v>13</v>
      </c>
      <c r="AG83" s="86">
        <v>5</v>
      </c>
      <c r="AH83" s="63">
        <f t="shared" ref="AH83" si="16">(AG83/AF83)*1</f>
        <v>0.38461538461538464</v>
      </c>
      <c r="AI83" s="605"/>
      <c r="AJ83" s="605"/>
      <c r="AK83" s="562"/>
      <c r="AL83" s="133" t="s">
        <v>696</v>
      </c>
      <c r="AM83" s="102">
        <v>13</v>
      </c>
      <c r="AN83" s="61">
        <v>10</v>
      </c>
      <c r="AO83" s="63">
        <f t="shared" ref="AO83" si="17">(AN83/AM83)*1</f>
        <v>0.76923076923076927</v>
      </c>
      <c r="AP83" s="650"/>
      <c r="AQ83" s="650"/>
      <c r="AR83" s="562"/>
      <c r="AS83" s="133" t="s">
        <v>774</v>
      </c>
      <c r="AT83" s="253">
        <v>13</v>
      </c>
      <c r="AU83" s="254">
        <v>11</v>
      </c>
      <c r="AV83" s="63">
        <f t="shared" ref="AV83" si="18">(AU83/AT83)*1</f>
        <v>0.84615384615384615</v>
      </c>
      <c r="AW83" s="707"/>
      <c r="AX83" s="706"/>
      <c r="AY83" s="562"/>
      <c r="AZ83" s="314" t="s">
        <v>834</v>
      </c>
      <c r="BA83" s="112">
        <v>12</v>
      </c>
      <c r="BB83" s="96">
        <v>12</v>
      </c>
      <c r="BC83" s="63">
        <f t="shared" ref="BC83" si="19">(BB83/BA83)*1</f>
        <v>1</v>
      </c>
      <c r="BD83" s="500"/>
      <c r="BE83" s="500"/>
      <c r="BF83" s="562"/>
      <c r="BG83" s="779" t="s">
        <v>894</v>
      </c>
      <c r="BH83" s="112">
        <v>11</v>
      </c>
      <c r="BI83" s="80">
        <v>11</v>
      </c>
      <c r="BJ83" s="63">
        <f t="shared" ref="BJ83" si="20">(BI83/BH83)*1</f>
        <v>1</v>
      </c>
      <c r="BK83" s="66" t="s">
        <v>550</v>
      </c>
      <c r="BL83" s="66" t="s">
        <v>551</v>
      </c>
      <c r="BM83" s="562"/>
      <c r="BN83" s="101" t="s">
        <v>552</v>
      </c>
      <c r="BO83" s="112">
        <v>12</v>
      </c>
      <c r="BP83" s="80">
        <v>11</v>
      </c>
      <c r="BQ83" s="63">
        <f t="shared" ref="BQ83" si="21">(BP83/BO83)*1</f>
        <v>0.91666666666666663</v>
      </c>
      <c r="BR83" s="66">
        <v>8655000</v>
      </c>
      <c r="BS83" s="66">
        <v>8655000</v>
      </c>
      <c r="BT83" s="562"/>
      <c r="BU83" s="101" t="s">
        <v>580</v>
      </c>
      <c r="BV83" s="61">
        <v>13</v>
      </c>
      <c r="BW83" s="80">
        <v>13</v>
      </c>
      <c r="BX83" s="63">
        <f t="shared" ref="BX83" si="22">(BW83/BV83)*1</f>
        <v>1</v>
      </c>
      <c r="BY83" s="66">
        <v>34620000</v>
      </c>
      <c r="BZ83" s="273">
        <v>28850000</v>
      </c>
      <c r="CA83" s="63">
        <f>BZ83/BY83</f>
        <v>0.83333333333333337</v>
      </c>
      <c r="CB83" s="77" t="s">
        <v>945</v>
      </c>
      <c r="CC83" s="168" t="s">
        <v>991</v>
      </c>
      <c r="CD83" s="61">
        <v>13</v>
      </c>
      <c r="CE83" s="80">
        <v>13</v>
      </c>
      <c r="CF83" s="63">
        <f t="shared" ref="CF83" si="23">(CE83/CD83)*1</f>
        <v>1</v>
      </c>
      <c r="CG83" s="66">
        <f>55000000+34620000+714286</f>
        <v>90334286</v>
      </c>
      <c r="CH83" s="273">
        <f>28850000+714286</f>
        <v>29564286</v>
      </c>
      <c r="CI83" s="63">
        <f>CH83/CG83</f>
        <v>0.32727646732050331</v>
      </c>
      <c r="CJ83" s="77" t="s">
        <v>945</v>
      </c>
      <c r="CK83" s="86" t="s">
        <v>1170</v>
      </c>
      <c r="CL83" s="45">
        <v>13</v>
      </c>
      <c r="CM83" s="57">
        <v>5</v>
      </c>
      <c r="CN83" s="34">
        <f t="shared" ref="CN83" si="24">(CM83/CL83)*1</f>
        <v>0.38461538461538464</v>
      </c>
      <c r="CO83" s="50">
        <f>55500000+8000000</f>
        <v>63500000</v>
      </c>
      <c r="CP83" s="380">
        <f>14800000+2000000</f>
        <v>16800000</v>
      </c>
      <c r="CQ83" s="34">
        <f>CP83/CO83</f>
        <v>0.26456692913385826</v>
      </c>
      <c r="CR83" s="77" t="s">
        <v>945</v>
      </c>
      <c r="CS83" s="233" t="s">
        <v>1216</v>
      </c>
      <c r="CT83" s="77">
        <v>13</v>
      </c>
      <c r="CU83" s="61">
        <v>9</v>
      </c>
      <c r="CV83" s="256">
        <f>(CU83/CT83)*1</f>
        <v>0.69230769230769229</v>
      </c>
      <c r="CW83" s="66">
        <f>8000000+5100000</f>
        <v>13100000</v>
      </c>
      <c r="CX83" s="363">
        <f>6000000+5100000</f>
        <v>11100000</v>
      </c>
      <c r="CY83" s="63">
        <f>CX83/CW83</f>
        <v>0.84732824427480913</v>
      </c>
      <c r="CZ83" s="77" t="s">
        <v>945</v>
      </c>
      <c r="DA83" s="86" t="s">
        <v>1171</v>
      </c>
      <c r="DB83" s="77">
        <v>13</v>
      </c>
      <c r="DC83" s="61">
        <v>9</v>
      </c>
      <c r="DD83" s="256">
        <f>DC83/DB83</f>
        <v>0.69230769230769229</v>
      </c>
    </row>
    <row r="84" spans="1:108" ht="171" customHeight="1" thickBot="1" x14ac:dyDescent="0.3">
      <c r="A84" s="813"/>
      <c r="B84" s="457"/>
      <c r="C84" s="615"/>
      <c r="D84" s="364" t="s">
        <v>240</v>
      </c>
      <c r="E84" s="152" t="s">
        <v>241</v>
      </c>
      <c r="F84" s="152" t="s">
        <v>242</v>
      </c>
      <c r="G84" s="152" t="s">
        <v>239</v>
      </c>
      <c r="H84" s="152" t="s">
        <v>945</v>
      </c>
      <c r="I84" s="152">
        <v>0</v>
      </c>
      <c r="J84" s="152">
        <v>13</v>
      </c>
      <c r="K84" s="625"/>
      <c r="L84" s="625"/>
      <c r="M84" s="625"/>
      <c r="N84" s="625"/>
      <c r="O84" s="625"/>
      <c r="P84" s="625"/>
      <c r="Q84" s="365">
        <v>13</v>
      </c>
      <c r="R84" s="113">
        <v>13</v>
      </c>
      <c r="S84" s="97">
        <v>4</v>
      </c>
      <c r="T84" s="366">
        <f>S84/R84</f>
        <v>0.30769230769230771</v>
      </c>
      <c r="U84" s="115">
        <v>8655000</v>
      </c>
      <c r="V84" s="116">
        <v>8655000</v>
      </c>
      <c r="W84" s="625"/>
      <c r="X84" s="117" t="s">
        <v>463</v>
      </c>
      <c r="Y84" s="113">
        <v>13</v>
      </c>
      <c r="Z84" s="97">
        <v>10</v>
      </c>
      <c r="AA84" s="366">
        <f>Z84/Y84</f>
        <v>0.76923076923076927</v>
      </c>
      <c r="AB84" s="115"/>
      <c r="AC84" s="115"/>
      <c r="AD84" s="625"/>
      <c r="AE84" s="768"/>
      <c r="AF84" s="113">
        <v>13</v>
      </c>
      <c r="AG84" s="97">
        <v>4</v>
      </c>
      <c r="AH84" s="366">
        <f>AG84/AF84</f>
        <v>0.30769230769230771</v>
      </c>
      <c r="AI84" s="115">
        <v>8655000</v>
      </c>
      <c r="AJ84" s="116">
        <v>8655000</v>
      </c>
      <c r="AK84" s="625"/>
      <c r="AL84" s="117"/>
      <c r="AM84" s="113">
        <v>13</v>
      </c>
      <c r="AN84" s="97">
        <v>10</v>
      </c>
      <c r="AO84" s="366">
        <f>AN84/AM84</f>
        <v>0.76923076923076927</v>
      </c>
      <c r="AP84" s="115" t="s">
        <v>466</v>
      </c>
      <c r="AQ84" s="115" t="s">
        <v>465</v>
      </c>
      <c r="AR84" s="625"/>
      <c r="AS84" s="768" t="s">
        <v>1172</v>
      </c>
      <c r="AT84" s="113">
        <v>13</v>
      </c>
      <c r="AU84" s="97">
        <v>4</v>
      </c>
      <c r="AV84" s="366">
        <f>AU84/AT84</f>
        <v>0.30769230769230771</v>
      </c>
      <c r="AW84" s="115">
        <v>8655000</v>
      </c>
      <c r="AX84" s="116">
        <v>8655000</v>
      </c>
      <c r="AY84" s="625"/>
      <c r="AZ84" s="117" t="s">
        <v>463</v>
      </c>
      <c r="BA84" s="113">
        <v>13</v>
      </c>
      <c r="BB84" s="367">
        <v>13</v>
      </c>
      <c r="BC84" s="366">
        <f>BB84/BA84</f>
        <v>1</v>
      </c>
      <c r="BD84" s="714"/>
      <c r="BE84" s="714"/>
      <c r="BF84" s="625"/>
      <c r="BG84" s="780" t="s">
        <v>895</v>
      </c>
      <c r="BH84" s="113">
        <v>13</v>
      </c>
      <c r="BI84" s="97">
        <v>7</v>
      </c>
      <c r="BJ84" s="114">
        <f>(BI84/BH84)*1</f>
        <v>0.53846153846153844</v>
      </c>
      <c r="BK84" s="115" t="s">
        <v>553</v>
      </c>
      <c r="BL84" s="116">
        <v>400</v>
      </c>
      <c r="BM84" s="625"/>
      <c r="BN84" s="117" t="s">
        <v>554</v>
      </c>
      <c r="BO84" s="113">
        <v>13</v>
      </c>
      <c r="BP84" s="97">
        <v>5</v>
      </c>
      <c r="BQ84" s="366">
        <f>BP84/BO84</f>
        <v>0.38461538461538464</v>
      </c>
      <c r="BR84" s="115">
        <v>8655000</v>
      </c>
      <c r="BS84" s="116">
        <v>8655000</v>
      </c>
      <c r="BT84" s="625"/>
      <c r="BU84" s="117" t="s">
        <v>1173</v>
      </c>
      <c r="BV84" s="61">
        <v>13</v>
      </c>
      <c r="BW84" s="368">
        <v>13</v>
      </c>
      <c r="BX84" s="366">
        <f>BW84/BV84</f>
        <v>1</v>
      </c>
      <c r="BY84" s="66">
        <f>34620000+
273979122+
950000+1360000</f>
        <v>310909122</v>
      </c>
      <c r="BZ84" s="66">
        <f>28850000+
142116458+
950000+1360000</f>
        <v>173276458</v>
      </c>
      <c r="CA84" s="256">
        <f>BZ84/BY84</f>
        <v>0.55732188520348402</v>
      </c>
      <c r="CB84" s="152" t="s">
        <v>945</v>
      </c>
      <c r="CC84" s="163" t="s">
        <v>999</v>
      </c>
      <c r="CD84" s="61">
        <v>13</v>
      </c>
      <c r="CE84" s="368">
        <v>13</v>
      </c>
      <c r="CF84" s="366">
        <f>CE84/CD84</f>
        <v>1</v>
      </c>
      <c r="CG84" s="66">
        <f>34620000+714286+
273979122+
950000+1360000</f>
        <v>311623408</v>
      </c>
      <c r="CH84" s="66">
        <f>28850000+714286+
142116458+
950000+1360000</f>
        <v>173990744</v>
      </c>
      <c r="CI84" s="256">
        <f>CH84/CG84</f>
        <v>0.55833656757903116</v>
      </c>
      <c r="CJ84" s="152" t="s">
        <v>945</v>
      </c>
      <c r="CK84" s="260" t="s">
        <v>1174</v>
      </c>
      <c r="CL84" s="58">
        <v>13</v>
      </c>
      <c r="CM84" s="150">
        <v>5</v>
      </c>
      <c r="CN84" s="85">
        <f>CM84/CL84</f>
        <v>0.38461538461538464</v>
      </c>
      <c r="CO84" s="426">
        <v>55500000</v>
      </c>
      <c r="CP84" s="380">
        <v>14800000</v>
      </c>
      <c r="CQ84" s="31">
        <f>CP84/CO84</f>
        <v>0.26666666666666666</v>
      </c>
      <c r="CR84" s="152" t="s">
        <v>945</v>
      </c>
      <c r="CS84" s="234" t="s">
        <v>1217</v>
      </c>
      <c r="CT84" s="152">
        <v>13</v>
      </c>
      <c r="CU84" s="368">
        <v>1</v>
      </c>
      <c r="CV84" s="366">
        <f>CU84/CT84</f>
        <v>7.6923076923076927E-2</v>
      </c>
      <c r="CW84" s="535">
        <v>5100000</v>
      </c>
      <c r="CX84" s="363">
        <v>5100000</v>
      </c>
      <c r="CY84" s="256">
        <f>CX84/CW84</f>
        <v>1</v>
      </c>
      <c r="CZ84" s="152" t="s">
        <v>945</v>
      </c>
      <c r="DA84" s="260" t="s">
        <v>1175</v>
      </c>
      <c r="DB84" s="152">
        <v>13</v>
      </c>
      <c r="DC84" s="80">
        <v>5</v>
      </c>
      <c r="DD84" s="81">
        <f>DC84/DB84</f>
        <v>0.38461538461538464</v>
      </c>
    </row>
    <row r="85" spans="1:108" x14ac:dyDescent="0.25">
      <c r="C85" s="369"/>
      <c r="Q85" s="60"/>
      <c r="R85" s="29"/>
      <c r="T85" s="15"/>
      <c r="U85" s="3"/>
      <c r="V85" s="3"/>
      <c r="W85" s="2"/>
      <c r="X85" s="2"/>
      <c r="Y85" s="29"/>
      <c r="AA85" s="15"/>
      <c r="AB85" s="3"/>
      <c r="AC85" s="3"/>
      <c r="AD85" s="2"/>
      <c r="AE85" s="769"/>
      <c r="AI85" s="2"/>
      <c r="AJ85" s="2"/>
      <c r="AK85" s="2"/>
      <c r="AL85" s="2"/>
      <c r="AM85" s="2"/>
      <c r="AN85" s="2"/>
      <c r="AO85" s="2"/>
      <c r="AP85" s="2"/>
      <c r="AQ85" s="2"/>
      <c r="AR85" s="2"/>
      <c r="AS85" s="769"/>
      <c r="AT85" s="2"/>
      <c r="AU85" s="2"/>
      <c r="AV85" s="2"/>
      <c r="AW85" s="2"/>
      <c r="AX85" s="2"/>
      <c r="AY85" s="2"/>
      <c r="AZ85" s="2"/>
      <c r="BA85" s="2"/>
      <c r="BB85" s="2"/>
      <c r="BC85" s="2"/>
      <c r="BD85" s="2"/>
      <c r="BE85" s="2"/>
      <c r="BW85" s="2"/>
      <c r="CE85" s="2"/>
      <c r="CH85" s="231"/>
      <c r="CK85" s="370"/>
      <c r="CM85" s="2"/>
      <c r="CO85" s="427"/>
      <c r="CP85" s="381"/>
      <c r="CS85" s="232"/>
      <c r="CU85" s="2"/>
      <c r="CW85" s="536"/>
      <c r="CX85" s="371"/>
      <c r="DA85" s="370"/>
    </row>
    <row r="86" spans="1:108" ht="15.75" thickBot="1" x14ac:dyDescent="0.3">
      <c r="Q86" s="60"/>
      <c r="R86" s="29"/>
      <c r="S86" s="29"/>
      <c r="T86" s="15"/>
      <c r="U86" s="3"/>
      <c r="V86" s="3"/>
      <c r="W86" s="2"/>
      <c r="X86" s="2"/>
      <c r="Y86" s="29"/>
      <c r="Z86" s="29"/>
      <c r="AA86" s="15"/>
      <c r="AB86" s="3"/>
      <c r="AC86" s="3"/>
      <c r="AD86" s="2"/>
      <c r="AE86" s="769"/>
      <c r="AI86" s="2"/>
      <c r="AJ86" s="2"/>
      <c r="AK86" s="2"/>
      <c r="AL86" s="2"/>
      <c r="AM86" s="2"/>
      <c r="AN86" s="2"/>
      <c r="AO86" s="2"/>
      <c r="AP86" s="2"/>
      <c r="AQ86" s="2"/>
      <c r="AR86" s="2"/>
      <c r="AS86" s="769"/>
      <c r="AT86" s="2"/>
      <c r="AU86" s="2"/>
      <c r="AV86" s="2"/>
      <c r="AW86" s="2"/>
      <c r="AX86" s="2"/>
      <c r="AY86" s="2"/>
      <c r="AZ86" s="2"/>
      <c r="BA86" s="2"/>
      <c r="BB86" s="2"/>
      <c r="BC86" s="2"/>
      <c r="BD86" s="2"/>
      <c r="BE86" s="2"/>
      <c r="BX86" s="372">
        <f>AVERAGE(BX3:BX84)</f>
        <v>0.72294908925318746</v>
      </c>
      <c r="BZ86" t="s">
        <v>946</v>
      </c>
      <c r="CA86" s="373">
        <f>AVERAGE(CA3:CA84)</f>
        <v>0.52647452829838126</v>
      </c>
      <c r="CF86" s="372">
        <f>AVERAGE(CF3:CF84)</f>
        <v>0.70229780019616073</v>
      </c>
      <c r="CH86" s="231" t="s">
        <v>946</v>
      </c>
      <c r="CI86" s="373">
        <f>AVERAGE(CI3:CI84)</f>
        <v>0.49097483170011674</v>
      </c>
      <c r="CK86" s="370"/>
      <c r="CL86" s="370"/>
      <c r="CM86" s="370"/>
      <c r="CN86" s="370"/>
      <c r="CO86" s="370"/>
      <c r="CP86" s="370"/>
      <c r="CQ86" s="370"/>
      <c r="CR86" s="370"/>
      <c r="CS86" s="370"/>
      <c r="CV86" s="372">
        <f>AVERAGE(CV3:CV84)</f>
        <v>0.61638060809864093</v>
      </c>
      <c r="CX86" s="231" t="s">
        <v>946</v>
      </c>
      <c r="CY86" s="385">
        <f>AVERAGE(CY3:CY84)</f>
        <v>0.59590854908862478</v>
      </c>
      <c r="DA86" s="370"/>
      <c r="DB86" t="s">
        <v>905</v>
      </c>
      <c r="DD86" s="385">
        <f>AVERAGE(DD3:DD84)</f>
        <v>0.62917192097519969</v>
      </c>
    </row>
    <row r="87" spans="1:108" x14ac:dyDescent="0.25">
      <c r="Q87" s="60"/>
      <c r="R87" s="29"/>
      <c r="S87" s="29"/>
      <c r="T87" s="15"/>
      <c r="U87" s="3"/>
      <c r="V87" s="3"/>
      <c r="W87" s="2"/>
      <c r="X87" s="2"/>
      <c r="Y87" s="29"/>
      <c r="Z87" s="29"/>
      <c r="AA87" s="15"/>
      <c r="AB87" s="3"/>
      <c r="AC87" s="3"/>
      <c r="AD87" s="2"/>
      <c r="AE87" s="769"/>
      <c r="AI87" s="2"/>
      <c r="AJ87" s="2"/>
      <c r="AK87" s="2"/>
      <c r="AL87" s="2"/>
      <c r="AM87" s="2"/>
      <c r="AN87" s="2"/>
      <c r="AO87" s="2"/>
      <c r="AP87" s="2"/>
      <c r="AQ87" s="2"/>
      <c r="AR87" s="2"/>
      <c r="AS87" s="769"/>
      <c r="AT87" s="2"/>
      <c r="AU87" s="2"/>
      <c r="AV87" s="2"/>
      <c r="AW87" s="2"/>
      <c r="AX87" s="2"/>
      <c r="AY87" s="2"/>
      <c r="AZ87" s="2"/>
      <c r="BA87" s="2"/>
      <c r="BB87" s="2"/>
      <c r="BC87" s="2"/>
      <c r="BD87" s="2"/>
      <c r="BE87" s="2"/>
      <c r="BU87" s="740"/>
      <c r="BV87" s="740"/>
      <c r="BW87" s="740"/>
      <c r="BX87" s="147"/>
    </row>
    <row r="88" spans="1:108" x14ac:dyDescent="0.25">
      <c r="Q88" s="60"/>
      <c r="R88" s="29"/>
      <c r="S88" s="29"/>
      <c r="T88" s="15"/>
      <c r="U88" s="3"/>
      <c r="V88" s="3"/>
      <c r="W88" s="2"/>
      <c r="X88" s="2"/>
      <c r="Y88" s="29"/>
      <c r="Z88" s="29"/>
      <c r="AA88" s="15"/>
      <c r="AB88" s="3"/>
      <c r="AC88" s="3"/>
      <c r="AD88" s="2"/>
      <c r="AE88" s="769"/>
      <c r="AF88" s="2"/>
      <c r="AG88" s="2"/>
      <c r="AH88" s="2"/>
      <c r="AI88" s="2"/>
      <c r="AJ88" s="2"/>
      <c r="AK88" s="2"/>
      <c r="AL88" s="2"/>
      <c r="AM88" s="2"/>
      <c r="AN88" s="2"/>
      <c r="AO88" s="2"/>
      <c r="AP88" s="2"/>
      <c r="AQ88" s="2"/>
      <c r="AR88" s="2"/>
      <c r="AS88" s="769"/>
      <c r="AT88" s="2"/>
      <c r="AU88" s="2"/>
      <c r="AV88" s="2"/>
      <c r="AW88" s="2"/>
      <c r="AX88" s="2"/>
      <c r="AY88" s="2"/>
      <c r="AZ88" s="2"/>
      <c r="BA88" s="2"/>
      <c r="BB88" s="2"/>
      <c r="BC88" s="2"/>
      <c r="BD88" s="2"/>
      <c r="BE88" s="2"/>
    </row>
    <row r="89" spans="1:108" x14ac:dyDescent="0.25">
      <c r="Q89" s="60"/>
      <c r="R89" s="29"/>
      <c r="S89" s="29"/>
      <c r="T89" s="15"/>
      <c r="U89" s="3"/>
      <c r="V89" s="3"/>
      <c r="W89" s="2"/>
      <c r="X89" s="2"/>
      <c r="Y89" s="29"/>
      <c r="Z89" s="29"/>
      <c r="AA89" s="15"/>
      <c r="AB89" s="3"/>
      <c r="AC89" s="3"/>
      <c r="AD89" s="2"/>
      <c r="AE89" s="769"/>
      <c r="AF89" s="2"/>
      <c r="AG89" s="2"/>
      <c r="AH89" s="2"/>
      <c r="AI89" s="2"/>
      <c r="AJ89" s="2"/>
      <c r="AK89" s="2"/>
      <c r="AL89" s="2"/>
      <c r="AM89" s="2"/>
      <c r="AN89" s="2"/>
      <c r="AO89" s="2"/>
      <c r="AP89" s="2"/>
      <c r="AQ89" s="2"/>
      <c r="AR89" s="2"/>
      <c r="AS89" s="769"/>
      <c r="AT89" s="2"/>
      <c r="AU89" s="2"/>
      <c r="AV89" s="2"/>
      <c r="AW89" s="2"/>
      <c r="AX89" s="2"/>
      <c r="AY89" s="2"/>
      <c r="AZ89" s="2"/>
      <c r="BA89" s="2"/>
      <c r="BB89" s="2"/>
      <c r="BC89" s="2"/>
      <c r="BD89" s="2"/>
      <c r="BE89" s="2"/>
    </row>
    <row r="90" spans="1:108" x14ac:dyDescent="0.25">
      <c r="Q90" s="60"/>
      <c r="R90" s="29"/>
      <c r="S90" s="29"/>
      <c r="T90" s="15"/>
      <c r="U90" s="3"/>
      <c r="V90" s="3"/>
      <c r="W90" s="2"/>
      <c r="X90" s="2"/>
      <c r="Y90" s="29"/>
      <c r="Z90" s="29"/>
      <c r="AA90" s="15"/>
      <c r="AB90" s="3"/>
      <c r="AC90" s="3"/>
      <c r="AD90" s="2"/>
      <c r="AE90" s="769"/>
      <c r="AF90" s="2"/>
      <c r="AG90" s="2"/>
      <c r="AH90" s="2"/>
      <c r="AI90" s="2"/>
      <c r="AJ90" s="2"/>
      <c r="AK90" s="2"/>
      <c r="AL90" s="2"/>
      <c r="AM90" s="2"/>
      <c r="AN90" s="2"/>
      <c r="AO90" s="2"/>
      <c r="AP90" s="2"/>
      <c r="AQ90" s="2"/>
      <c r="AR90" s="2"/>
      <c r="AS90" s="769"/>
      <c r="AT90" s="2"/>
      <c r="AU90" s="2"/>
      <c r="AV90" s="2"/>
      <c r="AW90" s="2"/>
      <c r="AX90" s="2"/>
      <c r="AY90" s="2"/>
      <c r="AZ90" s="2"/>
      <c r="BA90" s="2"/>
      <c r="BB90" s="2"/>
      <c r="BC90" s="2"/>
      <c r="BD90" s="2"/>
      <c r="BE90" s="2"/>
    </row>
    <row r="91" spans="1:108" x14ac:dyDescent="0.25">
      <c r="Q91" s="60"/>
      <c r="R91" s="29"/>
      <c r="S91" s="29"/>
      <c r="T91" s="15"/>
      <c r="U91" s="3"/>
      <c r="V91" s="3"/>
      <c r="W91" s="2"/>
      <c r="X91" s="2"/>
      <c r="Y91" s="29"/>
      <c r="Z91" s="29"/>
      <c r="AA91" s="15"/>
      <c r="AB91" s="3"/>
      <c r="AC91" s="3"/>
      <c r="AD91" s="2"/>
      <c r="AE91" s="769"/>
      <c r="AF91" s="2"/>
      <c r="AG91" s="2"/>
      <c r="AH91" s="2"/>
      <c r="AI91" s="2"/>
      <c r="AJ91" s="2"/>
      <c r="AK91" s="2"/>
      <c r="AL91" s="2"/>
      <c r="AM91" s="2"/>
      <c r="AN91" s="2"/>
      <c r="AO91" s="2"/>
      <c r="AP91" s="2"/>
      <c r="AQ91" s="2"/>
      <c r="AR91" s="2"/>
      <c r="AS91" s="769"/>
      <c r="AT91" s="2"/>
      <c r="AU91" s="2"/>
      <c r="AV91" s="2"/>
      <c r="AW91" s="2"/>
      <c r="AX91" s="2"/>
      <c r="AY91" s="2"/>
      <c r="AZ91" s="2"/>
      <c r="BA91" s="2"/>
      <c r="BB91" s="2"/>
      <c r="BC91" s="2"/>
      <c r="BD91" s="2"/>
      <c r="BE91" s="2"/>
    </row>
    <row r="92" spans="1:108" x14ac:dyDescent="0.25">
      <c r="Q92" s="60"/>
      <c r="R92" s="29"/>
      <c r="S92" s="29"/>
      <c r="T92" s="15"/>
      <c r="U92" s="3"/>
      <c r="V92" s="3"/>
      <c r="W92" s="2"/>
      <c r="X92" s="2"/>
      <c r="Y92" s="29"/>
      <c r="Z92" s="29"/>
      <c r="AA92" s="15"/>
      <c r="AB92" s="3"/>
      <c r="AC92" s="3"/>
      <c r="AD92" s="2"/>
      <c r="AE92" s="769"/>
      <c r="AF92" s="2"/>
      <c r="AG92" s="2"/>
      <c r="AH92" s="2"/>
      <c r="AI92" s="2"/>
      <c r="AJ92" s="2"/>
      <c r="AK92" s="2"/>
      <c r="AL92" s="2"/>
      <c r="AM92" s="2"/>
      <c r="AN92" s="2"/>
      <c r="AO92" s="2"/>
      <c r="AP92" s="2"/>
      <c r="AQ92" s="2"/>
      <c r="AR92" s="2"/>
      <c r="AS92" s="769"/>
      <c r="AT92" s="2"/>
      <c r="AU92" s="2"/>
      <c r="AV92" s="2"/>
      <c r="AW92" s="2"/>
      <c r="AX92" s="2"/>
      <c r="AY92" s="2"/>
      <c r="AZ92" s="2"/>
      <c r="BA92" s="2"/>
      <c r="BB92" s="2"/>
      <c r="BC92" s="2"/>
      <c r="BD92" s="2"/>
      <c r="BE92" s="2"/>
    </row>
    <row r="93" spans="1:108" x14ac:dyDescent="0.25">
      <c r="Q93" s="60"/>
      <c r="R93" s="29"/>
      <c r="S93" s="29"/>
      <c r="T93" s="15"/>
      <c r="U93" s="3"/>
      <c r="V93" s="3"/>
      <c r="W93" s="2"/>
      <c r="X93" s="2"/>
      <c r="Y93" s="29"/>
      <c r="Z93" s="29"/>
      <c r="AA93" s="15"/>
      <c r="AB93" s="3"/>
      <c r="AC93" s="3"/>
      <c r="AD93" s="2"/>
      <c r="AE93" s="769"/>
      <c r="AF93" s="2"/>
      <c r="AG93" s="2"/>
      <c r="AH93" s="2"/>
      <c r="AI93" s="2"/>
      <c r="AJ93" s="2"/>
      <c r="AK93" s="2"/>
      <c r="AL93" s="2"/>
      <c r="AM93" s="2"/>
      <c r="AN93" s="2"/>
      <c r="AO93" s="2"/>
      <c r="AP93" s="2"/>
      <c r="AQ93" s="2"/>
      <c r="AR93" s="2"/>
      <c r="AS93" s="769"/>
      <c r="AT93" s="2"/>
      <c r="AU93" s="2"/>
      <c r="AV93" s="2"/>
      <c r="AW93" s="2"/>
      <c r="AX93" s="2"/>
      <c r="AY93" s="2"/>
      <c r="AZ93" s="2"/>
      <c r="BA93" s="2"/>
      <c r="BB93" s="2"/>
      <c r="BC93" s="2"/>
      <c r="BD93" s="2"/>
      <c r="BE93" s="2"/>
    </row>
    <row r="94" spans="1:108" x14ac:dyDescent="0.25">
      <c r="Q94" s="60"/>
      <c r="R94" s="29"/>
      <c r="S94" s="29"/>
      <c r="T94" s="15"/>
      <c r="U94" s="3"/>
      <c r="V94" s="3"/>
      <c r="W94" s="2"/>
      <c r="X94" s="2"/>
      <c r="Y94" s="29"/>
      <c r="Z94" s="29"/>
      <c r="AA94" s="15"/>
      <c r="AB94" s="3"/>
      <c r="AC94" s="3"/>
      <c r="AD94" s="2"/>
      <c r="AE94" s="769"/>
      <c r="AF94" s="2"/>
      <c r="AG94" s="2"/>
      <c r="AH94" s="2"/>
      <c r="AI94" s="2"/>
      <c r="AJ94" s="2"/>
      <c r="AK94" s="2"/>
      <c r="AL94" s="2"/>
      <c r="AM94" s="2"/>
      <c r="AN94" s="2"/>
      <c r="AO94" s="2"/>
      <c r="AP94" s="2"/>
      <c r="AQ94" s="2"/>
      <c r="AR94" s="2"/>
      <c r="AS94" s="769"/>
      <c r="AT94" s="2"/>
      <c r="AU94" s="2"/>
      <c r="AV94" s="2"/>
      <c r="AW94" s="2"/>
      <c r="AX94" s="2"/>
      <c r="AY94" s="2"/>
      <c r="AZ94" s="2"/>
      <c r="BA94" s="2"/>
      <c r="BB94" s="2"/>
      <c r="BC94" s="2"/>
      <c r="BD94" s="2"/>
      <c r="BE94" s="2"/>
    </row>
    <row r="95" spans="1:108" x14ac:dyDescent="0.25">
      <c r="Q95" s="60"/>
      <c r="R95" s="29"/>
      <c r="S95" s="29"/>
      <c r="T95" s="15"/>
      <c r="U95" s="3"/>
      <c r="V95" s="3"/>
      <c r="W95" s="2"/>
      <c r="X95" s="2"/>
      <c r="Y95" s="29"/>
      <c r="Z95" s="29"/>
      <c r="AA95" s="15"/>
      <c r="AB95" s="3"/>
      <c r="AC95" s="3"/>
      <c r="AD95" s="2"/>
      <c r="AE95" s="769"/>
      <c r="AF95" s="2"/>
      <c r="AG95" s="2"/>
      <c r="AH95" s="2"/>
      <c r="AI95" s="2"/>
      <c r="AJ95" s="2"/>
      <c r="AK95" s="2"/>
      <c r="AL95" s="2"/>
      <c r="AM95" s="2"/>
      <c r="AN95" s="2"/>
      <c r="AO95" s="2"/>
      <c r="AP95" s="2"/>
      <c r="AQ95" s="2"/>
      <c r="AR95" s="2"/>
      <c r="AS95" s="769"/>
      <c r="AT95" s="2"/>
      <c r="AU95" s="2"/>
      <c r="AV95" s="2"/>
      <c r="AW95" s="2"/>
      <c r="AX95" s="2"/>
      <c r="AY95" s="2"/>
      <c r="AZ95" s="2"/>
      <c r="BA95" s="2"/>
      <c r="BB95" s="2"/>
      <c r="BC95" s="2"/>
      <c r="BD95" s="2"/>
      <c r="BE95" s="2"/>
    </row>
    <row r="96" spans="1:108" x14ac:dyDescent="0.25">
      <c r="Q96" s="60"/>
      <c r="R96" s="29"/>
      <c r="S96" s="29"/>
      <c r="T96" s="15"/>
      <c r="U96" s="3"/>
      <c r="V96" s="3"/>
      <c r="W96" s="2"/>
      <c r="X96" s="2"/>
      <c r="Y96" s="29"/>
      <c r="Z96" s="29"/>
      <c r="AA96" s="15"/>
      <c r="AB96" s="3"/>
      <c r="AC96" s="3"/>
      <c r="AD96" s="2"/>
      <c r="AE96" s="769"/>
      <c r="AF96" s="2"/>
      <c r="AG96" s="2"/>
      <c r="AH96" s="2"/>
      <c r="AI96" s="2"/>
      <c r="AJ96" s="2"/>
      <c r="AK96" s="2"/>
      <c r="AL96" s="2"/>
      <c r="AM96" s="2"/>
      <c r="AN96" s="2"/>
      <c r="AO96" s="2"/>
      <c r="AP96" s="2"/>
      <c r="AQ96" s="2"/>
      <c r="AR96" s="2"/>
      <c r="AS96" s="769"/>
      <c r="AT96" s="2"/>
      <c r="AU96" s="2"/>
      <c r="AV96" s="2"/>
      <c r="AW96" s="2"/>
      <c r="AX96" s="2"/>
      <c r="AY96" s="2"/>
      <c r="AZ96" s="2"/>
      <c r="BA96" s="2"/>
      <c r="BB96" s="2"/>
      <c r="BC96" s="2"/>
      <c r="BD96" s="2"/>
      <c r="BE96" s="2"/>
    </row>
    <row r="97" spans="17:57" x14ac:dyDescent="0.25">
      <c r="Q97" s="60"/>
      <c r="R97" s="29"/>
      <c r="S97" s="29"/>
      <c r="T97" s="15"/>
      <c r="U97" s="3"/>
      <c r="V97" s="3"/>
      <c r="W97" s="2"/>
      <c r="X97" s="2"/>
      <c r="Y97" s="29"/>
      <c r="Z97" s="29"/>
      <c r="AA97" s="15"/>
      <c r="AB97" s="3"/>
      <c r="AC97" s="3"/>
      <c r="AD97" s="2"/>
      <c r="AE97" s="769"/>
      <c r="AF97" s="2"/>
      <c r="AG97" s="2"/>
      <c r="AH97" s="2"/>
      <c r="AI97" s="2"/>
      <c r="AJ97" s="2"/>
      <c r="AK97" s="2"/>
      <c r="AL97" s="2"/>
      <c r="AM97" s="2"/>
      <c r="AN97" s="2"/>
      <c r="AO97" s="2"/>
      <c r="AP97" s="2"/>
      <c r="AQ97" s="2"/>
      <c r="AR97" s="2"/>
      <c r="AS97" s="769"/>
      <c r="AT97" s="2"/>
      <c r="AU97" s="2"/>
      <c r="AV97" s="2"/>
      <c r="AW97" s="2"/>
      <c r="AX97" s="2"/>
      <c r="AY97" s="2"/>
      <c r="AZ97" s="2"/>
      <c r="BA97" s="2"/>
      <c r="BB97" s="2"/>
      <c r="BC97" s="2"/>
      <c r="BD97" s="2"/>
      <c r="BE97" s="2"/>
    </row>
    <row r="98" spans="17:57" x14ac:dyDescent="0.25">
      <c r="Q98" s="60"/>
      <c r="R98" s="29"/>
      <c r="S98" s="29"/>
      <c r="T98" s="15"/>
      <c r="U98" s="3"/>
      <c r="V98" s="3"/>
      <c r="W98" s="2"/>
      <c r="X98" s="2"/>
      <c r="Y98" s="29"/>
      <c r="Z98" s="29"/>
      <c r="AA98" s="15"/>
      <c r="AB98" s="3"/>
      <c r="AC98" s="3"/>
      <c r="AD98" s="2"/>
      <c r="AE98" s="769"/>
      <c r="AF98" s="2"/>
      <c r="AG98" s="2"/>
      <c r="AH98" s="2"/>
      <c r="AI98" s="2"/>
      <c r="AJ98" s="2"/>
      <c r="AK98" s="2"/>
      <c r="AL98" s="2"/>
      <c r="AM98" s="2"/>
      <c r="AN98" s="2"/>
      <c r="AO98" s="2"/>
      <c r="AP98" s="2"/>
      <c r="AQ98" s="2"/>
      <c r="AR98" s="2"/>
      <c r="AS98" s="769"/>
      <c r="AT98" s="2"/>
      <c r="AU98" s="2"/>
      <c r="AV98" s="2"/>
      <c r="AW98" s="2"/>
      <c r="AX98" s="2"/>
      <c r="AY98" s="2"/>
      <c r="AZ98" s="2"/>
      <c r="BA98" s="2"/>
      <c r="BB98" s="2"/>
      <c r="BC98" s="2"/>
      <c r="BD98" s="2"/>
      <c r="BE98" s="2"/>
    </row>
    <row r="99" spans="17:57" x14ac:dyDescent="0.25">
      <c r="Q99" s="60"/>
      <c r="R99" s="29"/>
      <c r="S99" s="29"/>
      <c r="T99" s="15"/>
      <c r="U99" s="3"/>
      <c r="V99" s="3"/>
      <c r="W99" s="2"/>
      <c r="X99" s="2"/>
      <c r="Y99" s="29"/>
      <c r="Z99" s="29"/>
      <c r="AA99" s="15"/>
      <c r="AB99" s="3"/>
      <c r="AC99" s="3"/>
      <c r="AD99" s="2"/>
      <c r="AE99" s="769"/>
      <c r="AF99" s="2"/>
      <c r="AG99" s="2"/>
      <c r="AH99" s="2"/>
      <c r="AI99" s="2"/>
      <c r="AJ99" s="2"/>
      <c r="AK99" s="2"/>
      <c r="AL99" s="2"/>
      <c r="AM99" s="2"/>
      <c r="AN99" s="2"/>
      <c r="AO99" s="2"/>
      <c r="AP99" s="2"/>
      <c r="AQ99" s="2"/>
      <c r="AR99" s="2"/>
      <c r="AS99" s="769"/>
      <c r="AT99" s="2"/>
      <c r="AU99" s="2"/>
      <c r="AV99" s="2"/>
      <c r="AW99" s="2"/>
      <c r="AX99" s="2"/>
      <c r="AY99" s="2"/>
      <c r="AZ99" s="2"/>
      <c r="BA99" s="2"/>
      <c r="BB99" s="2"/>
      <c r="BC99" s="2"/>
      <c r="BD99" s="2"/>
      <c r="BE99" s="2"/>
    </row>
    <row r="100" spans="17:57" x14ac:dyDescent="0.25">
      <c r="Q100" s="60"/>
      <c r="R100" s="29"/>
      <c r="S100" s="29"/>
      <c r="T100" s="15"/>
      <c r="U100" s="3"/>
      <c r="V100" s="3"/>
      <c r="W100" s="2"/>
      <c r="X100" s="2"/>
      <c r="Y100" s="29"/>
      <c r="Z100" s="29"/>
      <c r="AA100" s="15"/>
      <c r="AB100" s="3"/>
      <c r="AC100" s="3"/>
      <c r="AD100" s="2"/>
      <c r="AE100" s="769"/>
      <c r="AF100" s="2"/>
      <c r="AG100" s="2"/>
      <c r="AH100" s="2"/>
      <c r="AI100" s="2"/>
      <c r="AJ100" s="2"/>
      <c r="AK100" s="2"/>
      <c r="AL100" s="2"/>
      <c r="AM100" s="2"/>
      <c r="AN100" s="2"/>
      <c r="AO100" s="2"/>
      <c r="AP100" s="2"/>
      <c r="AQ100" s="2"/>
      <c r="AR100" s="2"/>
      <c r="AS100" s="769"/>
      <c r="AT100" s="2"/>
      <c r="AU100" s="2"/>
      <c r="AV100" s="2"/>
      <c r="AW100" s="2"/>
      <c r="AX100" s="2"/>
      <c r="AY100" s="2"/>
      <c r="AZ100" s="2"/>
      <c r="BA100" s="2"/>
      <c r="BB100" s="2"/>
      <c r="BC100" s="2"/>
      <c r="BD100" s="2"/>
      <c r="BE100" s="2"/>
    </row>
    <row r="101" spans="17:57" x14ac:dyDescent="0.25">
      <c r="Q101" s="60"/>
      <c r="R101" s="29"/>
      <c r="S101" s="29"/>
      <c r="T101" s="15"/>
      <c r="U101" s="3"/>
      <c r="V101" s="3"/>
      <c r="W101" s="2"/>
      <c r="X101" s="2"/>
      <c r="Y101" s="29"/>
      <c r="Z101" s="29"/>
      <c r="AA101" s="15"/>
      <c r="AB101" s="3"/>
      <c r="AC101" s="3"/>
      <c r="AD101" s="2"/>
      <c r="AE101" s="769"/>
      <c r="AF101" s="2"/>
      <c r="AG101" s="2"/>
      <c r="AH101" s="2"/>
      <c r="AI101" s="2"/>
      <c r="AJ101" s="2"/>
      <c r="AK101" s="2"/>
      <c r="AL101" s="2"/>
      <c r="AM101" s="2"/>
      <c r="AN101" s="2"/>
      <c r="AO101" s="2"/>
      <c r="AP101" s="2"/>
      <c r="AQ101" s="2"/>
      <c r="AR101" s="2"/>
      <c r="AS101" s="769"/>
      <c r="AT101" s="2"/>
      <c r="AU101" s="2"/>
      <c r="AV101" s="2"/>
      <c r="AW101" s="2"/>
      <c r="AX101" s="2"/>
      <c r="AY101" s="2"/>
      <c r="AZ101" s="2"/>
      <c r="BA101" s="2"/>
      <c r="BB101" s="2"/>
      <c r="BC101" s="2"/>
      <c r="BD101" s="2"/>
      <c r="BE101" s="2"/>
    </row>
    <row r="102" spans="17:57" x14ac:dyDescent="0.25">
      <c r="Q102" s="60"/>
      <c r="R102" s="29"/>
      <c r="S102" s="29"/>
      <c r="T102" s="15"/>
      <c r="U102" s="3"/>
      <c r="V102" s="3"/>
      <c r="W102" s="2"/>
      <c r="X102" s="2"/>
      <c r="Y102" s="29"/>
      <c r="Z102" s="29"/>
      <c r="AA102" s="15"/>
      <c r="AB102" s="3"/>
      <c r="AC102" s="3"/>
      <c r="AD102" s="2"/>
      <c r="AE102" s="769"/>
      <c r="AF102" s="2"/>
      <c r="AG102" s="2"/>
      <c r="AH102" s="2"/>
      <c r="AI102" s="2"/>
      <c r="AJ102" s="2"/>
      <c r="AK102" s="2"/>
      <c r="AL102" s="2"/>
      <c r="AM102" s="2"/>
      <c r="AN102" s="2"/>
      <c r="AO102" s="2"/>
      <c r="AP102" s="2"/>
      <c r="AQ102" s="2"/>
      <c r="AR102" s="2"/>
      <c r="AS102" s="769"/>
      <c r="AT102" s="2"/>
      <c r="AU102" s="2"/>
      <c r="AV102" s="2"/>
      <c r="AW102" s="2"/>
      <c r="AX102" s="2"/>
      <c r="AY102" s="2"/>
      <c r="AZ102" s="2"/>
      <c r="BA102" s="2"/>
      <c r="BB102" s="2"/>
      <c r="BC102" s="2"/>
      <c r="BD102" s="2"/>
      <c r="BE102" s="2"/>
    </row>
    <row r="103" spans="17:57" x14ac:dyDescent="0.25">
      <c r="Q103" s="60"/>
      <c r="R103" s="29"/>
      <c r="S103" s="29"/>
      <c r="T103" s="15"/>
      <c r="U103" s="3"/>
      <c r="V103" s="3"/>
      <c r="W103" s="2"/>
      <c r="X103" s="2"/>
      <c r="Y103" s="29"/>
      <c r="Z103" s="29"/>
      <c r="AA103" s="15"/>
      <c r="AB103" s="3"/>
      <c r="AC103" s="3"/>
      <c r="AD103" s="2"/>
      <c r="AE103" s="769"/>
      <c r="AF103" s="2"/>
      <c r="AG103" s="2"/>
      <c r="AH103" s="2"/>
      <c r="AI103" s="2"/>
      <c r="AJ103" s="2"/>
      <c r="AK103" s="2"/>
      <c r="AL103" s="2"/>
      <c r="AM103" s="2"/>
      <c r="AN103" s="2"/>
      <c r="AO103" s="2"/>
      <c r="AP103" s="2"/>
      <c r="AQ103" s="2"/>
      <c r="AR103" s="2"/>
      <c r="AS103" s="769"/>
      <c r="AT103" s="2"/>
      <c r="AU103" s="2"/>
      <c r="AV103" s="2"/>
      <c r="AW103" s="2"/>
      <c r="AX103" s="2"/>
      <c r="AY103" s="2"/>
      <c r="AZ103" s="2"/>
      <c r="BA103" s="2"/>
      <c r="BB103" s="2"/>
      <c r="BC103" s="2"/>
      <c r="BD103" s="2"/>
      <c r="BE103" s="2"/>
    </row>
    <row r="104" spans="17:57" x14ac:dyDescent="0.25">
      <c r="Q104" s="60"/>
      <c r="R104" s="29"/>
      <c r="S104" s="29"/>
      <c r="T104" s="15"/>
      <c r="U104" s="3"/>
      <c r="V104" s="3"/>
      <c r="W104" s="2"/>
      <c r="X104" s="2"/>
      <c r="Y104" s="29"/>
      <c r="Z104" s="29"/>
      <c r="AA104" s="15"/>
      <c r="AB104" s="3"/>
      <c r="AC104" s="3"/>
      <c r="AD104" s="2"/>
      <c r="AE104" s="769"/>
      <c r="AF104" s="2"/>
      <c r="AG104" s="2"/>
      <c r="AH104" s="2"/>
      <c r="AI104" s="2"/>
      <c r="AJ104" s="2"/>
      <c r="AK104" s="2"/>
      <c r="AL104" s="2"/>
      <c r="AM104" s="2"/>
      <c r="AN104" s="2"/>
      <c r="AO104" s="2"/>
      <c r="AP104" s="2"/>
      <c r="AQ104" s="2"/>
      <c r="AR104" s="2"/>
      <c r="AS104" s="769"/>
      <c r="AT104" s="2"/>
      <c r="AU104" s="2"/>
      <c r="AV104" s="2"/>
      <c r="AW104" s="2"/>
      <c r="AX104" s="2"/>
      <c r="AY104" s="2"/>
      <c r="AZ104" s="2"/>
      <c r="BA104" s="2"/>
      <c r="BB104" s="2"/>
      <c r="BC104" s="2"/>
      <c r="BD104" s="2"/>
      <c r="BE104" s="2"/>
    </row>
    <row r="105" spans="17:57" x14ac:dyDescent="0.25">
      <c r="Q105" s="60"/>
      <c r="R105" s="29"/>
      <c r="S105" s="29"/>
      <c r="T105" s="15"/>
      <c r="U105" s="3"/>
      <c r="V105" s="3"/>
      <c r="W105" s="2"/>
      <c r="X105" s="2"/>
      <c r="Y105" s="29"/>
      <c r="Z105" s="29"/>
      <c r="AA105" s="15"/>
      <c r="AB105" s="3"/>
      <c r="AC105" s="3"/>
      <c r="AD105" s="2"/>
      <c r="AE105" s="769"/>
      <c r="AF105" s="2"/>
      <c r="AG105" s="2"/>
      <c r="AH105" s="2"/>
      <c r="AI105" s="2"/>
      <c r="AJ105" s="2"/>
      <c r="AK105" s="2"/>
      <c r="AL105" s="2"/>
      <c r="AM105" s="2"/>
      <c r="AN105" s="2"/>
      <c r="AO105" s="2"/>
      <c r="AP105" s="2"/>
      <c r="AQ105" s="2"/>
      <c r="AR105" s="2"/>
      <c r="AS105" s="769"/>
      <c r="AT105" s="2"/>
      <c r="AU105" s="2"/>
      <c r="AV105" s="2"/>
      <c r="AW105" s="2"/>
      <c r="AX105" s="2"/>
      <c r="AY105" s="2"/>
      <c r="AZ105" s="2"/>
      <c r="BA105" s="2"/>
      <c r="BB105" s="2"/>
      <c r="BC105" s="2"/>
      <c r="BD105" s="2"/>
      <c r="BE105" s="2"/>
    </row>
    <row r="106" spans="17:57" x14ac:dyDescent="0.25">
      <c r="Q106" s="60"/>
      <c r="R106" s="29"/>
      <c r="S106" s="29"/>
      <c r="T106" s="15"/>
      <c r="U106" s="3"/>
      <c r="V106" s="3"/>
      <c r="W106" s="2"/>
      <c r="X106" s="2"/>
      <c r="Y106" s="29"/>
      <c r="Z106" s="29"/>
      <c r="AA106" s="15"/>
      <c r="AB106" s="3"/>
      <c r="AC106" s="3"/>
      <c r="AD106" s="2"/>
      <c r="AE106" s="769"/>
      <c r="AF106" s="2"/>
      <c r="AG106" s="2"/>
      <c r="AH106" s="2"/>
      <c r="AI106" s="2"/>
      <c r="AJ106" s="2"/>
      <c r="AK106" s="2"/>
      <c r="AL106" s="2"/>
      <c r="AM106" s="2"/>
      <c r="AN106" s="2"/>
      <c r="AO106" s="2"/>
      <c r="AP106" s="2"/>
      <c r="AQ106" s="2"/>
      <c r="AR106" s="2"/>
      <c r="AS106" s="769"/>
      <c r="AT106" s="2"/>
      <c r="AU106" s="2"/>
      <c r="AV106" s="2"/>
      <c r="AW106" s="2"/>
      <c r="AX106" s="2"/>
      <c r="AY106" s="2"/>
      <c r="AZ106" s="2"/>
      <c r="BA106" s="2"/>
      <c r="BB106" s="2"/>
      <c r="BC106" s="2"/>
      <c r="BD106" s="2"/>
      <c r="BE106" s="2"/>
    </row>
    <row r="107" spans="17:57" x14ac:dyDescent="0.25">
      <c r="Q107" s="60"/>
      <c r="R107" s="29"/>
      <c r="S107" s="29"/>
      <c r="T107" s="15"/>
      <c r="U107" s="3"/>
      <c r="V107" s="3"/>
      <c r="W107" s="2"/>
      <c r="X107" s="2"/>
      <c r="Y107" s="29"/>
      <c r="Z107" s="29"/>
      <c r="AA107" s="15"/>
      <c r="AB107" s="3"/>
      <c r="AC107" s="3"/>
      <c r="AD107" s="2"/>
      <c r="AE107" s="769"/>
      <c r="AF107" s="2"/>
      <c r="AG107" s="2"/>
      <c r="AH107" s="2"/>
      <c r="AI107" s="2"/>
      <c r="AJ107" s="2"/>
      <c r="AK107" s="2"/>
      <c r="AL107" s="2"/>
      <c r="AM107" s="2"/>
      <c r="AN107" s="2"/>
      <c r="AO107" s="2"/>
      <c r="AP107" s="2"/>
      <c r="AQ107" s="2"/>
      <c r="AR107" s="2"/>
      <c r="AS107" s="769"/>
      <c r="AT107" s="2"/>
      <c r="AU107" s="2"/>
      <c r="AV107" s="2"/>
      <c r="AW107" s="2"/>
      <c r="AX107" s="2"/>
      <c r="AY107" s="2"/>
      <c r="AZ107" s="2"/>
      <c r="BA107" s="2"/>
      <c r="BB107" s="2"/>
      <c r="BC107" s="2"/>
      <c r="BD107" s="2"/>
      <c r="BE107" s="2"/>
    </row>
    <row r="108" spans="17:57" x14ac:dyDescent="0.25">
      <c r="Q108" s="60"/>
      <c r="R108" s="29"/>
      <c r="S108" s="29"/>
      <c r="T108" s="15"/>
      <c r="U108" s="3"/>
      <c r="V108" s="3"/>
      <c r="W108" s="2"/>
      <c r="X108" s="2"/>
      <c r="Y108" s="29"/>
      <c r="Z108" s="29"/>
      <c r="AA108" s="15"/>
      <c r="AB108" s="3"/>
      <c r="AC108" s="3"/>
      <c r="AD108" s="2"/>
      <c r="AE108" s="769"/>
      <c r="AF108" s="2"/>
      <c r="AG108" s="2"/>
      <c r="AH108" s="2"/>
      <c r="AI108" s="2"/>
      <c r="AJ108" s="2"/>
      <c r="AK108" s="2"/>
      <c r="AL108" s="2"/>
      <c r="AM108" s="2"/>
      <c r="AN108" s="2"/>
      <c r="AO108" s="2"/>
      <c r="AP108" s="2"/>
      <c r="AQ108" s="2"/>
      <c r="AR108" s="2"/>
      <c r="AS108" s="769"/>
      <c r="AT108" s="2"/>
      <c r="AU108" s="2"/>
      <c r="AV108" s="2"/>
      <c r="AW108" s="2"/>
      <c r="AX108" s="2"/>
      <c r="AY108" s="2"/>
      <c r="AZ108" s="2"/>
      <c r="BA108" s="2"/>
      <c r="BB108" s="2"/>
      <c r="BC108" s="2"/>
      <c r="BD108" s="2"/>
      <c r="BE108" s="2"/>
    </row>
    <row r="109" spans="17:57" x14ac:dyDescent="0.25">
      <c r="R109" s="29"/>
      <c r="S109" s="29"/>
      <c r="T109" s="15"/>
      <c r="U109" s="3"/>
      <c r="V109" s="3"/>
      <c r="W109" s="2"/>
      <c r="X109" s="2"/>
      <c r="Y109" s="29"/>
      <c r="Z109" s="29"/>
      <c r="AA109" s="15"/>
      <c r="AB109" s="3"/>
      <c r="AC109" s="3"/>
      <c r="AD109" s="2"/>
      <c r="AE109" s="769"/>
      <c r="AF109" s="2"/>
      <c r="AG109" s="2"/>
      <c r="AH109" s="2"/>
      <c r="AI109" s="2"/>
      <c r="AJ109" s="2"/>
      <c r="AK109" s="2"/>
      <c r="AL109" s="2"/>
      <c r="AM109" s="2"/>
      <c r="AN109" s="2"/>
      <c r="AO109" s="2"/>
      <c r="AP109" s="2"/>
      <c r="AQ109" s="2"/>
      <c r="AR109" s="2"/>
      <c r="AS109" s="769"/>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769"/>
      <c r="AF110" s="2"/>
      <c r="AG110" s="2"/>
      <c r="AH110" s="2"/>
      <c r="AI110" s="2"/>
      <c r="AJ110" s="2"/>
      <c r="AK110" s="2"/>
      <c r="AL110" s="2"/>
      <c r="AM110" s="2"/>
      <c r="AN110" s="2"/>
      <c r="AO110" s="2"/>
      <c r="AP110" s="2"/>
      <c r="AQ110" s="2"/>
      <c r="AR110" s="2"/>
      <c r="AS110" s="769"/>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769"/>
      <c r="AF111" s="2"/>
      <c r="AG111" s="2"/>
      <c r="AH111" s="2"/>
      <c r="AI111" s="2"/>
      <c r="AJ111" s="2"/>
      <c r="AK111" s="2"/>
      <c r="AL111" s="2"/>
      <c r="AM111" s="2"/>
      <c r="AN111" s="2"/>
      <c r="AO111" s="2"/>
      <c r="AP111" s="2"/>
      <c r="AQ111" s="2"/>
      <c r="AR111" s="2"/>
      <c r="AS111" s="769"/>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769"/>
      <c r="AF112" s="2"/>
      <c r="AG112" s="2"/>
      <c r="AH112" s="2"/>
      <c r="AI112" s="2"/>
      <c r="AJ112" s="2"/>
      <c r="AK112" s="2"/>
      <c r="AL112" s="2"/>
      <c r="AM112" s="2"/>
      <c r="AN112" s="2"/>
      <c r="AO112" s="2"/>
      <c r="AP112" s="2"/>
      <c r="AQ112" s="2"/>
      <c r="AR112" s="2"/>
      <c r="AS112" s="769"/>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769"/>
      <c r="AF113" s="2"/>
      <c r="AG113" s="2"/>
      <c r="AH113" s="2"/>
      <c r="AI113" s="2"/>
      <c r="AJ113" s="2"/>
      <c r="AK113" s="2"/>
      <c r="AL113" s="2"/>
      <c r="AM113" s="2"/>
      <c r="AN113" s="2"/>
      <c r="AO113" s="2"/>
      <c r="AP113" s="2"/>
      <c r="AQ113" s="2"/>
      <c r="AR113" s="2"/>
      <c r="AS113" s="769"/>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769"/>
      <c r="AF114" s="2"/>
      <c r="AG114" s="2"/>
      <c r="AH114" s="2"/>
      <c r="AI114" s="2"/>
      <c r="AJ114" s="2"/>
      <c r="AK114" s="2"/>
      <c r="AL114" s="2"/>
      <c r="AM114" s="2"/>
      <c r="AN114" s="2"/>
      <c r="AO114" s="2"/>
      <c r="AP114" s="2"/>
      <c r="AQ114" s="2"/>
      <c r="AR114" s="2"/>
      <c r="AS114" s="769"/>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769"/>
      <c r="AF115" s="2"/>
      <c r="AG115" s="2"/>
      <c r="AH115" s="2"/>
      <c r="AI115" s="2"/>
      <c r="AJ115" s="2"/>
      <c r="AK115" s="2"/>
      <c r="AL115" s="2"/>
      <c r="AM115" s="2"/>
      <c r="AN115" s="2"/>
      <c r="AO115" s="2"/>
      <c r="AP115" s="2"/>
      <c r="AQ115" s="2"/>
      <c r="AR115" s="2"/>
      <c r="AS115" s="769"/>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769"/>
      <c r="AF116" s="2"/>
      <c r="AG116" s="2"/>
      <c r="AH116" s="2"/>
      <c r="AI116" s="2"/>
      <c r="AJ116" s="2"/>
      <c r="AK116" s="2"/>
      <c r="AL116" s="2"/>
      <c r="AM116" s="2"/>
      <c r="AN116" s="2"/>
      <c r="AO116" s="2"/>
      <c r="AP116" s="2"/>
      <c r="AQ116" s="2"/>
      <c r="AR116" s="2"/>
      <c r="AS116" s="769"/>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769"/>
      <c r="AF117" s="2"/>
      <c r="AG117" s="2"/>
      <c r="AH117" s="2"/>
      <c r="AI117" s="2"/>
      <c r="AJ117" s="2"/>
      <c r="AK117" s="2"/>
      <c r="AL117" s="2"/>
      <c r="AM117" s="2"/>
      <c r="AN117" s="2"/>
      <c r="AO117" s="2"/>
      <c r="AP117" s="2"/>
      <c r="AQ117" s="2"/>
      <c r="AR117" s="2"/>
      <c r="AS117" s="769"/>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769"/>
      <c r="AF118" s="2"/>
      <c r="AG118" s="2"/>
      <c r="AH118" s="2"/>
      <c r="AI118" s="2"/>
      <c r="AJ118" s="2"/>
      <c r="AK118" s="2"/>
      <c r="AL118" s="2"/>
      <c r="AM118" s="2"/>
      <c r="AN118" s="2"/>
      <c r="AO118" s="2"/>
      <c r="AP118" s="2"/>
      <c r="AQ118" s="2"/>
      <c r="AR118" s="2"/>
      <c r="AS118" s="769"/>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769"/>
      <c r="AF119" s="2"/>
      <c r="AG119" s="2"/>
      <c r="AH119" s="2"/>
      <c r="AI119" s="2"/>
      <c r="AJ119" s="2"/>
      <c r="AK119" s="2"/>
      <c r="AL119" s="2"/>
      <c r="AM119" s="2"/>
      <c r="AN119" s="2"/>
      <c r="AO119" s="2"/>
      <c r="AP119" s="2"/>
      <c r="AQ119" s="2"/>
      <c r="AR119" s="2"/>
      <c r="AS119" s="769"/>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769"/>
      <c r="AF120" s="2"/>
      <c r="AG120" s="2"/>
      <c r="AH120" s="2"/>
      <c r="AI120" s="2"/>
      <c r="AJ120" s="2"/>
      <c r="AK120" s="2"/>
      <c r="AL120" s="2"/>
      <c r="AM120" s="2"/>
      <c r="AN120" s="2"/>
      <c r="AO120" s="2"/>
      <c r="AP120" s="2"/>
      <c r="AQ120" s="2"/>
      <c r="AR120" s="2"/>
      <c r="AS120" s="769"/>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769"/>
      <c r="AF121" s="2"/>
      <c r="AG121" s="2"/>
      <c r="AH121" s="2"/>
      <c r="AI121" s="2"/>
      <c r="AJ121" s="2"/>
      <c r="AK121" s="2"/>
      <c r="AL121" s="2"/>
      <c r="AM121" s="2"/>
      <c r="AN121" s="2"/>
      <c r="AO121" s="2"/>
      <c r="AP121" s="2"/>
      <c r="AQ121" s="2"/>
      <c r="AR121" s="2"/>
      <c r="AS121" s="769"/>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769"/>
      <c r="AF122" s="2"/>
      <c r="AG122" s="2"/>
      <c r="AH122" s="2"/>
      <c r="AI122" s="2"/>
      <c r="AJ122" s="2"/>
      <c r="AK122" s="2"/>
      <c r="AL122" s="2"/>
      <c r="AM122" s="2"/>
      <c r="AN122" s="2"/>
      <c r="AO122" s="2"/>
      <c r="AP122" s="2"/>
      <c r="AQ122" s="2"/>
      <c r="AR122" s="2"/>
      <c r="AS122" s="769"/>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769"/>
      <c r="AF123" s="2"/>
      <c r="AG123" s="2"/>
      <c r="AH123" s="2"/>
      <c r="AI123" s="2"/>
      <c r="AJ123" s="2"/>
      <c r="AK123" s="2"/>
      <c r="AL123" s="2"/>
      <c r="AM123" s="2"/>
      <c r="AN123" s="2"/>
      <c r="AO123" s="2"/>
      <c r="AP123" s="2"/>
      <c r="AQ123" s="2"/>
      <c r="AR123" s="2"/>
      <c r="AS123" s="769"/>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769"/>
      <c r="AF124" s="2"/>
      <c r="AG124" s="2"/>
      <c r="AH124" s="2"/>
      <c r="AI124" s="2"/>
      <c r="AJ124" s="2"/>
      <c r="AK124" s="2"/>
      <c r="AL124" s="2"/>
      <c r="AM124" s="2"/>
      <c r="AN124" s="2"/>
      <c r="AO124" s="2"/>
      <c r="AP124" s="2"/>
      <c r="AQ124" s="2"/>
      <c r="AR124" s="2"/>
      <c r="AS124" s="769"/>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769"/>
      <c r="AF125" s="2"/>
      <c r="AG125" s="2"/>
      <c r="AH125" s="2"/>
      <c r="AI125" s="2"/>
      <c r="AJ125" s="2"/>
      <c r="AK125" s="2"/>
      <c r="AL125" s="2"/>
      <c r="AM125" s="2"/>
      <c r="AN125" s="2"/>
      <c r="AO125" s="2"/>
      <c r="AP125" s="2"/>
      <c r="AQ125" s="2"/>
      <c r="AR125" s="2"/>
      <c r="AS125" s="769"/>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769"/>
      <c r="AF126" s="2"/>
      <c r="AG126" s="2"/>
      <c r="AH126" s="2"/>
      <c r="AI126" s="2"/>
      <c r="AJ126" s="2"/>
      <c r="AK126" s="2"/>
      <c r="AL126" s="2"/>
      <c r="AM126" s="2"/>
      <c r="AN126" s="2"/>
      <c r="AO126" s="2"/>
      <c r="AP126" s="2"/>
      <c r="AQ126" s="2"/>
      <c r="AR126" s="2"/>
      <c r="AS126" s="769"/>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769"/>
      <c r="AF127" s="2"/>
      <c r="AG127" s="2"/>
      <c r="AH127" s="2"/>
      <c r="AI127" s="2"/>
      <c r="AJ127" s="2"/>
      <c r="AK127" s="2"/>
      <c r="AL127" s="2"/>
      <c r="AM127" s="2"/>
      <c r="AN127" s="2"/>
      <c r="AO127" s="2"/>
      <c r="AP127" s="2"/>
      <c r="AQ127" s="2"/>
      <c r="AR127" s="2"/>
      <c r="AS127" s="769"/>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769"/>
      <c r="AF128" s="2"/>
      <c r="AG128" s="2"/>
      <c r="AH128" s="2"/>
      <c r="AI128" s="2"/>
      <c r="AJ128" s="2"/>
      <c r="AK128" s="2"/>
      <c r="AL128" s="2"/>
      <c r="AM128" s="2"/>
      <c r="AN128" s="2"/>
      <c r="AO128" s="2"/>
      <c r="AP128" s="2"/>
      <c r="AQ128" s="2"/>
      <c r="AR128" s="2"/>
      <c r="AS128" s="769"/>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769"/>
      <c r="AF129" s="2"/>
      <c r="AG129" s="2"/>
      <c r="AH129" s="2"/>
      <c r="AI129" s="2"/>
      <c r="AJ129" s="2"/>
      <c r="AK129" s="2"/>
      <c r="AL129" s="2"/>
      <c r="AM129" s="2"/>
      <c r="AN129" s="2"/>
      <c r="AO129" s="2"/>
      <c r="AP129" s="2"/>
      <c r="AQ129" s="2"/>
      <c r="AR129" s="2"/>
      <c r="AS129" s="769"/>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769"/>
      <c r="AF130" s="2"/>
      <c r="AG130" s="2"/>
      <c r="AH130" s="2"/>
      <c r="AI130" s="2"/>
      <c r="AJ130" s="2"/>
      <c r="AK130" s="2"/>
      <c r="AL130" s="2"/>
      <c r="AM130" s="2"/>
      <c r="AN130" s="2"/>
      <c r="AO130" s="2"/>
      <c r="AP130" s="2"/>
      <c r="AQ130" s="2"/>
      <c r="AR130" s="2"/>
      <c r="AS130" s="769"/>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769"/>
      <c r="AF131" s="2"/>
      <c r="AG131" s="2"/>
      <c r="AH131" s="2"/>
      <c r="AI131" s="2"/>
      <c r="AJ131" s="2"/>
      <c r="AK131" s="2"/>
      <c r="AL131" s="2"/>
      <c r="AM131" s="2"/>
      <c r="AN131" s="2"/>
      <c r="AO131" s="2"/>
      <c r="AP131" s="2"/>
      <c r="AQ131" s="2"/>
      <c r="AR131" s="2"/>
      <c r="AS131" s="769"/>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769"/>
      <c r="AF132" s="2"/>
      <c r="AG132" s="2"/>
      <c r="AH132" s="2"/>
      <c r="AI132" s="2"/>
      <c r="AJ132" s="2"/>
      <c r="AK132" s="2"/>
      <c r="AL132" s="2"/>
      <c r="AM132" s="2"/>
      <c r="AN132" s="2"/>
      <c r="AO132" s="2"/>
      <c r="AP132" s="2"/>
      <c r="AQ132" s="2"/>
      <c r="AR132" s="2"/>
      <c r="AS132" s="769"/>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769"/>
      <c r="AF133" s="2"/>
      <c r="AG133" s="2"/>
      <c r="AH133" s="2"/>
      <c r="AI133" s="2"/>
      <c r="AJ133" s="2"/>
      <c r="AK133" s="2"/>
      <c r="AL133" s="2"/>
      <c r="AM133" s="2"/>
      <c r="AN133" s="2"/>
      <c r="AO133" s="2"/>
      <c r="AP133" s="2"/>
      <c r="AQ133" s="2"/>
      <c r="AR133" s="2"/>
      <c r="AS133" s="769"/>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769"/>
      <c r="AF134" s="2"/>
      <c r="AG134" s="2"/>
      <c r="AH134" s="2"/>
      <c r="AI134" s="2"/>
      <c r="AJ134" s="2"/>
      <c r="AK134" s="2"/>
      <c r="AL134" s="2"/>
      <c r="AM134" s="2"/>
      <c r="AN134" s="2"/>
      <c r="AO134" s="2"/>
      <c r="AP134" s="2"/>
      <c r="AQ134" s="2"/>
      <c r="AR134" s="2"/>
      <c r="AS134" s="769"/>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769"/>
      <c r="AF135" s="2"/>
      <c r="AG135" s="2"/>
      <c r="AH135" s="2"/>
      <c r="AI135" s="2"/>
      <c r="AJ135" s="2"/>
      <c r="AK135" s="2"/>
      <c r="AL135" s="2"/>
      <c r="AM135" s="2"/>
      <c r="AN135" s="2"/>
      <c r="AO135" s="2"/>
      <c r="AP135" s="2"/>
      <c r="AQ135" s="2"/>
      <c r="AR135" s="2"/>
      <c r="AS135" s="769"/>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769"/>
      <c r="AF136" s="2"/>
      <c r="AG136" s="2"/>
      <c r="AH136" s="2"/>
      <c r="AI136" s="2"/>
      <c r="AJ136" s="2"/>
      <c r="AK136" s="2"/>
      <c r="AL136" s="2"/>
      <c r="AM136" s="2"/>
      <c r="AN136" s="2"/>
      <c r="AO136" s="2"/>
      <c r="AP136" s="2"/>
      <c r="AQ136" s="2"/>
      <c r="AR136" s="2"/>
      <c r="AS136" s="769"/>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769"/>
      <c r="AF137" s="2"/>
      <c r="AG137" s="2"/>
      <c r="AH137" s="2"/>
      <c r="AI137" s="2"/>
      <c r="AJ137" s="2"/>
      <c r="AK137" s="2"/>
      <c r="AL137" s="2"/>
      <c r="AM137" s="2"/>
      <c r="AN137" s="2"/>
      <c r="AO137" s="2"/>
      <c r="AP137" s="2"/>
      <c r="AQ137" s="2"/>
      <c r="AR137" s="2"/>
      <c r="AS137" s="769"/>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769"/>
      <c r="AF138" s="2"/>
      <c r="AG138" s="2"/>
      <c r="AH138" s="2"/>
      <c r="AI138" s="2"/>
      <c r="AJ138" s="2"/>
      <c r="AK138" s="2"/>
      <c r="AL138" s="2"/>
      <c r="AM138" s="2"/>
      <c r="AN138" s="2"/>
      <c r="AO138" s="2"/>
      <c r="AP138" s="2"/>
      <c r="AQ138" s="2"/>
      <c r="AR138" s="2"/>
      <c r="AS138" s="769"/>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769"/>
      <c r="AF139" s="2"/>
      <c r="AG139" s="2"/>
      <c r="AH139" s="2"/>
      <c r="AI139" s="2"/>
      <c r="AJ139" s="2"/>
      <c r="AK139" s="2"/>
      <c r="AL139" s="2"/>
      <c r="AM139" s="2"/>
      <c r="AN139" s="2"/>
      <c r="AO139" s="2"/>
      <c r="AP139" s="2"/>
      <c r="AQ139" s="2"/>
      <c r="AR139" s="2"/>
      <c r="AS139" s="769"/>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769"/>
      <c r="AF140" s="2"/>
      <c r="AG140" s="2"/>
      <c r="AH140" s="2"/>
      <c r="AI140" s="2"/>
      <c r="AJ140" s="2"/>
      <c r="AK140" s="2"/>
      <c r="AL140" s="2"/>
      <c r="AM140" s="2"/>
      <c r="AN140" s="2"/>
      <c r="AO140" s="2"/>
      <c r="AP140" s="2"/>
      <c r="AQ140" s="2"/>
      <c r="AR140" s="2"/>
      <c r="AS140" s="769"/>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769"/>
      <c r="AF141" s="2"/>
      <c r="AG141" s="2"/>
      <c r="AH141" s="2"/>
      <c r="AI141" s="2"/>
      <c r="AJ141" s="2"/>
      <c r="AK141" s="2"/>
      <c r="AL141" s="2"/>
      <c r="AM141" s="2"/>
      <c r="AN141" s="2"/>
      <c r="AO141" s="2"/>
      <c r="AP141" s="2"/>
      <c r="AQ141" s="2"/>
      <c r="AR141" s="2"/>
      <c r="AS141" s="769"/>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769"/>
      <c r="AF142" s="2"/>
      <c r="AG142" s="2"/>
      <c r="AH142" s="2"/>
      <c r="AI142" s="2"/>
      <c r="AJ142" s="2"/>
      <c r="AK142" s="2"/>
      <c r="AL142" s="2"/>
      <c r="AM142" s="2"/>
      <c r="AN142" s="2"/>
      <c r="AO142" s="2"/>
      <c r="AP142" s="2"/>
      <c r="AQ142" s="2"/>
      <c r="AR142" s="2"/>
      <c r="AS142" s="769"/>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769"/>
      <c r="AF143" s="2"/>
      <c r="AG143" s="2"/>
      <c r="AH143" s="2"/>
      <c r="AI143" s="2"/>
      <c r="AJ143" s="2"/>
      <c r="AK143" s="2"/>
      <c r="AL143" s="2"/>
      <c r="AM143" s="2"/>
      <c r="AN143" s="2"/>
      <c r="AO143" s="2"/>
      <c r="AP143" s="2"/>
      <c r="AQ143" s="2"/>
      <c r="AR143" s="2"/>
      <c r="AS143" s="769"/>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769"/>
      <c r="AF144" s="2"/>
      <c r="AG144" s="2"/>
      <c r="AH144" s="2"/>
      <c r="AI144" s="2"/>
      <c r="AJ144" s="2"/>
      <c r="AK144" s="2"/>
      <c r="AL144" s="2"/>
      <c r="AM144" s="2"/>
      <c r="AN144" s="2"/>
      <c r="AO144" s="2"/>
      <c r="AP144" s="2"/>
      <c r="AQ144" s="2"/>
      <c r="AR144" s="2"/>
      <c r="AS144" s="769"/>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769"/>
      <c r="AF145" s="2"/>
      <c r="AG145" s="2"/>
      <c r="AH145" s="2"/>
      <c r="AI145" s="2"/>
      <c r="AJ145" s="2"/>
      <c r="AK145" s="2"/>
      <c r="AL145" s="2"/>
      <c r="AM145" s="2"/>
      <c r="AN145" s="2"/>
      <c r="AO145" s="2"/>
      <c r="AP145" s="2"/>
      <c r="AQ145" s="2"/>
      <c r="AR145" s="2"/>
      <c r="AS145" s="769"/>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769"/>
      <c r="AF146" s="2"/>
      <c r="AG146" s="2"/>
      <c r="AH146" s="2"/>
      <c r="AI146" s="2"/>
      <c r="AJ146" s="2"/>
      <c r="AK146" s="2"/>
      <c r="AL146" s="2"/>
      <c r="AM146" s="2"/>
      <c r="AN146" s="2"/>
      <c r="AO146" s="2"/>
      <c r="AP146" s="2"/>
      <c r="AQ146" s="2"/>
      <c r="AR146" s="2"/>
      <c r="AS146" s="769"/>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769"/>
      <c r="AF147" s="2"/>
      <c r="AG147" s="2"/>
      <c r="AH147" s="2"/>
      <c r="AI147" s="2"/>
      <c r="AJ147" s="2"/>
      <c r="AK147" s="2"/>
      <c r="AL147" s="2"/>
      <c r="AM147" s="2"/>
      <c r="AN147" s="2"/>
      <c r="AO147" s="2"/>
      <c r="AP147" s="2"/>
      <c r="AQ147" s="2"/>
      <c r="AR147" s="2"/>
      <c r="AS147" s="769"/>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769"/>
      <c r="AF148" s="2"/>
      <c r="AG148" s="2"/>
      <c r="AH148" s="2"/>
      <c r="AI148" s="2"/>
      <c r="AJ148" s="2"/>
      <c r="AK148" s="2"/>
      <c r="AL148" s="2"/>
      <c r="AM148" s="2"/>
      <c r="AN148" s="2"/>
      <c r="AO148" s="2"/>
      <c r="AP148" s="2"/>
      <c r="AQ148" s="2"/>
      <c r="AR148" s="2"/>
      <c r="AS148" s="769"/>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769"/>
      <c r="AF149" s="2"/>
      <c r="AG149" s="2"/>
      <c r="AH149" s="2"/>
      <c r="AI149" s="2"/>
      <c r="AJ149" s="2"/>
      <c r="AK149" s="2"/>
      <c r="AL149" s="2"/>
      <c r="AM149" s="2"/>
      <c r="AN149" s="2"/>
      <c r="AO149" s="2"/>
      <c r="AP149" s="2"/>
      <c r="AQ149" s="2"/>
      <c r="AR149" s="2"/>
      <c r="AS149" s="769"/>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769"/>
      <c r="AF150" s="2"/>
      <c r="AG150" s="2"/>
      <c r="AH150" s="2"/>
      <c r="AI150" s="2"/>
      <c r="AJ150" s="2"/>
      <c r="AK150" s="2"/>
      <c r="AL150" s="2"/>
      <c r="AM150" s="2"/>
      <c r="AN150" s="2"/>
      <c r="AO150" s="2"/>
      <c r="AP150" s="2"/>
      <c r="AQ150" s="2"/>
      <c r="AR150" s="2"/>
      <c r="AS150" s="769"/>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769"/>
      <c r="AF151" s="2"/>
      <c r="AG151" s="2"/>
      <c r="AH151" s="2"/>
      <c r="AI151" s="2"/>
      <c r="AJ151" s="2"/>
      <c r="AK151" s="2"/>
      <c r="AL151" s="2"/>
      <c r="AM151" s="2"/>
      <c r="AN151" s="2"/>
      <c r="AO151" s="2"/>
      <c r="AP151" s="2"/>
      <c r="AQ151" s="2"/>
      <c r="AR151" s="2"/>
      <c r="AS151" s="769"/>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769"/>
      <c r="AF152" s="2"/>
      <c r="AG152" s="2"/>
      <c r="AH152" s="2"/>
      <c r="AI152" s="2"/>
      <c r="AJ152" s="2"/>
      <c r="AK152" s="2"/>
      <c r="AL152" s="2"/>
      <c r="AM152" s="2"/>
      <c r="AN152" s="2"/>
      <c r="AO152" s="2"/>
      <c r="AP152" s="2"/>
      <c r="AQ152" s="2"/>
      <c r="AR152" s="2"/>
      <c r="AS152" s="769"/>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769"/>
      <c r="AF153" s="2"/>
      <c r="AG153" s="2"/>
      <c r="AH153" s="2"/>
      <c r="AI153" s="2"/>
      <c r="AJ153" s="2"/>
      <c r="AK153" s="2"/>
      <c r="AL153" s="2"/>
      <c r="AM153" s="2"/>
      <c r="AN153" s="2"/>
      <c r="AO153" s="2"/>
      <c r="AP153" s="2"/>
      <c r="AQ153" s="2"/>
      <c r="AR153" s="2"/>
      <c r="AS153" s="769"/>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769"/>
      <c r="AF154" s="2"/>
      <c r="AG154" s="2"/>
      <c r="AH154" s="2"/>
      <c r="AI154" s="2"/>
      <c r="AJ154" s="2"/>
      <c r="AK154" s="2"/>
      <c r="AL154" s="2"/>
      <c r="AM154" s="2"/>
      <c r="AN154" s="2"/>
      <c r="AO154" s="2"/>
      <c r="AP154" s="2"/>
      <c r="AQ154" s="2"/>
      <c r="AR154" s="2"/>
      <c r="AS154" s="769"/>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769"/>
      <c r="AF155" s="2"/>
      <c r="AG155" s="2"/>
      <c r="AH155" s="2"/>
      <c r="AI155" s="2"/>
      <c r="AJ155" s="2"/>
      <c r="AK155" s="2"/>
      <c r="AL155" s="2"/>
      <c r="AM155" s="2"/>
      <c r="AN155" s="2"/>
      <c r="AO155" s="2"/>
      <c r="AP155" s="2"/>
      <c r="AQ155" s="2"/>
      <c r="AR155" s="2"/>
      <c r="AS155" s="769"/>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769"/>
      <c r="AF156" s="2"/>
      <c r="AG156" s="2"/>
      <c r="AH156" s="2"/>
      <c r="AI156" s="2"/>
      <c r="AJ156" s="2"/>
      <c r="AK156" s="2"/>
      <c r="AL156" s="2"/>
      <c r="AM156" s="2"/>
      <c r="AN156" s="2"/>
      <c r="AO156" s="2"/>
      <c r="AP156" s="2"/>
      <c r="AQ156" s="2"/>
      <c r="AR156" s="2"/>
      <c r="AS156" s="769"/>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769"/>
      <c r="AF157" s="2"/>
      <c r="AG157" s="2"/>
      <c r="AH157" s="2"/>
      <c r="AI157" s="2"/>
      <c r="AJ157" s="2"/>
      <c r="AK157" s="2"/>
      <c r="AL157" s="2"/>
      <c r="AM157" s="2"/>
      <c r="AN157" s="2"/>
      <c r="AO157" s="2"/>
      <c r="AP157" s="2"/>
      <c r="AQ157" s="2"/>
      <c r="AR157" s="2"/>
      <c r="AS157" s="769"/>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769"/>
      <c r="AF158" s="2"/>
      <c r="AG158" s="2"/>
      <c r="AH158" s="2"/>
      <c r="AI158" s="2"/>
      <c r="AJ158" s="2"/>
      <c r="AK158" s="2"/>
      <c r="AL158" s="2"/>
      <c r="AM158" s="2"/>
      <c r="AN158" s="2"/>
      <c r="AO158" s="2"/>
      <c r="AP158" s="2"/>
      <c r="AQ158" s="2"/>
      <c r="AR158" s="2"/>
      <c r="AS158" s="769"/>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769"/>
      <c r="AF159" s="2"/>
      <c r="AG159" s="2"/>
      <c r="AH159" s="2"/>
      <c r="AI159" s="2"/>
      <c r="AJ159" s="2"/>
      <c r="AK159" s="2"/>
      <c r="AL159" s="2"/>
      <c r="AM159" s="2"/>
      <c r="AN159" s="2"/>
      <c r="AO159" s="2"/>
      <c r="AP159" s="2"/>
      <c r="AQ159" s="2"/>
      <c r="AR159" s="2"/>
      <c r="AS159" s="769"/>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769"/>
      <c r="AF160" s="2"/>
      <c r="AG160" s="2"/>
      <c r="AH160" s="2"/>
      <c r="AI160" s="2"/>
      <c r="AJ160" s="2"/>
      <c r="AK160" s="2"/>
      <c r="AL160" s="2"/>
      <c r="AM160" s="2"/>
      <c r="AN160" s="2"/>
      <c r="AO160" s="2"/>
      <c r="AP160" s="2"/>
      <c r="AQ160" s="2"/>
      <c r="AR160" s="2"/>
      <c r="AS160" s="769"/>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769"/>
      <c r="AF161" s="2"/>
      <c r="AG161" s="2"/>
      <c r="AH161" s="2"/>
      <c r="AI161" s="2"/>
      <c r="AJ161" s="2"/>
      <c r="AK161" s="2"/>
      <c r="AL161" s="2"/>
      <c r="AM161" s="2"/>
      <c r="AN161" s="2"/>
      <c r="AO161" s="2"/>
      <c r="AP161" s="2"/>
      <c r="AQ161" s="2"/>
      <c r="AR161" s="2"/>
      <c r="AS161" s="769"/>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769"/>
      <c r="AF162" s="2"/>
      <c r="AG162" s="2"/>
      <c r="AH162" s="2"/>
      <c r="AI162" s="2"/>
      <c r="AJ162" s="2"/>
      <c r="AK162" s="2"/>
      <c r="AL162" s="2"/>
      <c r="AM162" s="2"/>
      <c r="AN162" s="2"/>
      <c r="AO162" s="2"/>
      <c r="AP162" s="2"/>
      <c r="AQ162" s="2"/>
      <c r="AR162" s="2"/>
      <c r="AS162" s="769"/>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769"/>
      <c r="AF163" s="2"/>
      <c r="AG163" s="2"/>
      <c r="AH163" s="2"/>
      <c r="AI163" s="2"/>
      <c r="AJ163" s="2"/>
      <c r="AK163" s="2"/>
      <c r="AL163" s="2"/>
      <c r="AM163" s="2"/>
      <c r="AN163" s="2"/>
      <c r="AO163" s="2"/>
      <c r="AP163" s="2"/>
      <c r="AQ163" s="2"/>
      <c r="AR163" s="2"/>
      <c r="AS163" s="769"/>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769"/>
      <c r="AF164" s="2"/>
      <c r="AG164" s="2"/>
      <c r="AH164" s="2"/>
      <c r="AI164" s="2"/>
      <c r="AJ164" s="2"/>
      <c r="AK164" s="2"/>
      <c r="AL164" s="2"/>
      <c r="AM164" s="2"/>
      <c r="AN164" s="2"/>
      <c r="AO164" s="2"/>
      <c r="AP164" s="2"/>
      <c r="AQ164" s="2"/>
      <c r="AR164" s="2"/>
      <c r="AS164" s="769"/>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769"/>
      <c r="AF165" s="2"/>
      <c r="AG165" s="2"/>
      <c r="AH165" s="2"/>
      <c r="AI165" s="2"/>
      <c r="AJ165" s="2"/>
      <c r="AK165" s="2"/>
      <c r="AL165" s="2"/>
      <c r="AM165" s="2"/>
      <c r="AN165" s="2"/>
      <c r="AO165" s="2"/>
      <c r="AP165" s="2"/>
      <c r="AQ165" s="2"/>
      <c r="AR165" s="2"/>
      <c r="AS165" s="769"/>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769"/>
      <c r="AF166" s="2"/>
      <c r="AG166" s="2"/>
      <c r="AH166" s="2"/>
      <c r="AI166" s="2"/>
      <c r="AJ166" s="2"/>
      <c r="AK166" s="2"/>
      <c r="AL166" s="2"/>
      <c r="AM166" s="2"/>
      <c r="AN166" s="2"/>
      <c r="AO166" s="2"/>
      <c r="AP166" s="2"/>
      <c r="AQ166" s="2"/>
      <c r="AR166" s="2"/>
      <c r="AS166" s="769"/>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769"/>
      <c r="AF167" s="2"/>
      <c r="AG167" s="2"/>
      <c r="AH167" s="2"/>
      <c r="AI167" s="2"/>
      <c r="AJ167" s="2"/>
      <c r="AK167" s="2"/>
      <c r="AL167" s="2"/>
      <c r="AM167" s="2"/>
      <c r="AN167" s="2"/>
      <c r="AO167" s="2"/>
      <c r="AP167" s="2"/>
      <c r="AQ167" s="2"/>
      <c r="AR167" s="2"/>
      <c r="AS167" s="769"/>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769"/>
      <c r="AF168" s="2"/>
      <c r="AG168" s="2"/>
      <c r="AH168" s="2"/>
      <c r="AI168" s="2"/>
      <c r="AJ168" s="2"/>
      <c r="AK168" s="2"/>
      <c r="AL168" s="2"/>
      <c r="AM168" s="2"/>
      <c r="AN168" s="2"/>
      <c r="AO168" s="2"/>
      <c r="AP168" s="2"/>
      <c r="AQ168" s="2"/>
      <c r="AR168" s="2"/>
      <c r="AS168" s="769"/>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769"/>
      <c r="AF169" s="2"/>
      <c r="AG169" s="2"/>
      <c r="AH169" s="2"/>
      <c r="AI169" s="2"/>
      <c r="AJ169" s="2"/>
      <c r="AK169" s="2"/>
      <c r="AL169" s="2"/>
      <c r="AM169" s="2"/>
      <c r="AN169" s="2"/>
      <c r="AO169" s="2"/>
      <c r="AP169" s="2"/>
      <c r="AQ169" s="2"/>
      <c r="AR169" s="2"/>
      <c r="AS169" s="769"/>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769"/>
      <c r="AF170" s="2"/>
      <c r="AG170" s="2"/>
      <c r="AH170" s="2"/>
      <c r="AI170" s="2"/>
      <c r="AJ170" s="2"/>
      <c r="AK170" s="2"/>
      <c r="AL170" s="2"/>
      <c r="AM170" s="2"/>
      <c r="AN170" s="2"/>
      <c r="AO170" s="2"/>
      <c r="AP170" s="2"/>
      <c r="AQ170" s="2"/>
      <c r="AR170" s="2"/>
      <c r="AS170" s="769"/>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769"/>
      <c r="AF171" s="2"/>
      <c r="AG171" s="2"/>
      <c r="AH171" s="2"/>
      <c r="AI171" s="2"/>
      <c r="AJ171" s="2"/>
      <c r="AK171" s="2"/>
      <c r="AL171" s="2"/>
      <c r="AM171" s="2"/>
      <c r="AN171" s="2"/>
      <c r="AO171" s="2"/>
      <c r="AP171" s="2"/>
      <c r="AQ171" s="2"/>
      <c r="AR171" s="2"/>
      <c r="AS171" s="769"/>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769"/>
      <c r="AF172" s="2"/>
      <c r="AG172" s="2"/>
      <c r="AH172" s="2"/>
      <c r="AI172" s="2"/>
      <c r="AJ172" s="2"/>
      <c r="AK172" s="2"/>
      <c r="AL172" s="2"/>
      <c r="AM172" s="2"/>
      <c r="AN172" s="2"/>
      <c r="AO172" s="2"/>
      <c r="AP172" s="2"/>
      <c r="AQ172" s="2"/>
      <c r="AR172" s="2"/>
      <c r="AS172" s="769"/>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769"/>
      <c r="AF173" s="2"/>
      <c r="AG173" s="2"/>
      <c r="AH173" s="2"/>
      <c r="AI173" s="2"/>
      <c r="AJ173" s="2"/>
      <c r="AK173" s="2"/>
      <c r="AL173" s="2"/>
      <c r="AM173" s="2"/>
      <c r="AN173" s="2"/>
      <c r="AO173" s="2"/>
      <c r="AP173" s="2"/>
      <c r="AQ173" s="2"/>
      <c r="AR173" s="2"/>
      <c r="AS173" s="769"/>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769"/>
      <c r="AF174" s="2"/>
      <c r="AG174" s="2"/>
      <c r="AH174" s="2"/>
      <c r="AI174" s="2"/>
      <c r="AJ174" s="2"/>
      <c r="AK174" s="2"/>
      <c r="AL174" s="2"/>
      <c r="AM174" s="2"/>
      <c r="AN174" s="2"/>
      <c r="AO174" s="2"/>
      <c r="AP174" s="2"/>
      <c r="AQ174" s="2"/>
      <c r="AR174" s="2"/>
      <c r="AS174" s="769"/>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769"/>
      <c r="AF175" s="2"/>
      <c r="AG175" s="2"/>
      <c r="AH175" s="2"/>
      <c r="AI175" s="2"/>
      <c r="AJ175" s="2"/>
      <c r="AK175" s="2"/>
      <c r="AL175" s="2"/>
      <c r="AM175" s="2"/>
      <c r="AN175" s="2"/>
      <c r="AO175" s="2"/>
      <c r="AP175" s="2"/>
      <c r="AQ175" s="2"/>
      <c r="AR175" s="2"/>
      <c r="AS175" s="769"/>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769"/>
      <c r="AF176" s="2"/>
      <c r="AG176" s="2"/>
      <c r="AH176" s="2"/>
      <c r="AI176" s="2"/>
      <c r="AJ176" s="2"/>
      <c r="AK176" s="2"/>
      <c r="AL176" s="2"/>
      <c r="AM176" s="2"/>
      <c r="AN176" s="2"/>
      <c r="AO176" s="2"/>
      <c r="AP176" s="2"/>
      <c r="AQ176" s="2"/>
      <c r="AR176" s="2"/>
      <c r="AS176" s="769"/>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769"/>
      <c r="AF177" s="2"/>
      <c r="AG177" s="2"/>
      <c r="AH177" s="2"/>
      <c r="AI177" s="2"/>
      <c r="AJ177" s="2"/>
      <c r="AK177" s="2"/>
      <c r="AL177" s="2"/>
      <c r="AM177" s="2"/>
      <c r="AN177" s="2"/>
      <c r="AO177" s="2"/>
      <c r="AP177" s="2"/>
      <c r="AQ177" s="2"/>
      <c r="AR177" s="2"/>
      <c r="AS177" s="769"/>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769"/>
      <c r="AF178" s="2"/>
      <c r="AG178" s="2"/>
      <c r="AH178" s="2"/>
      <c r="AI178" s="2"/>
      <c r="AJ178" s="2"/>
      <c r="AK178" s="2"/>
      <c r="AL178" s="2"/>
      <c r="AM178" s="2"/>
      <c r="AN178" s="2"/>
      <c r="AO178" s="2"/>
      <c r="AP178" s="2"/>
      <c r="AQ178" s="2"/>
      <c r="AR178" s="2"/>
      <c r="AS178" s="769"/>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769"/>
      <c r="AF179" s="2"/>
      <c r="AG179" s="2"/>
      <c r="AH179" s="2"/>
      <c r="AI179" s="2"/>
      <c r="AJ179" s="2"/>
      <c r="AK179" s="2"/>
      <c r="AL179" s="2"/>
      <c r="AM179" s="2"/>
      <c r="AN179" s="2"/>
      <c r="AO179" s="2"/>
      <c r="AP179" s="2"/>
      <c r="AQ179" s="2"/>
      <c r="AR179" s="2"/>
      <c r="AS179" s="769"/>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769"/>
      <c r="AF180" s="2"/>
      <c r="AG180" s="2"/>
      <c r="AH180" s="2"/>
      <c r="AI180" s="2"/>
      <c r="AJ180" s="2"/>
      <c r="AK180" s="2"/>
      <c r="AL180" s="2"/>
      <c r="AM180" s="2"/>
      <c r="AN180" s="2"/>
      <c r="AO180" s="2"/>
      <c r="AP180" s="2"/>
      <c r="AQ180" s="2"/>
      <c r="AR180" s="2"/>
      <c r="AS180" s="769"/>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769"/>
      <c r="AF181" s="2"/>
      <c r="AG181" s="2"/>
      <c r="AH181" s="2"/>
      <c r="AI181" s="2"/>
      <c r="AJ181" s="2"/>
      <c r="AK181" s="2"/>
      <c r="AL181" s="2"/>
      <c r="AM181" s="2"/>
      <c r="AN181" s="2"/>
      <c r="AO181" s="2"/>
      <c r="AP181" s="2"/>
      <c r="AQ181" s="2"/>
      <c r="AR181" s="2"/>
      <c r="AS181" s="769"/>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769"/>
      <c r="AK182" s="2"/>
      <c r="AL182" s="2"/>
      <c r="AM182" s="2"/>
      <c r="AN182" s="2"/>
      <c r="AO182" s="2"/>
      <c r="AP182" s="2"/>
      <c r="AQ182" s="2"/>
      <c r="AR182" s="2"/>
      <c r="AS182" s="769"/>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769"/>
      <c r="AK183" s="2"/>
      <c r="AL183" s="2"/>
      <c r="AM183" s="2"/>
      <c r="AN183" s="2"/>
      <c r="AO183" s="2"/>
      <c r="AP183" s="2"/>
      <c r="AQ183" s="2"/>
      <c r="AS183" s="769"/>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769"/>
      <c r="AK184" s="2"/>
      <c r="AL184" s="2"/>
      <c r="AM184" s="2"/>
      <c r="AN184" s="2"/>
      <c r="AO184" s="2"/>
      <c r="AP184" s="2"/>
      <c r="AQ184" s="2"/>
      <c r="AS184" s="769"/>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769"/>
      <c r="AK185" s="2"/>
      <c r="AL185" s="2"/>
      <c r="AM185" s="2"/>
      <c r="AN185" s="2"/>
      <c r="AO185" s="2"/>
      <c r="AP185" s="2"/>
      <c r="AQ185" s="2"/>
      <c r="AS185" s="769"/>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769"/>
      <c r="AK186" s="2"/>
      <c r="AL186" s="2"/>
      <c r="AM186" s="2"/>
      <c r="AN186" s="2"/>
      <c r="AO186" s="2"/>
      <c r="AP186" s="2"/>
      <c r="AQ186" s="2"/>
      <c r="AS186" s="769"/>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769"/>
      <c r="AS187" s="769"/>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769"/>
    </row>
    <row r="189" spans="18:57" x14ac:dyDescent="0.25">
      <c r="R189" s="29"/>
      <c r="S189" s="29"/>
      <c r="T189" s="15"/>
      <c r="U189" s="3"/>
      <c r="V189" s="3"/>
      <c r="W189" s="2"/>
      <c r="X189" s="2"/>
      <c r="Y189" s="29"/>
      <c r="Z189" s="29"/>
      <c r="AA189" s="15"/>
      <c r="AB189" s="3"/>
      <c r="AC189" s="3"/>
      <c r="AD189" s="2"/>
      <c r="AE189" s="769"/>
    </row>
    <row r="190" spans="18:57" x14ac:dyDescent="0.25">
      <c r="R190" s="29"/>
      <c r="S190" s="29"/>
      <c r="T190" s="15"/>
      <c r="U190" s="3"/>
      <c r="V190" s="3"/>
      <c r="W190" s="2"/>
      <c r="X190" s="2"/>
      <c r="Y190" s="29"/>
      <c r="Z190" s="29"/>
      <c r="AA190" s="15"/>
      <c r="AB190" s="3"/>
      <c r="AC190" s="3"/>
      <c r="AD190" s="2"/>
      <c r="AE190" s="769"/>
    </row>
    <row r="191" spans="18:57" x14ac:dyDescent="0.25">
      <c r="R191" s="29"/>
      <c r="S191" s="29"/>
      <c r="T191" s="15"/>
      <c r="U191" s="3"/>
      <c r="V191" s="3"/>
      <c r="W191" s="2"/>
      <c r="X191" s="2"/>
      <c r="Y191" s="29"/>
      <c r="Z191" s="29"/>
      <c r="AA191" s="15"/>
      <c r="AB191" s="3"/>
      <c r="AC191" s="3"/>
      <c r="AD191" s="2"/>
      <c r="AE191" s="769"/>
    </row>
  </sheetData>
  <mergeCells count="1880">
    <mergeCell ref="A1:J1"/>
    <mergeCell ref="K1:Q2"/>
    <mergeCell ref="DE75:DE77"/>
    <mergeCell ref="BU87:BW87"/>
    <mergeCell ref="DC65:DC66"/>
    <mergeCell ref="DC70:DC72"/>
    <mergeCell ref="DC74:DC76"/>
    <mergeCell ref="DC79:DC80"/>
    <mergeCell ref="DB1:DD1"/>
    <mergeCell ref="DC8:DC10"/>
    <mergeCell ref="DC13:DC14"/>
    <mergeCell ref="DC18:DC19"/>
    <mergeCell ref="DC20:DC23"/>
    <mergeCell ref="DC36:DC38"/>
    <mergeCell ref="DC43:DC44"/>
    <mergeCell ref="DC50:DC51"/>
    <mergeCell ref="DC55:DC56"/>
    <mergeCell ref="DC45:DC46"/>
    <mergeCell ref="DB8:DB10"/>
    <mergeCell ref="DB13:DB14"/>
    <mergeCell ref="DB20:DB23"/>
    <mergeCell ref="DB36:DB38"/>
    <mergeCell ref="DB43:DB44"/>
    <mergeCell ref="DB45:DB46"/>
    <mergeCell ref="DB50:DB51"/>
    <mergeCell ref="DB52:DB53"/>
    <mergeCell ref="DB55:DB56"/>
    <mergeCell ref="DB65:DB66"/>
    <mergeCell ref="DB70:DB72"/>
    <mergeCell ref="CA8:CA10"/>
    <mergeCell ref="DC52:DC53"/>
    <mergeCell ref="DD8:DD10"/>
    <mergeCell ref="DD13:DD14"/>
    <mergeCell ref="DD20:DD23"/>
    <mergeCell ref="DD36:DD38"/>
    <mergeCell ref="DD43:DD44"/>
    <mergeCell ref="DD45:DD46"/>
    <mergeCell ref="DD50:DD51"/>
    <mergeCell ref="DD52:DD53"/>
    <mergeCell ref="DD65:DD66"/>
    <mergeCell ref="DD70:DD72"/>
    <mergeCell ref="DD74:DD76"/>
    <mergeCell ref="CC45:CC46"/>
    <mergeCell ref="DD18:DD19"/>
    <mergeCell ref="DD55:DD56"/>
    <mergeCell ref="CC74:CC76"/>
    <mergeCell ref="CT13:CT14"/>
    <mergeCell ref="CU13:CU14"/>
    <mergeCell ref="CV13:CV14"/>
    <mergeCell ref="CW13:CW14"/>
    <mergeCell ref="CX13:CX14"/>
    <mergeCell ref="CY13:CY14"/>
    <mergeCell ref="CZ13:CZ14"/>
    <mergeCell ref="DA13:DA14"/>
    <mergeCell ref="CW15:CW16"/>
    <mergeCell ref="CX15:CX16"/>
    <mergeCell ref="DA15:DA16"/>
    <mergeCell ref="CW17:CW19"/>
    <mergeCell ref="CX17:CX19"/>
    <mergeCell ref="CY17:CY19"/>
    <mergeCell ref="CV18:CV19"/>
    <mergeCell ref="CC15:CC16"/>
    <mergeCell ref="CZ18:CZ19"/>
    <mergeCell ref="CT20:CT23"/>
    <mergeCell ref="CU20:CU23"/>
    <mergeCell ref="CV20:CV23"/>
    <mergeCell ref="DD79:DD80"/>
    <mergeCell ref="DC26:DC27"/>
    <mergeCell ref="DB26:DB27"/>
    <mergeCell ref="CA65:CA66"/>
    <mergeCell ref="CA70:CA72"/>
    <mergeCell ref="CA74:CA76"/>
    <mergeCell ref="CA54:CA56"/>
    <mergeCell ref="CA59:CA60"/>
    <mergeCell ref="CA61:CA62"/>
    <mergeCell ref="BE81:BE84"/>
    <mergeCell ref="BG26:BG28"/>
    <mergeCell ref="BG41:BG44"/>
    <mergeCell ref="BG55:BG56"/>
    <mergeCell ref="BG65:BG69"/>
    <mergeCell ref="BZ74:BZ76"/>
    <mergeCell ref="CB74:CB76"/>
    <mergeCell ref="BZ54:BZ56"/>
    <mergeCell ref="CC54:CC56"/>
    <mergeCell ref="BW55:BW56"/>
    <mergeCell ref="BX55:BX56"/>
    <mergeCell ref="CB55:CB56"/>
    <mergeCell ref="BY59:BY60"/>
    <mergeCell ref="BZ59:BZ60"/>
    <mergeCell ref="BV50:BV51"/>
    <mergeCell ref="CB79:CB80"/>
    <mergeCell ref="BW50:BW51"/>
    <mergeCell ref="BX50:BX51"/>
    <mergeCell ref="BY50:BY51"/>
    <mergeCell ref="BZ50:BZ51"/>
    <mergeCell ref="CB50:CB51"/>
    <mergeCell ref="CC50:CC51"/>
    <mergeCell ref="DB74:DB76"/>
    <mergeCell ref="CA50:CA51"/>
    <mergeCell ref="CA52:CA53"/>
    <mergeCell ref="BV36:BV38"/>
    <mergeCell ref="BF6:BF7"/>
    <mergeCell ref="BV65:BV66"/>
    <mergeCell ref="BW65:BW66"/>
    <mergeCell ref="BX65:BX66"/>
    <mergeCell ref="BY65:BY66"/>
    <mergeCell ref="BZ65:BZ66"/>
    <mergeCell ref="BW36:BW38"/>
    <mergeCell ref="BY36:BY38"/>
    <mergeCell ref="BZ15:BZ16"/>
    <mergeCell ref="CA13:CA14"/>
    <mergeCell ref="CA17:CA19"/>
    <mergeCell ref="CA20:CA23"/>
    <mergeCell ref="BY6:BY7"/>
    <mergeCell ref="BZ6:BZ7"/>
    <mergeCell ref="BV43:BV44"/>
    <mergeCell ref="BW43:BW44"/>
    <mergeCell ref="BX43:BX44"/>
    <mergeCell ref="BY43:BY44"/>
    <mergeCell ref="BZ43:BZ44"/>
    <mergeCell ref="BV8:BV10"/>
    <mergeCell ref="BW8:BW10"/>
    <mergeCell ref="BX8:BX10"/>
    <mergeCell ref="BY8:BY10"/>
    <mergeCell ref="BZ8:BZ10"/>
    <mergeCell ref="BW13:BW14"/>
    <mergeCell ref="BX13:BX14"/>
    <mergeCell ref="BN52:BN53"/>
    <mergeCell ref="BO52:BO53"/>
    <mergeCell ref="BP52:BP53"/>
    <mergeCell ref="BC50:BC51"/>
    <mergeCell ref="BD50:BD51"/>
    <mergeCell ref="BE50:BE51"/>
    <mergeCell ref="BF50:BF51"/>
    <mergeCell ref="BU54:BU56"/>
    <mergeCell ref="BH55:BH56"/>
    <mergeCell ref="BI55:BI56"/>
    <mergeCell ref="BJ55:BJ56"/>
    <mergeCell ref="BM55:BM56"/>
    <mergeCell ref="BO55:BO56"/>
    <mergeCell ref="BP55:BP56"/>
    <mergeCell ref="BQ55:BQ56"/>
    <mergeCell ref="BT55:BT56"/>
    <mergeCell ref="BD3:BD7"/>
    <mergeCell ref="BE3:BE7"/>
    <mergeCell ref="BD11:BD14"/>
    <mergeCell ref="BE11:BE14"/>
    <mergeCell ref="BD30:BD33"/>
    <mergeCell ref="BE30:BE33"/>
    <mergeCell ref="BD41:BD44"/>
    <mergeCell ref="BE41:BE44"/>
    <mergeCell ref="BD55:BD56"/>
    <mergeCell ref="BE55:BE56"/>
    <mergeCell ref="BD15:BD16"/>
    <mergeCell ref="BE15:BE16"/>
    <mergeCell ref="BF15:BF16"/>
    <mergeCell ref="BE45:BE46"/>
    <mergeCell ref="BF45:BF46"/>
    <mergeCell ref="BH52:BH53"/>
    <mergeCell ref="BI52:BI53"/>
    <mergeCell ref="BJ52:BJ53"/>
    <mergeCell ref="BK52:BK53"/>
    <mergeCell ref="AZ72:AZ73"/>
    <mergeCell ref="AZ74:AZ75"/>
    <mergeCell ref="AZ78:AZ79"/>
    <mergeCell ref="BW52:BW53"/>
    <mergeCell ref="BV55:BV56"/>
    <mergeCell ref="BV79:BV80"/>
    <mergeCell ref="BW79:BW80"/>
    <mergeCell ref="BX79:BX80"/>
    <mergeCell ref="BY79:BY80"/>
    <mergeCell ref="BZ79:BZ80"/>
    <mergeCell ref="CC79:CC80"/>
    <mergeCell ref="CC65:CC66"/>
    <mergeCell ref="BZ70:BZ72"/>
    <mergeCell ref="CB70:CB72"/>
    <mergeCell ref="CC70:CC72"/>
    <mergeCell ref="BZ61:BZ62"/>
    <mergeCell ref="BC55:BC56"/>
    <mergeCell ref="BD65:BD69"/>
    <mergeCell ref="BE65:BE69"/>
    <mergeCell ref="BU79:BU80"/>
    <mergeCell ref="BH74:BH76"/>
    <mergeCell ref="BI74:BI76"/>
    <mergeCell ref="BJ74:BJ76"/>
    <mergeCell ref="BK74:BK76"/>
    <mergeCell ref="BL74:BL76"/>
    <mergeCell ref="BA65:BA66"/>
    <mergeCell ref="BB65:BB66"/>
    <mergeCell ref="BD59:BD60"/>
    <mergeCell ref="BH65:BH66"/>
    <mergeCell ref="BI65:BI66"/>
    <mergeCell ref="BJ65:BJ66"/>
    <mergeCell ref="BK65:BK66"/>
    <mergeCell ref="DB79:DB80"/>
    <mergeCell ref="BV52:BV53"/>
    <mergeCell ref="BX52:BX53"/>
    <mergeCell ref="BY52:BY53"/>
    <mergeCell ref="BZ52:BZ53"/>
    <mergeCell ref="CB52:CB53"/>
    <mergeCell ref="CC52:CC53"/>
    <mergeCell ref="CW84:CW85"/>
    <mergeCell ref="BF59:BF60"/>
    <mergeCell ref="BF55:BF56"/>
    <mergeCell ref="BF81:BF84"/>
    <mergeCell ref="BY61:BY62"/>
    <mergeCell ref="BU74:BU76"/>
    <mergeCell ref="BT61:BT62"/>
    <mergeCell ref="BK54:BK56"/>
    <mergeCell ref="BL54:BL56"/>
    <mergeCell ref="BN54:BN56"/>
    <mergeCell ref="BR54:BR56"/>
    <mergeCell ref="BS54:BS56"/>
    <mergeCell ref="CA79:CA80"/>
    <mergeCell ref="BK59:BK60"/>
    <mergeCell ref="BL59:BL60"/>
    <mergeCell ref="BM59:BM60"/>
    <mergeCell ref="BR59:BR60"/>
    <mergeCell ref="BS59:BS60"/>
    <mergeCell ref="BT59:BT60"/>
    <mergeCell ref="BL61:BL62"/>
    <mergeCell ref="BM61:BM62"/>
    <mergeCell ref="BR61:BR62"/>
    <mergeCell ref="BS61:BS62"/>
    <mergeCell ref="BT77:BT80"/>
    <mergeCell ref="BS79:BS80"/>
    <mergeCell ref="BD81:BD84"/>
    <mergeCell ref="BP79:BP80"/>
    <mergeCell ref="BQ79:BQ80"/>
    <mergeCell ref="BR79:BR80"/>
    <mergeCell ref="BN65:BN66"/>
    <mergeCell ref="BO65:BO66"/>
    <mergeCell ref="BP65:BP66"/>
    <mergeCell ref="AZ44:AZ45"/>
    <mergeCell ref="AZ49:AZ50"/>
    <mergeCell ref="AZ51:AZ52"/>
    <mergeCell ref="AZ54:AZ55"/>
    <mergeCell ref="AZ58:AZ59"/>
    <mergeCell ref="AZ64:AZ65"/>
    <mergeCell ref="AZ66:AZ67"/>
    <mergeCell ref="AZ69:AZ71"/>
    <mergeCell ref="AY81:AY84"/>
    <mergeCell ref="AY65:AY69"/>
    <mergeCell ref="AY59:AY60"/>
    <mergeCell ref="AY61:AY62"/>
    <mergeCell ref="AY55:AY56"/>
    <mergeCell ref="BH79:BH80"/>
    <mergeCell ref="BI79:BI80"/>
    <mergeCell ref="BJ79:BJ80"/>
    <mergeCell ref="BK79:BK80"/>
    <mergeCell ref="BL79:BL80"/>
    <mergeCell ref="BN79:BN80"/>
    <mergeCell ref="BO79:BO80"/>
    <mergeCell ref="BM77:BM80"/>
    <mergeCell ref="BA55:BA56"/>
    <mergeCell ref="BB55:BB56"/>
    <mergeCell ref="BC45:BC46"/>
    <mergeCell ref="BD45:BD46"/>
    <mergeCell ref="AY6:AY7"/>
    <mergeCell ref="AY3:AY5"/>
    <mergeCell ref="AT54:AT55"/>
    <mergeCell ref="AU54:AU55"/>
    <mergeCell ref="AT58:AT59"/>
    <mergeCell ref="AU58:AU59"/>
    <mergeCell ref="AT8:AT10"/>
    <mergeCell ref="AU8:AU10"/>
    <mergeCell ref="AV8:AV10"/>
    <mergeCell ref="AW8:AW10"/>
    <mergeCell ref="AX8:AX10"/>
    <mergeCell ref="AY8:AY10"/>
    <mergeCell ref="AW74:AW75"/>
    <mergeCell ref="AX74:AX75"/>
    <mergeCell ref="AW78:AW79"/>
    <mergeCell ref="AX78:AX79"/>
    <mergeCell ref="AW80:AW83"/>
    <mergeCell ref="AX80:AX83"/>
    <mergeCell ref="AW64:AW65"/>
    <mergeCell ref="AX64:AX65"/>
    <mergeCell ref="AW66:AW67"/>
    <mergeCell ref="AV65:AV66"/>
    <mergeCell ref="AX66:AX67"/>
    <mergeCell ref="AW69:AW71"/>
    <mergeCell ref="AX69:AX71"/>
    <mergeCell ref="AW58:AW59"/>
    <mergeCell ref="AX58:AX59"/>
    <mergeCell ref="AV55:AV56"/>
    <mergeCell ref="AW72:AW73"/>
    <mergeCell ref="AX72:AX73"/>
    <mergeCell ref="AT65:AT66"/>
    <mergeCell ref="AU65:AU66"/>
    <mergeCell ref="AT51:AT52"/>
    <mergeCell ref="AU51:AU52"/>
    <mergeCell ref="AT78:AT79"/>
    <mergeCell ref="AU78:AU79"/>
    <mergeCell ref="AT69:AT71"/>
    <mergeCell ref="AU69:AU71"/>
    <mergeCell ref="AT72:AT73"/>
    <mergeCell ref="AU72:AU73"/>
    <mergeCell ref="AW54:AW55"/>
    <mergeCell ref="AX54:AX55"/>
    <mergeCell ref="AW3:AW5"/>
    <mergeCell ref="AX3:AX5"/>
    <mergeCell ref="AW16:AW18"/>
    <mergeCell ref="AX16:AX18"/>
    <mergeCell ref="AW19:AW20"/>
    <mergeCell ref="AX19:AX20"/>
    <mergeCell ref="AW21:AW22"/>
    <mergeCell ref="AX21:AX22"/>
    <mergeCell ref="AW25:AW26"/>
    <mergeCell ref="AX25:AX26"/>
    <mergeCell ref="AW6:AW7"/>
    <mergeCell ref="AX6:AX7"/>
    <mergeCell ref="AT74:AT75"/>
    <mergeCell ref="AU74:AU75"/>
    <mergeCell ref="AT17:AT18"/>
    <mergeCell ref="AU17:AU18"/>
    <mergeCell ref="AT19:AT20"/>
    <mergeCell ref="AU19:AU20"/>
    <mergeCell ref="AT21:AT22"/>
    <mergeCell ref="AU21:AU22"/>
    <mergeCell ref="AT25:AT26"/>
    <mergeCell ref="AU25:AU26"/>
    <mergeCell ref="AT28:AT29"/>
    <mergeCell ref="AU28:AU29"/>
    <mergeCell ref="AT36:AT37"/>
    <mergeCell ref="AU36:AU37"/>
    <mergeCell ref="AT42:AT43"/>
    <mergeCell ref="AU42:AU43"/>
    <mergeCell ref="AT44:AT45"/>
    <mergeCell ref="AU44:AU45"/>
    <mergeCell ref="AT49:AT50"/>
    <mergeCell ref="AU49:AU50"/>
    <mergeCell ref="AQ80:AQ83"/>
    <mergeCell ref="AS11:AS13"/>
    <mergeCell ref="AS14:AS15"/>
    <mergeCell ref="AS16:AS18"/>
    <mergeCell ref="AS19:AS22"/>
    <mergeCell ref="AS25:AS27"/>
    <mergeCell ref="AS29:AS32"/>
    <mergeCell ref="AS35:AS37"/>
    <mergeCell ref="AS40:AS41"/>
    <mergeCell ref="AS42:AS43"/>
    <mergeCell ref="AS44:AS45"/>
    <mergeCell ref="AS47:AS48"/>
    <mergeCell ref="AS49:AS50"/>
    <mergeCell ref="AS51:AS52"/>
    <mergeCell ref="AS53:AS55"/>
    <mergeCell ref="AS58:AS59"/>
    <mergeCell ref="AS60:AS61"/>
    <mergeCell ref="AQ51:AQ52"/>
    <mergeCell ref="AQ53:AQ55"/>
    <mergeCell ref="AR74:AR76"/>
    <mergeCell ref="AQ58:AQ59"/>
    <mergeCell ref="AQ60:AQ61"/>
    <mergeCell ref="AQ11:AQ13"/>
    <mergeCell ref="AQ19:AQ22"/>
    <mergeCell ref="AS78:AS79"/>
    <mergeCell ref="AS64:AS68"/>
    <mergeCell ref="AS69:AS71"/>
    <mergeCell ref="AS73:AS75"/>
    <mergeCell ref="AP35:AP37"/>
    <mergeCell ref="AQ35:AQ37"/>
    <mergeCell ref="AP40:AP41"/>
    <mergeCell ref="AQ40:AQ41"/>
    <mergeCell ref="AP42:AP43"/>
    <mergeCell ref="AQ42:AQ43"/>
    <mergeCell ref="AP44:AP45"/>
    <mergeCell ref="R7:R8"/>
    <mergeCell ref="Y7:Y8"/>
    <mergeCell ref="Z56:Z57"/>
    <mergeCell ref="AE19:AE20"/>
    <mergeCell ref="AE26:AE27"/>
    <mergeCell ref="AE28:AE29"/>
    <mergeCell ref="AE31:AE33"/>
    <mergeCell ref="AE36:AE37"/>
    <mergeCell ref="AE40:AE41"/>
    <mergeCell ref="AE43:AE48"/>
    <mergeCell ref="AE51:AE53"/>
    <mergeCell ref="AE55:AE57"/>
    <mergeCell ref="AF54:AF55"/>
    <mergeCell ref="AG54:AG55"/>
    <mergeCell ref="AI53:AI55"/>
    <mergeCell ref="AJ53:AJ55"/>
    <mergeCell ref="AL53:AL55"/>
    <mergeCell ref="AM54:AM55"/>
    <mergeCell ref="AN54:AN55"/>
    <mergeCell ref="AF17:AF18"/>
    <mergeCell ref="AG17:AG18"/>
    <mergeCell ref="AP51:AP52"/>
    <mergeCell ref="AH55:AH56"/>
    <mergeCell ref="AP11:AP13"/>
    <mergeCell ref="AP19:AP22"/>
    <mergeCell ref="AF19:AF22"/>
    <mergeCell ref="AG19:AG22"/>
    <mergeCell ref="AF26:AF27"/>
    <mergeCell ref="AG26:AG27"/>
    <mergeCell ref="AF35:AF37"/>
    <mergeCell ref="AG35:AG37"/>
    <mergeCell ref="AF42:AF43"/>
    <mergeCell ref="BV74:BV76"/>
    <mergeCell ref="BW74:BW76"/>
    <mergeCell ref="BX74:BX76"/>
    <mergeCell ref="BY74:BY76"/>
    <mergeCell ref="BY54:BY56"/>
    <mergeCell ref="BV45:BV46"/>
    <mergeCell ref="BW45:BW46"/>
    <mergeCell ref="BX45:BX46"/>
    <mergeCell ref="BY45:BY46"/>
    <mergeCell ref="BY26:BY28"/>
    <mergeCell ref="AL35:AL37"/>
    <mergeCell ref="AL40:AL43"/>
    <mergeCell ref="AL44:AL45"/>
    <mergeCell ref="AL47:AL48"/>
    <mergeCell ref="BU65:BU66"/>
    <mergeCell ref="BH70:BH72"/>
    <mergeCell ref="BI70:BI72"/>
    <mergeCell ref="BJ70:BJ72"/>
    <mergeCell ref="BK70:BK72"/>
    <mergeCell ref="BV70:BV72"/>
    <mergeCell ref="BW70:BW72"/>
    <mergeCell ref="BX70:BX72"/>
    <mergeCell ref="BY70:BY72"/>
    <mergeCell ref="AP29:AP32"/>
    <mergeCell ref="AQ29:AQ32"/>
    <mergeCell ref="CC43:CC44"/>
    <mergeCell ref="CB43:CB44"/>
    <mergeCell ref="CA48:CA49"/>
    <mergeCell ref="BZ26:BZ28"/>
    <mergeCell ref="BX27:BX28"/>
    <mergeCell ref="CC27:CC28"/>
    <mergeCell ref="CC30:CC31"/>
    <mergeCell ref="CA36:CA38"/>
    <mergeCell ref="CA43:CA44"/>
    <mergeCell ref="BY17:BY19"/>
    <mergeCell ref="BZ17:BZ19"/>
    <mergeCell ref="CC17:CC19"/>
    <mergeCell ref="BW18:BW19"/>
    <mergeCell ref="BX18:BX19"/>
    <mergeCell ref="BV20:BV23"/>
    <mergeCell ref="BW20:BW23"/>
    <mergeCell ref="BX20:BX23"/>
    <mergeCell ref="BY20:BY23"/>
    <mergeCell ref="BZ20:BZ23"/>
    <mergeCell ref="CB20:CB23"/>
    <mergeCell ref="CC20:CC23"/>
    <mergeCell ref="CB18:CB19"/>
    <mergeCell ref="CB27:CB28"/>
    <mergeCell ref="CA26:CA28"/>
    <mergeCell ref="BX36:BX38"/>
    <mergeCell ref="BZ45:BZ46"/>
    <mergeCell ref="CB45:CB46"/>
    <mergeCell ref="BY48:BY49"/>
    <mergeCell ref="BZ48:BZ49"/>
    <mergeCell ref="CA45:CA46"/>
    <mergeCell ref="CB8:CB10"/>
    <mergeCell ref="CB13:CB14"/>
    <mergeCell ref="CC8:CC10"/>
    <mergeCell ref="BV18:BV19"/>
    <mergeCell ref="CB36:CB38"/>
    <mergeCell ref="CC36:CC38"/>
    <mergeCell ref="BZ36:BZ38"/>
    <mergeCell ref="BV1:CC1"/>
    <mergeCell ref="BM81:BM84"/>
    <mergeCell ref="BT81:BT84"/>
    <mergeCell ref="S3:S8"/>
    <mergeCell ref="T3:T8"/>
    <mergeCell ref="S9:S18"/>
    <mergeCell ref="T9:T18"/>
    <mergeCell ref="S19:S25"/>
    <mergeCell ref="T19:T25"/>
    <mergeCell ref="S26:S49"/>
    <mergeCell ref="T26:T49"/>
    <mergeCell ref="BQ74:BQ76"/>
    <mergeCell ref="BR74:BR76"/>
    <mergeCell ref="BS74:BS76"/>
    <mergeCell ref="BT74:BT76"/>
    <mergeCell ref="BQ65:BQ66"/>
    <mergeCell ref="BR65:BR66"/>
    <mergeCell ref="BS65:BS66"/>
    <mergeCell ref="BT65:BT69"/>
    <mergeCell ref="AL16:AL18"/>
    <mergeCell ref="AL19:AL22"/>
    <mergeCell ref="AL26:AL27"/>
    <mergeCell ref="AL30:AL31"/>
    <mergeCell ref="BV13:BV14"/>
    <mergeCell ref="BY13:BY14"/>
    <mergeCell ref="BZ13:BZ14"/>
    <mergeCell ref="CC13:CC14"/>
    <mergeCell ref="BY15:BY16"/>
    <mergeCell ref="BM74:BM76"/>
    <mergeCell ref="BN74:BN76"/>
    <mergeCell ref="BO74:BO76"/>
    <mergeCell ref="BP74:BP76"/>
    <mergeCell ref="BL70:BL72"/>
    <mergeCell ref="BM70:BM72"/>
    <mergeCell ref="BN70:BN72"/>
    <mergeCell ref="BO70:BO72"/>
    <mergeCell ref="BP70:BP72"/>
    <mergeCell ref="BQ70:BQ72"/>
    <mergeCell ref="BR70:BR72"/>
    <mergeCell ref="BS70:BS72"/>
    <mergeCell ref="BT70:BT72"/>
    <mergeCell ref="BU70:BU72"/>
    <mergeCell ref="BL65:BL66"/>
    <mergeCell ref="BM65:BM69"/>
    <mergeCell ref="CB65:CB66"/>
    <mergeCell ref="BQ50:BQ51"/>
    <mergeCell ref="BR50:BR51"/>
    <mergeCell ref="BS50:BS51"/>
    <mergeCell ref="BT50:BT51"/>
    <mergeCell ref="BU50:BU51"/>
    <mergeCell ref="BL52:BL53"/>
    <mergeCell ref="BM52:BM53"/>
    <mergeCell ref="BQ52:BQ53"/>
    <mergeCell ref="BR52:BR53"/>
    <mergeCell ref="BS52:BS53"/>
    <mergeCell ref="BT52:BT53"/>
    <mergeCell ref="BU52:BU53"/>
    <mergeCell ref="BH50:BH51"/>
    <mergeCell ref="BI50:BI51"/>
    <mergeCell ref="BJ50:BJ51"/>
    <mergeCell ref="BK50:BK51"/>
    <mergeCell ref="BL50:BL51"/>
    <mergeCell ref="BM50:BM51"/>
    <mergeCell ref="BN50:BN51"/>
    <mergeCell ref="BO50:BO51"/>
    <mergeCell ref="BP50:BP51"/>
    <mergeCell ref="BQ45:BQ46"/>
    <mergeCell ref="BR45:BR46"/>
    <mergeCell ref="BS45:BS46"/>
    <mergeCell ref="BT45:BT46"/>
    <mergeCell ref="BU45:BU46"/>
    <mergeCell ref="BK48:BK49"/>
    <mergeCell ref="BL48:BL49"/>
    <mergeCell ref="BM48:BM49"/>
    <mergeCell ref="BR48:BR49"/>
    <mergeCell ref="BS48:BS49"/>
    <mergeCell ref="BT48:BT49"/>
    <mergeCell ref="BH45:BH46"/>
    <mergeCell ref="BI45:BI46"/>
    <mergeCell ref="BJ45:BJ46"/>
    <mergeCell ref="BK45:BK46"/>
    <mergeCell ref="BL45:BL46"/>
    <mergeCell ref="BM45:BM46"/>
    <mergeCell ref="BN45:BN46"/>
    <mergeCell ref="BO45:BO46"/>
    <mergeCell ref="BP45:BP46"/>
    <mergeCell ref="BQ36:BQ38"/>
    <mergeCell ref="BR36:BR38"/>
    <mergeCell ref="BS36:BS38"/>
    <mergeCell ref="BT36:BT38"/>
    <mergeCell ref="BU36:BU38"/>
    <mergeCell ref="BM41:BM44"/>
    <mergeCell ref="BT41:BT44"/>
    <mergeCell ref="BH43:BH44"/>
    <mergeCell ref="BI43:BI44"/>
    <mergeCell ref="BJ43:BJ44"/>
    <mergeCell ref="BK43:BK44"/>
    <mergeCell ref="BL43:BL44"/>
    <mergeCell ref="BN43:BN44"/>
    <mergeCell ref="BO43:BO44"/>
    <mergeCell ref="BP43:BP44"/>
    <mergeCell ref="BQ43:BQ44"/>
    <mergeCell ref="BR43:BR44"/>
    <mergeCell ref="BS43:BS44"/>
    <mergeCell ref="BU43:BU44"/>
    <mergeCell ref="BH36:BH38"/>
    <mergeCell ref="BI36:BI38"/>
    <mergeCell ref="BJ36:BJ38"/>
    <mergeCell ref="BK36:BK38"/>
    <mergeCell ref="BL36:BL38"/>
    <mergeCell ref="BM36:BM38"/>
    <mergeCell ref="BN36:BN38"/>
    <mergeCell ref="BO36:BO38"/>
    <mergeCell ref="BP36:BP38"/>
    <mergeCell ref="BH27:BH28"/>
    <mergeCell ref="BI27:BI28"/>
    <mergeCell ref="BJ27:BJ28"/>
    <mergeCell ref="BN27:BN28"/>
    <mergeCell ref="BO27:BO28"/>
    <mergeCell ref="BP27:BP28"/>
    <mergeCell ref="BQ27:BQ28"/>
    <mergeCell ref="BU27:BU28"/>
    <mergeCell ref="BM30:BM33"/>
    <mergeCell ref="BT30:BT33"/>
    <mergeCell ref="BQ20:BQ23"/>
    <mergeCell ref="BR20:BR23"/>
    <mergeCell ref="BS20:BS23"/>
    <mergeCell ref="BT20:BT23"/>
    <mergeCell ref="BU20:BU23"/>
    <mergeCell ref="BK26:BK28"/>
    <mergeCell ref="BM26:BM28"/>
    <mergeCell ref="BR26:BR28"/>
    <mergeCell ref="BS26:BS28"/>
    <mergeCell ref="BT26:BT28"/>
    <mergeCell ref="BH20:BH23"/>
    <mergeCell ref="BI20:BI23"/>
    <mergeCell ref="BJ20:BJ23"/>
    <mergeCell ref="BK20:BK23"/>
    <mergeCell ref="BL20:BL23"/>
    <mergeCell ref="BM20:BM23"/>
    <mergeCell ref="BN20:BN23"/>
    <mergeCell ref="BO20:BO23"/>
    <mergeCell ref="BP20:BP23"/>
    <mergeCell ref="BS8:BS10"/>
    <mergeCell ref="BT8:BT10"/>
    <mergeCell ref="BN6:BN7"/>
    <mergeCell ref="BK6:BK7"/>
    <mergeCell ref="BK15:BK16"/>
    <mergeCell ref="BL15:BL16"/>
    <mergeCell ref="BM15:BM16"/>
    <mergeCell ref="BN15:BN16"/>
    <mergeCell ref="BR15:BR16"/>
    <mergeCell ref="BS15:BS16"/>
    <mergeCell ref="BT15:BT16"/>
    <mergeCell ref="BU15:BU16"/>
    <mergeCell ref="BH17:BH19"/>
    <mergeCell ref="BK17:BK19"/>
    <mergeCell ref="BL17:BL19"/>
    <mergeCell ref="BM17:BM19"/>
    <mergeCell ref="BN17:BN19"/>
    <mergeCell ref="BO17:BO19"/>
    <mergeCell ref="BR17:BR19"/>
    <mergeCell ref="BS17:BS19"/>
    <mergeCell ref="BT17:BT19"/>
    <mergeCell ref="BU17:BU19"/>
    <mergeCell ref="BI18:BI19"/>
    <mergeCell ref="BJ18:BJ19"/>
    <mergeCell ref="BP18:BP19"/>
    <mergeCell ref="BQ18:BQ19"/>
    <mergeCell ref="BL6:BL7"/>
    <mergeCell ref="BM6:BM7"/>
    <mergeCell ref="BR6:BR7"/>
    <mergeCell ref="BH1:BN1"/>
    <mergeCell ref="BO1:BU1"/>
    <mergeCell ref="BM3:BM5"/>
    <mergeCell ref="BT3:BT5"/>
    <mergeCell ref="BU8:BU10"/>
    <mergeCell ref="BM11:BM14"/>
    <mergeCell ref="BT11:BT14"/>
    <mergeCell ref="BH13:BH14"/>
    <mergeCell ref="BI13:BI14"/>
    <mergeCell ref="BJ13:BJ14"/>
    <mergeCell ref="BK13:BK14"/>
    <mergeCell ref="BL13:BL14"/>
    <mergeCell ref="BN13:BN14"/>
    <mergeCell ref="BO13:BO14"/>
    <mergeCell ref="BP13:BP14"/>
    <mergeCell ref="BQ13:BQ14"/>
    <mergeCell ref="BR13:BR14"/>
    <mergeCell ref="BS13:BS14"/>
    <mergeCell ref="BU13:BU14"/>
    <mergeCell ref="BS6:BS7"/>
    <mergeCell ref="BT6:BT7"/>
    <mergeCell ref="BH8:BH10"/>
    <mergeCell ref="BI8:BI10"/>
    <mergeCell ref="BJ8:BJ10"/>
    <mergeCell ref="BK8:BK10"/>
    <mergeCell ref="BL8:BL10"/>
    <mergeCell ref="BM8:BM10"/>
    <mergeCell ref="BN8:BN10"/>
    <mergeCell ref="BO8:BO10"/>
    <mergeCell ref="BP8:BP10"/>
    <mergeCell ref="BQ8:BQ10"/>
    <mergeCell ref="BR8:BR10"/>
    <mergeCell ref="BC74:BC76"/>
    <mergeCell ref="BD74:BD76"/>
    <mergeCell ref="BE74:BE76"/>
    <mergeCell ref="BF74:BF76"/>
    <mergeCell ref="BG74:BG76"/>
    <mergeCell ref="AY77:AY80"/>
    <mergeCell ref="BF77:BF80"/>
    <mergeCell ref="AV79:AV80"/>
    <mergeCell ref="BA79:BA80"/>
    <mergeCell ref="BB79:BB80"/>
    <mergeCell ref="BC79:BC80"/>
    <mergeCell ref="BD79:BD80"/>
    <mergeCell ref="BE79:BE80"/>
    <mergeCell ref="BG79:BG80"/>
    <mergeCell ref="AV74:AV76"/>
    <mergeCell ref="AY74:AY76"/>
    <mergeCell ref="BA74:BA76"/>
    <mergeCell ref="BB74:BB76"/>
    <mergeCell ref="BC65:BC66"/>
    <mergeCell ref="BF65:BF69"/>
    <mergeCell ref="AV70:AV72"/>
    <mergeCell ref="AY70:AY72"/>
    <mergeCell ref="BA70:BA72"/>
    <mergeCell ref="BB70:BB72"/>
    <mergeCell ref="BC70:BC72"/>
    <mergeCell ref="BD70:BD72"/>
    <mergeCell ref="BE70:BE72"/>
    <mergeCell ref="BF70:BF72"/>
    <mergeCell ref="BG70:BG72"/>
    <mergeCell ref="BG50:BG51"/>
    <mergeCell ref="AV52:AV53"/>
    <mergeCell ref="AY52:AY53"/>
    <mergeCell ref="BA52:BA53"/>
    <mergeCell ref="BB52:BB53"/>
    <mergeCell ref="BC52:BC53"/>
    <mergeCell ref="BD52:BD53"/>
    <mergeCell ref="BE52:BE53"/>
    <mergeCell ref="BF52:BF53"/>
    <mergeCell ref="BG52:BG53"/>
    <mergeCell ref="AW49:AW50"/>
    <mergeCell ref="AX49:AX50"/>
    <mergeCell ref="AW51:AW52"/>
    <mergeCell ref="AX51:AX52"/>
    <mergeCell ref="AV50:AV51"/>
    <mergeCell ref="AY50:AY51"/>
    <mergeCell ref="BA50:BA51"/>
    <mergeCell ref="BB50:BB51"/>
    <mergeCell ref="BD61:BD62"/>
    <mergeCell ref="BE61:BE62"/>
    <mergeCell ref="BF61:BF62"/>
    <mergeCell ref="BG45:BG46"/>
    <mergeCell ref="AY48:AY49"/>
    <mergeCell ref="BD48:BD49"/>
    <mergeCell ref="BE48:BE49"/>
    <mergeCell ref="BF48:BF49"/>
    <mergeCell ref="AW44:AW45"/>
    <mergeCell ref="AX44:AX45"/>
    <mergeCell ref="AV45:AV46"/>
    <mergeCell ref="AY45:AY46"/>
    <mergeCell ref="BA45:BA46"/>
    <mergeCell ref="BB45:BB46"/>
    <mergeCell ref="BC36:BC38"/>
    <mergeCell ref="BD36:BD38"/>
    <mergeCell ref="BE36:BE38"/>
    <mergeCell ref="BF36:BF38"/>
    <mergeCell ref="BG36:BG38"/>
    <mergeCell ref="AY41:AY44"/>
    <mergeCell ref="BF41:BF44"/>
    <mergeCell ref="AV43:AV44"/>
    <mergeCell ref="BA43:BA44"/>
    <mergeCell ref="BB43:BB44"/>
    <mergeCell ref="BC43:BC44"/>
    <mergeCell ref="AW36:AW37"/>
    <mergeCell ref="AX36:AX37"/>
    <mergeCell ref="AW42:AW43"/>
    <mergeCell ref="AX42:AX43"/>
    <mergeCell ref="AV36:AV38"/>
    <mergeCell ref="AY36:AY38"/>
    <mergeCell ref="BA36:BA38"/>
    <mergeCell ref="BB36:BB38"/>
    <mergeCell ref="AZ36:AZ37"/>
    <mergeCell ref="AZ42:AZ43"/>
    <mergeCell ref="BB13:BB14"/>
    <mergeCell ref="BC13:BC14"/>
    <mergeCell ref="BG13:BG14"/>
    <mergeCell ref="AY15:AY16"/>
    <mergeCell ref="AV27:AV28"/>
    <mergeCell ref="BA27:BA28"/>
    <mergeCell ref="BB27:BB28"/>
    <mergeCell ref="BC27:BC28"/>
    <mergeCell ref="AY30:AY33"/>
    <mergeCell ref="BF30:BF33"/>
    <mergeCell ref="AW28:AW29"/>
    <mergeCell ref="AX28:AX29"/>
    <mergeCell ref="BC20:BC23"/>
    <mergeCell ref="BD20:BD23"/>
    <mergeCell ref="BE20:BE23"/>
    <mergeCell ref="BF20:BF23"/>
    <mergeCell ref="BG20:BG23"/>
    <mergeCell ref="AY26:AY28"/>
    <mergeCell ref="BD26:BD28"/>
    <mergeCell ref="BE26:BE28"/>
    <mergeCell ref="BF26:BF28"/>
    <mergeCell ref="AV20:AV23"/>
    <mergeCell ref="AY20:AY23"/>
    <mergeCell ref="BA20:BA23"/>
    <mergeCell ref="BB20:BB23"/>
    <mergeCell ref="BA18:BA19"/>
    <mergeCell ref="AZ14:AZ15"/>
    <mergeCell ref="AZ16:AZ18"/>
    <mergeCell ref="AZ19:AZ20"/>
    <mergeCell ref="AZ21:AZ22"/>
    <mergeCell ref="AZ25:AZ26"/>
    <mergeCell ref="AZ28:AZ29"/>
    <mergeCell ref="AZ8:AZ10"/>
    <mergeCell ref="BA8:BA10"/>
    <mergeCell ref="BB8:BB10"/>
    <mergeCell ref="BC8:BC10"/>
    <mergeCell ref="BD8:BD10"/>
    <mergeCell ref="BE8:BE10"/>
    <mergeCell ref="BF8:BF10"/>
    <mergeCell ref="AK81:AK84"/>
    <mergeCell ref="AR81:AR84"/>
    <mergeCell ref="AT1:AZ1"/>
    <mergeCell ref="BA1:BG1"/>
    <mergeCell ref="BF3:BF5"/>
    <mergeCell ref="BG15:BG16"/>
    <mergeCell ref="AY17:AY19"/>
    <mergeCell ref="BD17:BD19"/>
    <mergeCell ref="BE17:BE19"/>
    <mergeCell ref="BF17:BF19"/>
    <mergeCell ref="BG17:BG19"/>
    <mergeCell ref="AV18:AV19"/>
    <mergeCell ref="BB18:BB19"/>
    <mergeCell ref="BC18:BC19"/>
    <mergeCell ref="BG8:BG10"/>
    <mergeCell ref="AY11:AY14"/>
    <mergeCell ref="BF11:BF14"/>
    <mergeCell ref="AV13:AV14"/>
    <mergeCell ref="BA13:BA14"/>
    <mergeCell ref="AK77:AK80"/>
    <mergeCell ref="AR77:AR80"/>
    <mergeCell ref="AP53:AP55"/>
    <mergeCell ref="AK55:AK56"/>
    <mergeCell ref="AO55:AO56"/>
    <mergeCell ref="AR55:AR56"/>
    <mergeCell ref="AH79:AH80"/>
    <mergeCell ref="AO79:AO80"/>
    <mergeCell ref="AG73:AG75"/>
    <mergeCell ref="AG78:AG79"/>
    <mergeCell ref="AI73:AI75"/>
    <mergeCell ref="AJ73:AJ75"/>
    <mergeCell ref="AI76:AI83"/>
    <mergeCell ref="AJ76:AJ83"/>
    <mergeCell ref="AL73:AL75"/>
    <mergeCell ref="AH74:AH76"/>
    <mergeCell ref="AK74:AK76"/>
    <mergeCell ref="AO74:AO76"/>
    <mergeCell ref="AN73:AN75"/>
    <mergeCell ref="AR65:AR69"/>
    <mergeCell ref="AH70:AH72"/>
    <mergeCell ref="AK70:AK72"/>
    <mergeCell ref="AO70:AO72"/>
    <mergeCell ref="AR70:AR72"/>
    <mergeCell ref="AG65:AG66"/>
    <mergeCell ref="AM65:AM66"/>
    <mergeCell ref="AN65:AN66"/>
    <mergeCell ref="AL78:AL79"/>
    <mergeCell ref="AP64:AP68"/>
    <mergeCell ref="AQ64:AQ68"/>
    <mergeCell ref="AM78:AM79"/>
    <mergeCell ref="AN78:AN79"/>
    <mergeCell ref="AP78:AP79"/>
    <mergeCell ref="AQ78:AQ79"/>
    <mergeCell ref="AP80:AP83"/>
    <mergeCell ref="AM73:AM75"/>
    <mergeCell ref="AP73:AP75"/>
    <mergeCell ref="AQ73:AQ75"/>
    <mergeCell ref="AJ44:AJ45"/>
    <mergeCell ref="AR50:AR51"/>
    <mergeCell ref="AF69:AF71"/>
    <mergeCell ref="AG69:AG71"/>
    <mergeCell ref="AH65:AH66"/>
    <mergeCell ref="AK65:AK69"/>
    <mergeCell ref="AO65:AO66"/>
    <mergeCell ref="AI64:AI68"/>
    <mergeCell ref="AJ64:AJ68"/>
    <mergeCell ref="AI69:AI71"/>
    <mergeCell ref="AJ69:AJ71"/>
    <mergeCell ref="AL64:AL67"/>
    <mergeCell ref="AL69:AL71"/>
    <mergeCell ref="AK59:AK60"/>
    <mergeCell ref="AR59:AR60"/>
    <mergeCell ref="AK61:AK62"/>
    <mergeCell ref="AR61:AR62"/>
    <mergeCell ref="AI58:AI59"/>
    <mergeCell ref="AJ58:AJ59"/>
    <mergeCell ref="AI60:AI61"/>
    <mergeCell ref="AJ60:AJ61"/>
    <mergeCell ref="AM69:AM71"/>
    <mergeCell ref="AN69:AN71"/>
    <mergeCell ref="AP69:AP71"/>
    <mergeCell ref="AQ69:AQ71"/>
    <mergeCell ref="AF65:AF66"/>
    <mergeCell ref="AH52:AH53"/>
    <mergeCell ref="AP58:AP59"/>
    <mergeCell ref="AP60:AP61"/>
    <mergeCell ref="AK52:AK53"/>
    <mergeCell ref="AO52:AO53"/>
    <mergeCell ref="AR52:AR53"/>
    <mergeCell ref="AF49:AF50"/>
    <mergeCell ref="AG49:AG50"/>
    <mergeCell ref="AF51:AF52"/>
    <mergeCell ref="AG51:AG52"/>
    <mergeCell ref="AI49:AI50"/>
    <mergeCell ref="AJ49:AJ50"/>
    <mergeCell ref="AH50:AH51"/>
    <mergeCell ref="AK50:AK51"/>
    <mergeCell ref="AO50:AO51"/>
    <mergeCell ref="AI51:AI52"/>
    <mergeCell ref="AJ51:AJ52"/>
    <mergeCell ref="AL51:AL52"/>
    <mergeCell ref="AK48:AK49"/>
    <mergeCell ref="AR48:AR49"/>
    <mergeCell ref="AL49:AL50"/>
    <mergeCell ref="AM49:AM50"/>
    <mergeCell ref="AN49:AN50"/>
    <mergeCell ref="AM51:AM52"/>
    <mergeCell ref="AN51:AN52"/>
    <mergeCell ref="AP47:AP48"/>
    <mergeCell ref="AI47:AI48"/>
    <mergeCell ref="AJ47:AJ48"/>
    <mergeCell ref="AP49:AP50"/>
    <mergeCell ref="AQ49:AQ50"/>
    <mergeCell ref="AQ47:AQ48"/>
    <mergeCell ref="AN26:AN27"/>
    <mergeCell ref="AP16:AP18"/>
    <mergeCell ref="AQ16:AQ18"/>
    <mergeCell ref="AO45:AO46"/>
    <mergeCell ref="AG44:AG45"/>
    <mergeCell ref="AR36:AR38"/>
    <mergeCell ref="AK41:AK44"/>
    <mergeCell ref="AR41:AR44"/>
    <mergeCell ref="AH43:AH44"/>
    <mergeCell ref="AO43:AO44"/>
    <mergeCell ref="AG42:AG43"/>
    <mergeCell ref="AF44:AF45"/>
    <mergeCell ref="AI35:AI37"/>
    <mergeCell ref="AJ35:AJ37"/>
    <mergeCell ref="AI40:AI43"/>
    <mergeCell ref="AJ40:AJ43"/>
    <mergeCell ref="AH36:AH38"/>
    <mergeCell ref="AK36:AK38"/>
    <mergeCell ref="AO36:AO38"/>
    <mergeCell ref="AM35:AM37"/>
    <mergeCell ref="AN35:AN37"/>
    <mergeCell ref="AM42:AM43"/>
    <mergeCell ref="AN42:AN43"/>
    <mergeCell ref="AM44:AM45"/>
    <mergeCell ref="AN44:AN45"/>
    <mergeCell ref="AQ44:AQ45"/>
    <mergeCell ref="AH45:AH46"/>
    <mergeCell ref="AK45:AK46"/>
    <mergeCell ref="AP25:AP27"/>
    <mergeCell ref="AQ25:AQ27"/>
    <mergeCell ref="AR45:AR46"/>
    <mergeCell ref="AI44:AI45"/>
    <mergeCell ref="AJ3:AJ5"/>
    <mergeCell ref="AP3:AP5"/>
    <mergeCell ref="AQ3:AQ5"/>
    <mergeCell ref="AH27:AH28"/>
    <mergeCell ref="AO27:AO28"/>
    <mergeCell ref="AK30:AK33"/>
    <mergeCell ref="AR30:AR33"/>
    <mergeCell ref="AI25:AI27"/>
    <mergeCell ref="AJ25:AJ27"/>
    <mergeCell ref="AI29:AI32"/>
    <mergeCell ref="AJ29:AJ32"/>
    <mergeCell ref="AR20:AR23"/>
    <mergeCell ref="AK26:AK28"/>
    <mergeCell ref="AR26:AR28"/>
    <mergeCell ref="AI19:AI22"/>
    <mergeCell ref="AJ19:AJ22"/>
    <mergeCell ref="AH20:AH23"/>
    <mergeCell ref="AK20:AK23"/>
    <mergeCell ref="AO20:AO23"/>
    <mergeCell ref="AK15:AK16"/>
    <mergeCell ref="AR15:AR16"/>
    <mergeCell ref="AK17:AK19"/>
    <mergeCell ref="AR17:AR19"/>
    <mergeCell ref="AH18:AH19"/>
    <mergeCell ref="AO18:AO19"/>
    <mergeCell ref="AI16:AI18"/>
    <mergeCell ref="AJ16:AJ18"/>
    <mergeCell ref="AM17:AM18"/>
    <mergeCell ref="AN17:AN18"/>
    <mergeCell ref="AM19:AM22"/>
    <mergeCell ref="AN19:AN22"/>
    <mergeCell ref="AM26:AM27"/>
    <mergeCell ref="Y1:AE1"/>
    <mergeCell ref="AF1:AL1"/>
    <mergeCell ref="AM1:AS1"/>
    <mergeCell ref="AS8:AS10"/>
    <mergeCell ref="AK11:AK14"/>
    <mergeCell ref="AR11:AR14"/>
    <mergeCell ref="AH13:AH14"/>
    <mergeCell ref="AO13:AO14"/>
    <mergeCell ref="AI11:AI13"/>
    <mergeCell ref="AJ11:AJ13"/>
    <mergeCell ref="AL14:AL15"/>
    <mergeCell ref="AK3:AK5"/>
    <mergeCell ref="AR3:AR5"/>
    <mergeCell ref="AI6:AI7"/>
    <mergeCell ref="AJ6:AJ7"/>
    <mergeCell ref="AK6:AK7"/>
    <mergeCell ref="AP6:AP7"/>
    <mergeCell ref="AQ6:AQ7"/>
    <mergeCell ref="AR6:AR7"/>
    <mergeCell ref="AG8:AG10"/>
    <mergeCell ref="AH8:AH10"/>
    <mergeCell ref="AI8:AI10"/>
    <mergeCell ref="AJ8:AJ10"/>
    <mergeCell ref="AK8:AK10"/>
    <mergeCell ref="AL8:AL10"/>
    <mergeCell ref="AM8:AM10"/>
    <mergeCell ref="AN8:AN10"/>
    <mergeCell ref="AO8:AO10"/>
    <mergeCell ref="AP8:AP10"/>
    <mergeCell ref="AQ8:AQ10"/>
    <mergeCell ref="AR8:AR10"/>
    <mergeCell ref="AI3:AI5"/>
    <mergeCell ref="R1:X1"/>
    <mergeCell ref="R74:R76"/>
    <mergeCell ref="S74:S76"/>
    <mergeCell ref="T74:T76"/>
    <mergeCell ref="U74:U76"/>
    <mergeCell ref="V74:V76"/>
    <mergeCell ref="W74:W76"/>
    <mergeCell ref="X74:X76"/>
    <mergeCell ref="W77:W80"/>
    <mergeCell ref="R79:R80"/>
    <mergeCell ref="S79:S80"/>
    <mergeCell ref="T79:T80"/>
    <mergeCell ref="U79:U80"/>
    <mergeCell ref="V79:V80"/>
    <mergeCell ref="X79:X80"/>
    <mergeCell ref="X65:X66"/>
    <mergeCell ref="X67:X68"/>
    <mergeCell ref="R70:R72"/>
    <mergeCell ref="S70:S72"/>
    <mergeCell ref="T70:T72"/>
    <mergeCell ref="U70:U72"/>
    <mergeCell ref="V70:V72"/>
    <mergeCell ref="W55:W56"/>
    <mergeCell ref="W70:W72"/>
    <mergeCell ref="X70:X72"/>
    <mergeCell ref="W59:W60"/>
    <mergeCell ref="W61:W62"/>
    <mergeCell ref="R65:R66"/>
    <mergeCell ref="S65:S66"/>
    <mergeCell ref="T65:T66"/>
    <mergeCell ref="U65:U66"/>
    <mergeCell ref="V54:V57"/>
    <mergeCell ref="O81:O84"/>
    <mergeCell ref="O70:O72"/>
    <mergeCell ref="P70:P72"/>
    <mergeCell ref="Q70:Q72"/>
    <mergeCell ref="P81:P84"/>
    <mergeCell ref="V65:V66"/>
    <mergeCell ref="O78:O80"/>
    <mergeCell ref="W52:W53"/>
    <mergeCell ref="S50:S53"/>
    <mergeCell ref="T50:T53"/>
    <mergeCell ref="U50:U53"/>
    <mergeCell ref="V50:V53"/>
    <mergeCell ref="X51:X53"/>
    <mergeCell ref="W45:W46"/>
    <mergeCell ref="W48:W49"/>
    <mergeCell ref="U26:U49"/>
    <mergeCell ref="V26:V49"/>
    <mergeCell ref="X26:X27"/>
    <mergeCell ref="X28:X29"/>
    <mergeCell ref="X31:X33"/>
    <mergeCell ref="X36:X37"/>
    <mergeCell ref="X40:X41"/>
    <mergeCell ref="X43:X48"/>
    <mergeCell ref="W36:W38"/>
    <mergeCell ref="W41:W44"/>
    <mergeCell ref="W30:W33"/>
    <mergeCell ref="W81:W84"/>
    <mergeCell ref="X55:X57"/>
    <mergeCell ref="V58:V60"/>
    <mergeCell ref="X58:X60"/>
    <mergeCell ref="V61:V64"/>
    <mergeCell ref="X61:X64"/>
    <mergeCell ref="K81:K84"/>
    <mergeCell ref="K78:K80"/>
    <mergeCell ref="L81:L84"/>
    <mergeCell ref="L78:L80"/>
    <mergeCell ref="M81:M84"/>
    <mergeCell ref="M78:M79"/>
    <mergeCell ref="N81:N84"/>
    <mergeCell ref="K67:K69"/>
    <mergeCell ref="L67:L69"/>
    <mergeCell ref="M67:M69"/>
    <mergeCell ref="N67:N69"/>
    <mergeCell ref="K70:K72"/>
    <mergeCell ref="L70:L72"/>
    <mergeCell ref="M70:M72"/>
    <mergeCell ref="N70:N72"/>
    <mergeCell ref="K74:K76"/>
    <mergeCell ref="L74:L76"/>
    <mergeCell ref="M74:M76"/>
    <mergeCell ref="N74:N76"/>
    <mergeCell ref="N78:N80"/>
    <mergeCell ref="P78:P80"/>
    <mergeCell ref="O65:O66"/>
    <mergeCell ref="P65:P66"/>
    <mergeCell ref="Q65:Q66"/>
    <mergeCell ref="O67:O69"/>
    <mergeCell ref="P67:P69"/>
    <mergeCell ref="O74:O76"/>
    <mergeCell ref="P74:P76"/>
    <mergeCell ref="Q74:Q76"/>
    <mergeCell ref="K61:K62"/>
    <mergeCell ref="L61:L62"/>
    <mergeCell ref="M61:M62"/>
    <mergeCell ref="N61:N62"/>
    <mergeCell ref="O61:O62"/>
    <mergeCell ref="P61:P62"/>
    <mergeCell ref="K65:K66"/>
    <mergeCell ref="L65:L66"/>
    <mergeCell ref="M65:M66"/>
    <mergeCell ref="N65:N66"/>
    <mergeCell ref="W11:W14"/>
    <mergeCell ref="L20:L23"/>
    <mergeCell ref="M20:M23"/>
    <mergeCell ref="K54:K56"/>
    <mergeCell ref="L54:L56"/>
    <mergeCell ref="M54:M56"/>
    <mergeCell ref="N54:N56"/>
    <mergeCell ref="O54:O56"/>
    <mergeCell ref="P54:P56"/>
    <mergeCell ref="K59:K60"/>
    <mergeCell ref="L59:L60"/>
    <mergeCell ref="M59:M60"/>
    <mergeCell ref="N59:N60"/>
    <mergeCell ref="O59:O60"/>
    <mergeCell ref="P59:P60"/>
    <mergeCell ref="K52:K53"/>
    <mergeCell ref="L52:L53"/>
    <mergeCell ref="M52:M53"/>
    <mergeCell ref="N52:N53"/>
    <mergeCell ref="L45:L46"/>
    <mergeCell ref="M45:M46"/>
    <mergeCell ref="N45:N46"/>
    <mergeCell ref="O45:O46"/>
    <mergeCell ref="P45:P46"/>
    <mergeCell ref="K48:K49"/>
    <mergeCell ref="L50:L51"/>
    <mergeCell ref="M50:M51"/>
    <mergeCell ref="N50:N51"/>
    <mergeCell ref="O50:O51"/>
    <mergeCell ref="P50:P51"/>
    <mergeCell ref="O52:O53"/>
    <mergeCell ref="K20:K23"/>
    <mergeCell ref="AD26:AD28"/>
    <mergeCell ref="AC26:AC28"/>
    <mergeCell ref="AB61:AB62"/>
    <mergeCell ref="AE67:AE68"/>
    <mergeCell ref="O31:O32"/>
    <mergeCell ref="P31:P32"/>
    <mergeCell ref="W15:W16"/>
    <mergeCell ref="W17:W19"/>
    <mergeCell ref="AD20:AD23"/>
    <mergeCell ref="AB26:AB28"/>
    <mergeCell ref="AD17:AD19"/>
    <mergeCell ref="AD11:AD14"/>
    <mergeCell ref="AB13:AB14"/>
    <mergeCell ref="AC17:AC19"/>
    <mergeCell ref="AD15:AD16"/>
    <mergeCell ref="AC36:AC38"/>
    <mergeCell ref="AD36:AD38"/>
    <mergeCell ref="AD45:AD46"/>
    <mergeCell ref="AA45:AA46"/>
    <mergeCell ref="AC43:AC44"/>
    <mergeCell ref="AC20:AC23"/>
    <mergeCell ref="AB20:AB23"/>
    <mergeCell ref="AB50:AB51"/>
    <mergeCell ref="P52:P53"/>
    <mergeCell ref="Q43:Q44"/>
    <mergeCell ref="AA43:AA44"/>
    <mergeCell ref="P26:P28"/>
    <mergeCell ref="AA18:AA19"/>
    <mergeCell ref="AB17:AB19"/>
    <mergeCell ref="W20:W23"/>
    <mergeCell ref="W26:W28"/>
    <mergeCell ref="AA52:AA53"/>
    <mergeCell ref="AF73:AF75"/>
    <mergeCell ref="AF78:AF79"/>
    <mergeCell ref="K31:K32"/>
    <mergeCell ref="K36:K38"/>
    <mergeCell ref="L36:L38"/>
    <mergeCell ref="M36:M38"/>
    <mergeCell ref="N36:N38"/>
    <mergeCell ref="Z65:Z66"/>
    <mergeCell ref="AF8:AF10"/>
    <mergeCell ref="AA50:AA51"/>
    <mergeCell ref="AA27:AA28"/>
    <mergeCell ref="AA20:AA23"/>
    <mergeCell ref="AB45:AB46"/>
    <mergeCell ref="AC45:AC46"/>
    <mergeCell ref="AD41:AD44"/>
    <mergeCell ref="AD30:AD33"/>
    <mergeCell ref="AB43:AB44"/>
    <mergeCell ref="AA36:AA38"/>
    <mergeCell ref="AB36:AB38"/>
    <mergeCell ref="L48:L49"/>
    <mergeCell ref="M48:M49"/>
    <mergeCell ref="N48:N49"/>
    <mergeCell ref="O48:O49"/>
    <mergeCell ref="P48:P49"/>
    <mergeCell ref="K45:K46"/>
    <mergeCell ref="AC50:AC51"/>
    <mergeCell ref="Z79:Z80"/>
    <mergeCell ref="Q36:Q38"/>
    <mergeCell ref="Y74:Y76"/>
    <mergeCell ref="AA74:AA76"/>
    <mergeCell ref="Q45:Q46"/>
    <mergeCell ref="Z70:Z72"/>
    <mergeCell ref="I18:I19"/>
    <mergeCell ref="Q20:Q23"/>
    <mergeCell ref="Q27:Q28"/>
    <mergeCell ref="N26:N28"/>
    <mergeCell ref="L31:L32"/>
    <mergeCell ref="M31:M32"/>
    <mergeCell ref="N31:N32"/>
    <mergeCell ref="O20:O23"/>
    <mergeCell ref="P20:P23"/>
    <mergeCell ref="O26:O28"/>
    <mergeCell ref="O36:O38"/>
    <mergeCell ref="P36:P38"/>
    <mergeCell ref="K50:K51"/>
    <mergeCell ref="K41:K42"/>
    <mergeCell ref="L41:L42"/>
    <mergeCell ref="M41:M42"/>
    <mergeCell ref="N41:N42"/>
    <mergeCell ref="O41:O42"/>
    <mergeCell ref="P41:P42"/>
    <mergeCell ref="K43:K44"/>
    <mergeCell ref="N43:N44"/>
    <mergeCell ref="O43:O44"/>
    <mergeCell ref="P43:P44"/>
    <mergeCell ref="N20:N23"/>
    <mergeCell ref="L43:L44"/>
    <mergeCell ref="M43:M44"/>
    <mergeCell ref="K26:K28"/>
    <mergeCell ref="L26:L28"/>
    <mergeCell ref="M26:M28"/>
    <mergeCell ref="Z74:Z76"/>
    <mergeCell ref="AB79:AB80"/>
    <mergeCell ref="Q55:Q56"/>
    <mergeCell ref="Q50:Q51"/>
    <mergeCell ref="AB52:AB53"/>
    <mergeCell ref="AA70:AA72"/>
    <mergeCell ref="AC61:AC62"/>
    <mergeCell ref="AD61:AD62"/>
    <mergeCell ref="AD55:AD56"/>
    <mergeCell ref="AC52:AC53"/>
    <mergeCell ref="AD52:AD53"/>
    <mergeCell ref="AC59:AC60"/>
    <mergeCell ref="Q79:Q80"/>
    <mergeCell ref="Q52:Q53"/>
    <mergeCell ref="AD65:AD69"/>
    <mergeCell ref="AB59:AB60"/>
    <mergeCell ref="AD59:AD60"/>
    <mergeCell ref="W65:W69"/>
    <mergeCell ref="S54:S57"/>
    <mergeCell ref="T54:T57"/>
    <mergeCell ref="W50:W51"/>
    <mergeCell ref="S58:S60"/>
    <mergeCell ref="T58:T60"/>
    <mergeCell ref="U58:U60"/>
    <mergeCell ref="S61:S64"/>
    <mergeCell ref="T61:T64"/>
    <mergeCell ref="U61:U64"/>
    <mergeCell ref="U54:U57"/>
    <mergeCell ref="Y70:Y72"/>
    <mergeCell ref="Y65:Y66"/>
    <mergeCell ref="AA65:AA66"/>
    <mergeCell ref="AA55:AA56"/>
    <mergeCell ref="M13:M14"/>
    <mergeCell ref="K15:K16"/>
    <mergeCell ref="L15:L16"/>
    <mergeCell ref="M15:M16"/>
    <mergeCell ref="K17:K19"/>
    <mergeCell ref="L17:L19"/>
    <mergeCell ref="M17:M19"/>
    <mergeCell ref="AD81:AD84"/>
    <mergeCell ref="AC79:AC80"/>
    <mergeCell ref="AD74:AD76"/>
    <mergeCell ref="AE74:AE76"/>
    <mergeCell ref="AC54:AC56"/>
    <mergeCell ref="AB54:AB56"/>
    <mergeCell ref="AD50:AD51"/>
    <mergeCell ref="AC48:AC49"/>
    <mergeCell ref="AE79:AE80"/>
    <mergeCell ref="AB70:AB72"/>
    <mergeCell ref="AC70:AC72"/>
    <mergeCell ref="AB65:AB66"/>
    <mergeCell ref="AC65:AC66"/>
    <mergeCell ref="AB74:AB76"/>
    <mergeCell ref="AC74:AC76"/>
    <mergeCell ref="AE70:AE72"/>
    <mergeCell ref="AD48:AD49"/>
    <mergeCell ref="AE65:AE66"/>
    <mergeCell ref="AB48:AB49"/>
    <mergeCell ref="AD70:AD72"/>
    <mergeCell ref="AE58:AE60"/>
    <mergeCell ref="AE61:AE64"/>
    <mergeCell ref="Y79:Y80"/>
    <mergeCell ref="AA79:AA80"/>
    <mergeCell ref="AD77:AD80"/>
    <mergeCell ref="V3:V8"/>
    <mergeCell ref="K8:K10"/>
    <mergeCell ref="L8:L10"/>
    <mergeCell ref="AC13:AC14"/>
    <mergeCell ref="M8:M10"/>
    <mergeCell ref="N8:N10"/>
    <mergeCell ref="O8:O10"/>
    <mergeCell ref="P8:P10"/>
    <mergeCell ref="Q8:Q10"/>
    <mergeCell ref="N13:N14"/>
    <mergeCell ref="O13:O14"/>
    <mergeCell ref="P13:P14"/>
    <mergeCell ref="Q13:Q14"/>
    <mergeCell ref="AA13:AA14"/>
    <mergeCell ref="W8:W10"/>
    <mergeCell ref="P15:P16"/>
    <mergeCell ref="AB15:AB16"/>
    <mergeCell ref="AC15:AC16"/>
    <mergeCell ref="X7:X8"/>
    <mergeCell ref="N15:N16"/>
    <mergeCell ref="O15:O16"/>
    <mergeCell ref="K13:K14"/>
    <mergeCell ref="L13:L14"/>
    <mergeCell ref="U9:U18"/>
    <mergeCell ref="V9:V18"/>
    <mergeCell ref="N17:N19"/>
    <mergeCell ref="O17:O19"/>
    <mergeCell ref="P17:P19"/>
    <mergeCell ref="Q18:Q19"/>
    <mergeCell ref="U19:U25"/>
    <mergeCell ref="V19:V25"/>
    <mergeCell ref="X19:X20"/>
    <mergeCell ref="H79:H80"/>
    <mergeCell ref="I79:I80"/>
    <mergeCell ref="J79:J80"/>
    <mergeCell ref="A81:A84"/>
    <mergeCell ref="B81:B84"/>
    <mergeCell ref="C81:C84"/>
    <mergeCell ref="H74:H76"/>
    <mergeCell ref="I74:I76"/>
    <mergeCell ref="J74:J76"/>
    <mergeCell ref="A77:A80"/>
    <mergeCell ref="B77:B80"/>
    <mergeCell ref="C77:C80"/>
    <mergeCell ref="D79:D80"/>
    <mergeCell ref="E79:E80"/>
    <mergeCell ref="F79:F80"/>
    <mergeCell ref="G79:G80"/>
    <mergeCell ref="A70:A76"/>
    <mergeCell ref="B70:B76"/>
    <mergeCell ref="F70:F72"/>
    <mergeCell ref="G70:G72"/>
    <mergeCell ref="H70:H72"/>
    <mergeCell ref="I70:I72"/>
    <mergeCell ref="J70:J72"/>
    <mergeCell ref="C74:C76"/>
    <mergeCell ref="D74:D75"/>
    <mergeCell ref="E74:E75"/>
    <mergeCell ref="F74:F76"/>
    <mergeCell ref="G74:G76"/>
    <mergeCell ref="C70:C72"/>
    <mergeCell ref="D70:D72"/>
    <mergeCell ref="E70:E72"/>
    <mergeCell ref="H43:H44"/>
    <mergeCell ref="B65:B69"/>
    <mergeCell ref="C65:C69"/>
    <mergeCell ref="D65:D66"/>
    <mergeCell ref="E65:E66"/>
    <mergeCell ref="E45:E46"/>
    <mergeCell ref="H52:H53"/>
    <mergeCell ref="F45:F46"/>
    <mergeCell ref="G45:G46"/>
    <mergeCell ref="D45:D46"/>
    <mergeCell ref="I65:I66"/>
    <mergeCell ref="J65:J66"/>
    <mergeCell ref="D67:D68"/>
    <mergeCell ref="E67:E68"/>
    <mergeCell ref="F65:F66"/>
    <mergeCell ref="G65:G66"/>
    <mergeCell ref="I55:I56"/>
    <mergeCell ref="J55:J56"/>
    <mergeCell ref="F55:F56"/>
    <mergeCell ref="G55:G56"/>
    <mergeCell ref="B58:B64"/>
    <mergeCell ref="C58:C64"/>
    <mergeCell ref="D59:D60"/>
    <mergeCell ref="E59:E60"/>
    <mergeCell ref="D61:D62"/>
    <mergeCell ref="E61:E62"/>
    <mergeCell ref="B54:B57"/>
    <mergeCell ref="C54:C57"/>
    <mergeCell ref="D54:D56"/>
    <mergeCell ref="H55:H56"/>
    <mergeCell ref="H65:H66"/>
    <mergeCell ref="J43:J44"/>
    <mergeCell ref="A3:A10"/>
    <mergeCell ref="G36:G38"/>
    <mergeCell ref="F13:F14"/>
    <mergeCell ref="G13:G14"/>
    <mergeCell ref="D31:D32"/>
    <mergeCell ref="G52:G53"/>
    <mergeCell ref="D29:D30"/>
    <mergeCell ref="H36:H38"/>
    <mergeCell ref="I52:I53"/>
    <mergeCell ref="E6:E7"/>
    <mergeCell ref="D8:D10"/>
    <mergeCell ref="E8:E10"/>
    <mergeCell ref="F8:F10"/>
    <mergeCell ref="G8:G10"/>
    <mergeCell ref="I13:I14"/>
    <mergeCell ref="J52:J53"/>
    <mergeCell ref="I45:I46"/>
    <mergeCell ref="J45:J46"/>
    <mergeCell ref="D48:D49"/>
    <mergeCell ref="E48:E49"/>
    <mergeCell ref="D50:D51"/>
    <mergeCell ref="E50:E51"/>
    <mergeCell ref="F50:F51"/>
    <mergeCell ref="G50:G51"/>
    <mergeCell ref="H50:H51"/>
    <mergeCell ref="I50:I51"/>
    <mergeCell ref="J50:J51"/>
    <mergeCell ref="D52:D53"/>
    <mergeCell ref="E52:E53"/>
    <mergeCell ref="F52:F53"/>
    <mergeCell ref="H45:H46"/>
    <mergeCell ref="I43:I44"/>
    <mergeCell ref="A11:A69"/>
    <mergeCell ref="B11:B25"/>
    <mergeCell ref="C11:C25"/>
    <mergeCell ref="D17:D19"/>
    <mergeCell ref="E17:E19"/>
    <mergeCell ref="F18:F19"/>
    <mergeCell ref="G18:G19"/>
    <mergeCell ref="B34:B52"/>
    <mergeCell ref="E54:E56"/>
    <mergeCell ref="D26:D28"/>
    <mergeCell ref="E26:E28"/>
    <mergeCell ref="C34:C52"/>
    <mergeCell ref="D36:D38"/>
    <mergeCell ref="E36:E38"/>
    <mergeCell ref="D43:D44"/>
    <mergeCell ref="E43:E44"/>
    <mergeCell ref="F36:F38"/>
    <mergeCell ref="F43:F44"/>
    <mergeCell ref="G43:G44"/>
    <mergeCell ref="B3:B10"/>
    <mergeCell ref="C3:C10"/>
    <mergeCell ref="D3:D5"/>
    <mergeCell ref="E3:E5"/>
    <mergeCell ref="D6:D7"/>
    <mergeCell ref="E20:E23"/>
    <mergeCell ref="F20:F23"/>
    <mergeCell ref="G20:G23"/>
    <mergeCell ref="H20:H23"/>
    <mergeCell ref="BV26:BV27"/>
    <mergeCell ref="BW26:BW27"/>
    <mergeCell ref="B26:B33"/>
    <mergeCell ref="C26:C33"/>
    <mergeCell ref="H8:H10"/>
    <mergeCell ref="F27:F28"/>
    <mergeCell ref="G27:G28"/>
    <mergeCell ref="H27:H28"/>
    <mergeCell ref="D13:D14"/>
    <mergeCell ref="E13:E14"/>
    <mergeCell ref="H13:H14"/>
    <mergeCell ref="J27:J28"/>
    <mergeCell ref="J18:J19"/>
    <mergeCell ref="J20:J23"/>
    <mergeCell ref="H18:H19"/>
    <mergeCell ref="I8:I10"/>
    <mergeCell ref="J8:J10"/>
    <mergeCell ref="AD3:AD5"/>
    <mergeCell ref="AD6:AD7"/>
    <mergeCell ref="AD8:AD10"/>
    <mergeCell ref="AA8:AA10"/>
    <mergeCell ref="AB8:AB10"/>
    <mergeCell ref="AC8:AC10"/>
    <mergeCell ref="CT1:DA1"/>
    <mergeCell ref="CW6:CW7"/>
    <mergeCell ref="CX6:CX7"/>
    <mergeCell ref="CT8:CT10"/>
    <mergeCell ref="CU8:CU10"/>
    <mergeCell ref="CV8:CV10"/>
    <mergeCell ref="CW8:CW10"/>
    <mergeCell ref="CX8:CX10"/>
    <mergeCell ref="CY8:CY10"/>
    <mergeCell ref="CZ8:CZ10"/>
    <mergeCell ref="DA8:DA10"/>
    <mergeCell ref="CY6:CY7"/>
    <mergeCell ref="D41:D42"/>
    <mergeCell ref="E41:E42"/>
    <mergeCell ref="DB18:DB19"/>
    <mergeCell ref="J13:J14"/>
    <mergeCell ref="I20:I23"/>
    <mergeCell ref="D20:D23"/>
    <mergeCell ref="I36:I38"/>
    <mergeCell ref="I27:I28"/>
    <mergeCell ref="J36:J38"/>
    <mergeCell ref="K3:K7"/>
    <mergeCell ref="L3:L7"/>
    <mergeCell ref="M3:M7"/>
    <mergeCell ref="N3:N7"/>
    <mergeCell ref="O3:O7"/>
    <mergeCell ref="P3:P7"/>
    <mergeCell ref="AB6:AB7"/>
    <mergeCell ref="AC6:AC7"/>
    <mergeCell ref="W3:W5"/>
    <mergeCell ref="W6:W7"/>
    <mergeCell ref="U3:U8"/>
    <mergeCell ref="CW20:CW23"/>
    <mergeCell ref="CX20:CX23"/>
    <mergeCell ref="CY20:CY23"/>
    <mergeCell ref="CZ20:CZ23"/>
    <mergeCell ref="DA20:DA23"/>
    <mergeCell ref="CU26:CU27"/>
    <mergeCell ref="CW26:CW28"/>
    <mergeCell ref="CX26:CX28"/>
    <mergeCell ref="CY26:CY28"/>
    <mergeCell ref="CZ27:CZ28"/>
    <mergeCell ref="DA27:DA28"/>
    <mergeCell ref="CT18:CT19"/>
    <mergeCell ref="CV26:CV27"/>
    <mergeCell ref="DA17:DA19"/>
    <mergeCell ref="CU18:CU19"/>
    <mergeCell ref="CT27:CT28"/>
    <mergeCell ref="DA30:DA31"/>
    <mergeCell ref="CT36:CT38"/>
    <mergeCell ref="CU36:CU38"/>
    <mergeCell ref="CV36:CV38"/>
    <mergeCell ref="CW36:CW38"/>
    <mergeCell ref="CX36:CX38"/>
    <mergeCell ref="CY36:CY38"/>
    <mergeCell ref="CZ36:CZ38"/>
    <mergeCell ref="DA36:DA38"/>
    <mergeCell ref="CT43:CT44"/>
    <mergeCell ref="CU43:CU44"/>
    <mergeCell ref="CV43:CV44"/>
    <mergeCell ref="CW43:CW44"/>
    <mergeCell ref="CX43:CX44"/>
    <mergeCell ref="CY43:CY44"/>
    <mergeCell ref="CZ43:CZ44"/>
    <mergeCell ref="DA43:DA44"/>
    <mergeCell ref="DA54:DA56"/>
    <mergeCell ref="CT55:CT56"/>
    <mergeCell ref="CU55:CU56"/>
    <mergeCell ref="CV55:CV56"/>
    <mergeCell ref="CZ55:CZ56"/>
    <mergeCell ref="CW59:CW60"/>
    <mergeCell ref="CX59:CX60"/>
    <mergeCell ref="CY59:CY60"/>
    <mergeCell ref="CT45:CT46"/>
    <mergeCell ref="CU45:CU46"/>
    <mergeCell ref="CV45:CV46"/>
    <mergeCell ref="CW45:CW46"/>
    <mergeCell ref="CX45:CX46"/>
    <mergeCell ref="CY45:CY46"/>
    <mergeCell ref="CZ45:CZ46"/>
    <mergeCell ref="DA45:DA46"/>
    <mergeCell ref="CW48:CW49"/>
    <mergeCell ref="CX48:CX49"/>
    <mergeCell ref="CY48:CY49"/>
    <mergeCell ref="CT50:CT51"/>
    <mergeCell ref="CU50:CU51"/>
    <mergeCell ref="CV50:CV51"/>
    <mergeCell ref="CW50:CW51"/>
    <mergeCell ref="CX50:CX51"/>
    <mergeCell ref="CY50:CY51"/>
    <mergeCell ref="CZ50:CZ51"/>
    <mergeCell ref="DA50:DA51"/>
    <mergeCell ref="CT79:CT80"/>
    <mergeCell ref="CU79:CU80"/>
    <mergeCell ref="CV79:CV80"/>
    <mergeCell ref="CW79:CW80"/>
    <mergeCell ref="CX79:CX80"/>
    <mergeCell ref="CY79:CY80"/>
    <mergeCell ref="CZ79:CZ80"/>
    <mergeCell ref="DA79:DA80"/>
    <mergeCell ref="CW61:CW62"/>
    <mergeCell ref="CX61:CX62"/>
    <mergeCell ref="CY61:CY62"/>
    <mergeCell ref="CT65:CT66"/>
    <mergeCell ref="CU65:CU66"/>
    <mergeCell ref="CV65:CV66"/>
    <mergeCell ref="CW65:CW66"/>
    <mergeCell ref="CX65:CX66"/>
    <mergeCell ref="CY65:CY66"/>
    <mergeCell ref="CZ65:CZ66"/>
    <mergeCell ref="DA65:DA66"/>
    <mergeCell ref="CT70:CT72"/>
    <mergeCell ref="CU70:CU72"/>
    <mergeCell ref="CV70:CV72"/>
    <mergeCell ref="CW70:CW72"/>
    <mergeCell ref="CX70:CX72"/>
    <mergeCell ref="CY70:CY72"/>
    <mergeCell ref="CZ70:CZ72"/>
    <mergeCell ref="DA70:DA72"/>
    <mergeCell ref="CD1:CK1"/>
    <mergeCell ref="CG6:CG7"/>
    <mergeCell ref="CH6:CH7"/>
    <mergeCell ref="CI6:CI7"/>
    <mergeCell ref="CD8:CD10"/>
    <mergeCell ref="CE8:CE10"/>
    <mergeCell ref="CF8:CF10"/>
    <mergeCell ref="CG8:CG10"/>
    <mergeCell ref="CH8:CH10"/>
    <mergeCell ref="CI8:CI10"/>
    <mergeCell ref="CJ8:CJ10"/>
    <mergeCell ref="CK8:CK10"/>
    <mergeCell ref="DD26:DD27"/>
    <mergeCell ref="CT74:CT76"/>
    <mergeCell ref="CU74:CU76"/>
    <mergeCell ref="CV74:CV76"/>
    <mergeCell ref="CW74:CW76"/>
    <mergeCell ref="CX74:CX76"/>
    <mergeCell ref="CY74:CY76"/>
    <mergeCell ref="CZ74:CZ76"/>
    <mergeCell ref="DA74:DA76"/>
    <mergeCell ref="CT52:CT53"/>
    <mergeCell ref="CU52:CU53"/>
    <mergeCell ref="CV52:CV53"/>
    <mergeCell ref="CW52:CW53"/>
    <mergeCell ref="CX52:CX53"/>
    <mergeCell ref="CY52:CY53"/>
    <mergeCell ref="CZ52:CZ53"/>
    <mergeCell ref="DA52:DA53"/>
    <mergeCell ref="CW54:CW56"/>
    <mergeCell ref="CX54:CX56"/>
    <mergeCell ref="CY54:CY56"/>
    <mergeCell ref="CD13:CD14"/>
    <mergeCell ref="CE13:CE14"/>
    <mergeCell ref="CF13:CF14"/>
    <mergeCell ref="CG13:CG14"/>
    <mergeCell ref="CH13:CH14"/>
    <mergeCell ref="CI13:CI14"/>
    <mergeCell ref="CJ13:CJ14"/>
    <mergeCell ref="CK13:CK14"/>
    <mergeCell ref="CG15:CG16"/>
    <mergeCell ref="CH15:CH16"/>
    <mergeCell ref="CK15:CK16"/>
    <mergeCell ref="CG17:CG19"/>
    <mergeCell ref="CH17:CH19"/>
    <mergeCell ref="CI17:CI19"/>
    <mergeCell ref="CK17:CK19"/>
    <mergeCell ref="CD18:CD19"/>
    <mergeCell ref="CE18:CE19"/>
    <mergeCell ref="CF18:CF19"/>
    <mergeCell ref="CJ18:CJ19"/>
    <mergeCell ref="CD20:CD23"/>
    <mergeCell ref="CE20:CE23"/>
    <mergeCell ref="CF20:CF23"/>
    <mergeCell ref="CG20:CG23"/>
    <mergeCell ref="CH20:CH23"/>
    <mergeCell ref="CI20:CI23"/>
    <mergeCell ref="CJ20:CJ23"/>
    <mergeCell ref="CK20:CK23"/>
    <mergeCell ref="CD26:CD27"/>
    <mergeCell ref="CE26:CE27"/>
    <mergeCell ref="CF26:CF27"/>
    <mergeCell ref="CG26:CG28"/>
    <mergeCell ref="CH26:CH28"/>
    <mergeCell ref="CI26:CI28"/>
    <mergeCell ref="CJ27:CJ28"/>
    <mergeCell ref="CK27:CK28"/>
    <mergeCell ref="CK30:CK31"/>
    <mergeCell ref="CK52:CK53"/>
    <mergeCell ref="CD36:CD38"/>
    <mergeCell ref="CE36:CE38"/>
    <mergeCell ref="CF36:CF38"/>
    <mergeCell ref="CG36:CG38"/>
    <mergeCell ref="CH36:CH38"/>
    <mergeCell ref="CI36:CI38"/>
    <mergeCell ref="CJ36:CJ38"/>
    <mergeCell ref="CK36:CK38"/>
    <mergeCell ref="CD43:CD44"/>
    <mergeCell ref="CE43:CE44"/>
    <mergeCell ref="CF43:CF44"/>
    <mergeCell ref="CG43:CG44"/>
    <mergeCell ref="CH43:CH44"/>
    <mergeCell ref="CI43:CI44"/>
    <mergeCell ref="CJ43:CJ44"/>
    <mergeCell ref="CK43:CK44"/>
    <mergeCell ref="CD45:CD46"/>
    <mergeCell ref="CE45:CE46"/>
    <mergeCell ref="CF45:CF46"/>
    <mergeCell ref="CG45:CG46"/>
    <mergeCell ref="CH45:CH46"/>
    <mergeCell ref="CI45:CI46"/>
    <mergeCell ref="CJ45:CJ46"/>
    <mergeCell ref="CK45:CK46"/>
    <mergeCell ref="CD79:CD80"/>
    <mergeCell ref="CE79:CE80"/>
    <mergeCell ref="CF79:CF80"/>
    <mergeCell ref="CG79:CG80"/>
    <mergeCell ref="CH79:CH80"/>
    <mergeCell ref="CI79:CI80"/>
    <mergeCell ref="CJ79:CJ80"/>
    <mergeCell ref="CK79:CK80"/>
    <mergeCell ref="CG54:CG56"/>
    <mergeCell ref="CH54:CH56"/>
    <mergeCell ref="CI54:CI56"/>
    <mergeCell ref="CK54:CK56"/>
    <mergeCell ref="CD55:CD56"/>
    <mergeCell ref="CE55:CE56"/>
    <mergeCell ref="CF55:CF56"/>
    <mergeCell ref="CJ55:CJ56"/>
    <mergeCell ref="CG59:CG60"/>
    <mergeCell ref="CH59:CH60"/>
    <mergeCell ref="CI59:CI60"/>
    <mergeCell ref="CG61:CG62"/>
    <mergeCell ref="CH61:CH62"/>
    <mergeCell ref="CI61:CI62"/>
    <mergeCell ref="CD65:CD66"/>
    <mergeCell ref="CE65:CE66"/>
    <mergeCell ref="CF65:CF66"/>
    <mergeCell ref="CG65:CG66"/>
    <mergeCell ref="CH65:CH66"/>
    <mergeCell ref="CI65:CI66"/>
    <mergeCell ref="CJ65:CJ66"/>
    <mergeCell ref="CK65:CK66"/>
    <mergeCell ref="CD70:CD72"/>
    <mergeCell ref="CE70:CE72"/>
    <mergeCell ref="CF70:CF72"/>
    <mergeCell ref="CG70:CG72"/>
    <mergeCell ref="CH70:CH72"/>
    <mergeCell ref="CI70:CI72"/>
    <mergeCell ref="CJ70:CJ72"/>
    <mergeCell ref="CK70:CK72"/>
    <mergeCell ref="CD74:CD76"/>
    <mergeCell ref="CE74:CE76"/>
    <mergeCell ref="CF74:CF76"/>
    <mergeCell ref="CG74:CG76"/>
    <mergeCell ref="CH74:CH76"/>
    <mergeCell ref="CI74:CI76"/>
    <mergeCell ref="CJ74:CJ76"/>
    <mergeCell ref="CK74:CK76"/>
    <mergeCell ref="CG48:CG49"/>
    <mergeCell ref="CH48:CH49"/>
    <mergeCell ref="CI48:CI49"/>
    <mergeCell ref="CD50:CD51"/>
    <mergeCell ref="CE50:CE51"/>
    <mergeCell ref="CF50:CF51"/>
    <mergeCell ref="CG50:CG51"/>
    <mergeCell ref="CH50:CH51"/>
    <mergeCell ref="CI50:CI51"/>
    <mergeCell ref="CJ50:CJ51"/>
    <mergeCell ref="CK50:CK51"/>
    <mergeCell ref="CD52:CD53"/>
    <mergeCell ref="CE52:CE53"/>
    <mergeCell ref="CF52:CF53"/>
    <mergeCell ref="CG52:CG53"/>
    <mergeCell ref="CH52:CH53"/>
    <mergeCell ref="CI52:CI53"/>
    <mergeCell ref="CJ52:CJ53"/>
    <mergeCell ref="CL1:CS1"/>
    <mergeCell ref="CO17:CO19"/>
    <mergeCell ref="CP17:CP19"/>
    <mergeCell ref="CQ17:CQ19"/>
    <mergeCell ref="CS17:CS19"/>
    <mergeCell ref="CL18:CL19"/>
    <mergeCell ref="CM18:CM19"/>
    <mergeCell ref="CN18:CN19"/>
    <mergeCell ref="CR18:CR19"/>
    <mergeCell ref="CL20:CL23"/>
    <mergeCell ref="CM20:CM23"/>
    <mergeCell ref="CN20:CN23"/>
    <mergeCell ref="CO20:CO23"/>
    <mergeCell ref="CO6:CO7"/>
    <mergeCell ref="CP6:CP7"/>
    <mergeCell ref="CQ6:CQ7"/>
    <mergeCell ref="CL8:CL10"/>
    <mergeCell ref="CM8:CM10"/>
    <mergeCell ref="CN8:CN10"/>
    <mergeCell ref="CO8:CO10"/>
    <mergeCell ref="CP8:CP10"/>
    <mergeCell ref="CQ8:CQ10"/>
    <mergeCell ref="CR8:CR10"/>
    <mergeCell ref="CS8:CS10"/>
    <mergeCell ref="CL13:CL14"/>
    <mergeCell ref="CM13:CM14"/>
    <mergeCell ref="CN13:CN14"/>
    <mergeCell ref="CO13:CO14"/>
    <mergeCell ref="CP13:CP14"/>
    <mergeCell ref="CQ13:CQ14"/>
    <mergeCell ref="CR13:CR14"/>
    <mergeCell ref="CS13:CS14"/>
    <mergeCell ref="CQ52:CQ53"/>
    <mergeCell ref="CR52:CR53"/>
    <mergeCell ref="CS52:CS53"/>
    <mergeCell ref="CL45:CL46"/>
    <mergeCell ref="CM45:CM46"/>
    <mergeCell ref="CN45:CN46"/>
    <mergeCell ref="CO45:CO46"/>
    <mergeCell ref="CP45:CP46"/>
    <mergeCell ref="CQ45:CQ46"/>
    <mergeCell ref="CR45:CR46"/>
    <mergeCell ref="CS45:CS46"/>
    <mergeCell ref="CL36:CL38"/>
    <mergeCell ref="CM36:CM38"/>
    <mergeCell ref="CN36:CN38"/>
    <mergeCell ref="CO36:CO38"/>
    <mergeCell ref="CP36:CP38"/>
    <mergeCell ref="CQ36:CQ38"/>
    <mergeCell ref="CR36:CR38"/>
    <mergeCell ref="CS36:CS38"/>
    <mergeCell ref="CO48:CO49"/>
    <mergeCell ref="CP48:CP49"/>
    <mergeCell ref="CQ48:CQ49"/>
    <mergeCell ref="CL50:CL51"/>
    <mergeCell ref="CM50:CM51"/>
    <mergeCell ref="CN50:CN51"/>
    <mergeCell ref="CR50:CR51"/>
    <mergeCell ref="CS50:CS51"/>
    <mergeCell ref="CL43:CL44"/>
    <mergeCell ref="CM43:CM44"/>
    <mergeCell ref="CN43:CN44"/>
    <mergeCell ref="CO43:CO44"/>
    <mergeCell ref="CP43:CP44"/>
    <mergeCell ref="CL79:CL80"/>
    <mergeCell ref="CM79:CM80"/>
    <mergeCell ref="CN79:CN80"/>
    <mergeCell ref="CO79:CO80"/>
    <mergeCell ref="CP79:CP80"/>
    <mergeCell ref="CQ79:CQ80"/>
    <mergeCell ref="CR79:CR80"/>
    <mergeCell ref="CS79:CS80"/>
    <mergeCell ref="CO61:CO62"/>
    <mergeCell ref="CP61:CP62"/>
    <mergeCell ref="CQ61:CQ62"/>
    <mergeCell ref="CO59:CO60"/>
    <mergeCell ref="CP59:CP60"/>
    <mergeCell ref="CQ59:CQ60"/>
    <mergeCell ref="CL65:CL66"/>
    <mergeCell ref="CM65:CM66"/>
    <mergeCell ref="CN65:CN66"/>
    <mergeCell ref="CO65:CO66"/>
    <mergeCell ref="CP65:CP66"/>
    <mergeCell ref="CQ65:CQ66"/>
    <mergeCell ref="CR74:CR76"/>
    <mergeCell ref="CS74:CS76"/>
    <mergeCell ref="CR65:CR66"/>
    <mergeCell ref="CQ43:CQ44"/>
    <mergeCell ref="CR43:CR44"/>
    <mergeCell ref="CS43:CS44"/>
    <mergeCell ref="CP20:CP23"/>
    <mergeCell ref="CQ20:CQ23"/>
    <mergeCell ref="CR20:CR23"/>
    <mergeCell ref="CS20:CS23"/>
    <mergeCell ref="CM26:CM27"/>
    <mergeCell ref="CN26:CN27"/>
    <mergeCell ref="CO26:CO28"/>
    <mergeCell ref="CP26:CP28"/>
    <mergeCell ref="CQ26:CQ28"/>
    <mergeCell ref="CL27:CL28"/>
    <mergeCell ref="CR27:CR28"/>
    <mergeCell ref="CS27:CS28"/>
    <mergeCell ref="CS30:CS31"/>
    <mergeCell ref="CO15:CO16"/>
    <mergeCell ref="CP15:CP16"/>
    <mergeCell ref="CS15:CS16"/>
    <mergeCell ref="CO54:CO56"/>
    <mergeCell ref="CP54:CP56"/>
    <mergeCell ref="CQ54:CQ56"/>
    <mergeCell ref="CS54:CS56"/>
    <mergeCell ref="CL55:CL56"/>
    <mergeCell ref="CM55:CM56"/>
    <mergeCell ref="CN55:CN56"/>
    <mergeCell ref="CR55:CR56"/>
    <mergeCell ref="CO50:CO51"/>
    <mergeCell ref="CP50:CP51"/>
    <mergeCell ref="CQ50:CQ51"/>
    <mergeCell ref="CL52:CL53"/>
    <mergeCell ref="CM52:CM53"/>
    <mergeCell ref="CN52:CN53"/>
    <mergeCell ref="CO52:CO53"/>
    <mergeCell ref="CP52:CP53"/>
    <mergeCell ref="CO84:CO85"/>
    <mergeCell ref="CS65:CS66"/>
    <mergeCell ref="CL70:CL72"/>
    <mergeCell ref="CM70:CM72"/>
    <mergeCell ref="CN70:CN72"/>
    <mergeCell ref="CO70:CO72"/>
    <mergeCell ref="CP70:CP72"/>
    <mergeCell ref="CQ70:CQ72"/>
    <mergeCell ref="CR70:CR72"/>
    <mergeCell ref="CS70:CS72"/>
    <mergeCell ref="CL74:CL76"/>
    <mergeCell ref="CM74:CM76"/>
    <mergeCell ref="CN74:CN76"/>
    <mergeCell ref="CO74:CO76"/>
    <mergeCell ref="CP74:CP76"/>
    <mergeCell ref="CQ74:CQ76"/>
  </mergeCells>
  <conditionalFormatting sqref="T3:T84">
    <cfRule type="cellIs" dxfId="84" priority="138" stopIfTrue="1" operator="between">
      <formula>0.8</formula>
      <formula>1.01</formula>
    </cfRule>
    <cfRule type="cellIs" dxfId="83" priority="139" stopIfTrue="1" operator="between">
      <formula>0.7</formula>
      <formula>0.79</formula>
    </cfRule>
    <cfRule type="cellIs" dxfId="82" priority="140" stopIfTrue="1" operator="between">
      <formula>0.6</formula>
      <formula>0.69</formula>
    </cfRule>
    <cfRule type="cellIs" dxfId="81" priority="141" stopIfTrue="1" operator="between">
      <formula>0.4</formula>
      <formula>0.59</formula>
    </cfRule>
    <cfRule type="cellIs" dxfId="80" priority="142" stopIfTrue="1" operator="between">
      <formula>0</formula>
      <formula>0.39</formula>
    </cfRule>
  </conditionalFormatting>
  <conditionalFormatting sqref="AA3:AA84">
    <cfRule type="cellIs" dxfId="79" priority="153" stopIfTrue="1" operator="between">
      <formula>0.8</formula>
      <formula>1.01</formula>
    </cfRule>
    <cfRule type="cellIs" dxfId="78" priority="154" stopIfTrue="1" operator="between">
      <formula>0.7</formula>
      <formula>0.79</formula>
    </cfRule>
    <cfRule type="cellIs" dxfId="77" priority="155" stopIfTrue="1" operator="between">
      <formula>0.6</formula>
      <formula>0.69</formula>
    </cfRule>
    <cfRule type="cellIs" dxfId="76" priority="156" stopIfTrue="1" operator="between">
      <formula>0.4</formula>
      <formula>0.59</formula>
    </cfRule>
    <cfRule type="cellIs" dxfId="75" priority="157" stopIfTrue="1" operator="between">
      <formula>0</formula>
      <formula>0.39</formula>
    </cfRule>
  </conditionalFormatting>
  <conditionalFormatting sqref="AH3:AH84">
    <cfRule type="cellIs" dxfId="74" priority="128" stopIfTrue="1" operator="between">
      <formula>0.8</formula>
      <formula>1.01</formula>
    </cfRule>
    <cfRule type="cellIs" dxfId="73" priority="129" stopIfTrue="1" operator="between">
      <formula>0.7</formula>
      <formula>0.79</formula>
    </cfRule>
    <cfRule type="cellIs" dxfId="72" priority="130" stopIfTrue="1" operator="between">
      <formula>0.6</formula>
      <formula>0.69</formula>
    </cfRule>
    <cfRule type="cellIs" dxfId="71" priority="131" stopIfTrue="1" operator="between">
      <formula>0.4</formula>
      <formula>0.59</formula>
    </cfRule>
    <cfRule type="cellIs" dxfId="70" priority="132" stopIfTrue="1" operator="between">
      <formula>0</formula>
      <formula>0.39</formula>
    </cfRule>
  </conditionalFormatting>
  <conditionalFormatting sqref="AO3:AO84">
    <cfRule type="cellIs" dxfId="69" priority="133" stopIfTrue="1" operator="between">
      <formula>0.8</formula>
      <formula>1.01</formula>
    </cfRule>
    <cfRule type="cellIs" dxfId="68" priority="134" stopIfTrue="1" operator="between">
      <formula>0.7</formula>
      <formula>0.79</formula>
    </cfRule>
    <cfRule type="cellIs" dxfId="67" priority="135" stopIfTrue="1" operator="between">
      <formula>0.6</formula>
      <formula>0.69</formula>
    </cfRule>
    <cfRule type="cellIs" dxfId="66" priority="136" stopIfTrue="1" operator="between">
      <formula>0.4</formula>
      <formula>0.59</formula>
    </cfRule>
    <cfRule type="cellIs" dxfId="65" priority="137" stopIfTrue="1" operator="between">
      <formula>0</formula>
      <formula>0.39</formula>
    </cfRule>
  </conditionalFormatting>
  <conditionalFormatting sqref="AV3:AV84">
    <cfRule type="cellIs" dxfId="64" priority="118" stopIfTrue="1" operator="between">
      <formula>0.8</formula>
      <formula>1.01</formula>
    </cfRule>
    <cfRule type="cellIs" dxfId="63" priority="119" stopIfTrue="1" operator="between">
      <formula>0.7</formula>
      <formula>0.79</formula>
    </cfRule>
    <cfRule type="cellIs" dxfId="62" priority="120" stopIfTrue="1" operator="between">
      <formula>0.6</formula>
      <formula>0.69</formula>
    </cfRule>
    <cfRule type="cellIs" dxfId="61" priority="121" stopIfTrue="1" operator="between">
      <formula>0.4</formula>
      <formula>0.59</formula>
    </cfRule>
    <cfRule type="cellIs" dxfId="60" priority="122" stopIfTrue="1" operator="between">
      <formula>0</formula>
      <formula>0.39</formula>
    </cfRule>
  </conditionalFormatting>
  <conditionalFormatting sqref="BC3:BC84">
    <cfRule type="cellIs" dxfId="59" priority="123" stopIfTrue="1" operator="between">
      <formula>0.8</formula>
      <formula>1.01</formula>
    </cfRule>
    <cfRule type="cellIs" dxfId="58" priority="124" stopIfTrue="1" operator="between">
      <formula>0.7</formula>
      <formula>0.79</formula>
    </cfRule>
    <cfRule type="cellIs" dxfId="57" priority="125" stopIfTrue="1" operator="between">
      <formula>0.6</formula>
      <formula>0.69</formula>
    </cfRule>
    <cfRule type="cellIs" dxfId="56" priority="126" stopIfTrue="1" operator="between">
      <formula>0.4</formula>
      <formula>0.59</formula>
    </cfRule>
    <cfRule type="cellIs" dxfId="55" priority="127" stopIfTrue="1" operator="between">
      <formula>0</formula>
      <formula>0.39</formula>
    </cfRule>
  </conditionalFormatting>
  <conditionalFormatting sqref="BJ3:BJ84">
    <cfRule type="cellIs" dxfId="54" priority="103" operator="between">
      <formula>0.8</formula>
      <formula>1.01</formula>
    </cfRule>
    <cfRule type="cellIs" dxfId="53" priority="104" operator="between">
      <formula>0.7</formula>
      <formula>0.79</formula>
    </cfRule>
    <cfRule type="cellIs" dxfId="52" priority="105" operator="between">
      <formula>0.6</formula>
      <formula>0.69</formula>
    </cfRule>
    <cfRule type="cellIs" dxfId="51" priority="106" operator="between">
      <formula>0.4</formula>
      <formula>0.59</formula>
    </cfRule>
    <cfRule type="cellIs" dxfId="50" priority="107" operator="between">
      <formula>0</formula>
      <formula>0.39</formula>
    </cfRule>
  </conditionalFormatting>
  <conditionalFormatting sqref="BQ3:BQ84">
    <cfRule type="cellIs" dxfId="49" priority="98" stopIfTrue="1" operator="between">
      <formula>0.8</formula>
      <formula>1.01</formula>
    </cfRule>
    <cfRule type="cellIs" dxfId="48" priority="99" stopIfTrue="1" operator="between">
      <formula>0.7</formula>
      <formula>0.79</formula>
    </cfRule>
    <cfRule type="cellIs" dxfId="47" priority="100" stopIfTrue="1" operator="between">
      <formula>0.6</formula>
      <formula>0.69</formula>
    </cfRule>
    <cfRule type="cellIs" dxfId="46" priority="101" stopIfTrue="1" operator="between">
      <formula>0.4</formula>
      <formula>0.59</formula>
    </cfRule>
    <cfRule type="cellIs" dxfId="45" priority="102" stopIfTrue="1" operator="between">
      <formula>0</formula>
      <formula>0.39</formula>
    </cfRule>
  </conditionalFormatting>
  <conditionalFormatting sqref="BX3:BX84">
    <cfRule type="cellIs" dxfId="44" priority="93" stopIfTrue="1" operator="between">
      <formula>0.8</formula>
      <formula>1.01</formula>
    </cfRule>
    <cfRule type="cellIs" dxfId="43" priority="94" stopIfTrue="1" operator="between">
      <formula>0.7</formula>
      <formula>0.79</formula>
    </cfRule>
    <cfRule type="cellIs" dxfId="42" priority="95" stopIfTrue="1" operator="between">
      <formula>0.6</formula>
      <formula>0.69</formula>
    </cfRule>
    <cfRule type="cellIs" dxfId="41" priority="96" stopIfTrue="1" operator="between">
      <formula>0.4</formula>
      <formula>0.59</formula>
    </cfRule>
    <cfRule type="cellIs" dxfId="40" priority="97" stopIfTrue="1" operator="between">
      <formula>0</formula>
      <formula>0.39</formula>
    </cfRule>
  </conditionalFormatting>
  <conditionalFormatting sqref="CA1 CA85:CA1048576">
    <cfRule type="cellIs" priority="62" operator="between">
      <formula>1</formula>
      <formula>100</formula>
    </cfRule>
  </conditionalFormatting>
  <conditionalFormatting sqref="CA3:CA84">
    <cfRule type="cellIs" dxfId="39" priority="57" operator="between">
      <formula>0.8</formula>
      <formula>1</formula>
    </cfRule>
    <cfRule type="cellIs" dxfId="38" priority="58" operator="between">
      <formula>0.7</formula>
      <formula>0.79</formula>
    </cfRule>
    <cfRule type="cellIs" dxfId="37" priority="59" operator="between">
      <formula>0.6</formula>
      <formula>0.69</formula>
    </cfRule>
    <cfRule type="cellIs" dxfId="36" priority="60" operator="between">
      <formula>0.4</formula>
      <formula>0.59</formula>
    </cfRule>
    <cfRule type="cellIs" dxfId="35" priority="61" stopIfTrue="1" operator="between">
      <formula>0</formula>
      <formula>0.39</formula>
    </cfRule>
  </conditionalFormatting>
  <conditionalFormatting sqref="CF3:CF26 CF28:CF84">
    <cfRule type="cellIs" dxfId="34" priority="19" stopIfTrue="1" operator="between">
      <formula>0.8</formula>
      <formula>1.01</formula>
    </cfRule>
    <cfRule type="cellIs" dxfId="33" priority="20" stopIfTrue="1" operator="between">
      <formula>0.7</formula>
      <formula>0.79</formula>
    </cfRule>
    <cfRule type="cellIs" dxfId="32" priority="21" stopIfTrue="1" operator="between">
      <formula>0.6</formula>
      <formula>0.69</formula>
    </cfRule>
    <cfRule type="cellIs" dxfId="31" priority="22" stopIfTrue="1" operator="between">
      <formula>0.4</formula>
      <formula>0.59</formula>
    </cfRule>
    <cfRule type="cellIs" dxfId="30" priority="23" stopIfTrue="1" operator="between">
      <formula>0</formula>
      <formula>0.39</formula>
    </cfRule>
  </conditionalFormatting>
  <conditionalFormatting sqref="CI1">
    <cfRule type="cellIs" priority="24" operator="between">
      <formula>1</formula>
      <formula>100</formula>
    </cfRule>
  </conditionalFormatting>
  <conditionalFormatting sqref="CI3:CI6 CI8:CI84">
    <cfRule type="cellIs" dxfId="29" priority="13" operator="between">
      <formula>0.8</formula>
      <formula>1</formula>
    </cfRule>
    <cfRule type="cellIs" dxfId="28" priority="14" operator="between">
      <formula>0.7</formula>
      <formula>0.79</formula>
    </cfRule>
    <cfRule type="cellIs" dxfId="27" priority="15" operator="between">
      <formula>0.6</formula>
      <formula>0.69</formula>
    </cfRule>
    <cfRule type="cellIs" dxfId="26" priority="16" operator="between">
      <formula>0.4</formula>
      <formula>0.59</formula>
    </cfRule>
    <cfRule type="cellIs" dxfId="25" priority="17" stopIfTrue="1" operator="between">
      <formula>0</formula>
      <formula>0.39</formula>
    </cfRule>
  </conditionalFormatting>
  <conditionalFormatting sqref="CI85:CI86">
    <cfRule type="cellIs" priority="18" operator="between">
      <formula>1</formula>
      <formula>100</formula>
    </cfRule>
  </conditionalFormatting>
  <conditionalFormatting sqref="CN3:CN26 CN28:CN84">
    <cfRule type="cellIs" dxfId="24" priority="8" stopIfTrue="1" operator="between">
      <formula>0.8</formula>
      <formula>1.01</formula>
    </cfRule>
    <cfRule type="cellIs" dxfId="23" priority="9" stopIfTrue="1" operator="between">
      <formula>0.7</formula>
      <formula>0.79</formula>
    </cfRule>
    <cfRule type="cellIs" dxfId="22" priority="10" stopIfTrue="1" operator="between">
      <formula>0.6</formula>
      <formula>0.69</formula>
    </cfRule>
    <cfRule type="cellIs" dxfId="21" priority="11" stopIfTrue="1" operator="between">
      <formula>0.4</formula>
      <formula>0.59</formula>
    </cfRule>
    <cfRule type="cellIs" dxfId="20" priority="12" stopIfTrue="1" operator="between">
      <formula>0</formula>
      <formula>0.39</formula>
    </cfRule>
  </conditionalFormatting>
  <conditionalFormatting sqref="CQ1:CQ2">
    <cfRule type="cellIs" priority="1" operator="between">
      <formula>1</formula>
      <formula>100</formula>
    </cfRule>
  </conditionalFormatting>
  <conditionalFormatting sqref="CQ3:CQ6 CQ8:CQ84">
    <cfRule type="cellIs" dxfId="19" priority="2" operator="between">
      <formula>0.8</formula>
      <formula>1</formula>
    </cfRule>
    <cfRule type="cellIs" dxfId="18" priority="3" operator="between">
      <formula>0.7</formula>
      <formula>0.79</formula>
    </cfRule>
    <cfRule type="cellIs" dxfId="17" priority="4" operator="between">
      <formula>0.6</formula>
      <formula>0.69</formula>
    </cfRule>
    <cfRule type="cellIs" dxfId="16" priority="5" operator="between">
      <formula>0.4</formula>
      <formula>0.59</formula>
    </cfRule>
    <cfRule type="cellIs" dxfId="15" priority="6" stopIfTrue="1" operator="between">
      <formula>0</formula>
      <formula>0.39</formula>
    </cfRule>
  </conditionalFormatting>
  <conditionalFormatting sqref="CQ85">
    <cfRule type="cellIs" priority="7" operator="between">
      <formula>1</formula>
      <formula>100</formula>
    </cfRule>
  </conditionalFormatting>
  <conditionalFormatting sqref="CV3:CV26 CV28:CV84">
    <cfRule type="cellIs" dxfId="14" priority="41" stopIfTrue="1" operator="between">
      <formula>0.8</formula>
      <formula>1.01</formula>
    </cfRule>
    <cfRule type="cellIs" dxfId="13" priority="42" stopIfTrue="1" operator="between">
      <formula>0.7</formula>
      <formula>0.79</formula>
    </cfRule>
    <cfRule type="cellIs" dxfId="12" priority="43" stopIfTrue="1" operator="between">
      <formula>0.6</formula>
      <formula>0.69</formula>
    </cfRule>
    <cfRule type="cellIs" dxfId="11" priority="44" stopIfTrue="1" operator="between">
      <formula>0.4</formula>
      <formula>0.59</formula>
    </cfRule>
    <cfRule type="cellIs" dxfId="10" priority="45" stopIfTrue="1" operator="between">
      <formula>0</formula>
      <formula>0.39</formula>
    </cfRule>
  </conditionalFormatting>
  <conditionalFormatting sqref="CY1">
    <cfRule type="cellIs" priority="51" operator="between">
      <formula>1</formula>
      <formula>100</formula>
    </cfRule>
  </conditionalFormatting>
  <conditionalFormatting sqref="CY3:CY6 CY8:CY84">
    <cfRule type="cellIs" dxfId="9" priority="25" operator="between">
      <formula>0.8</formula>
      <formula>1</formula>
    </cfRule>
    <cfRule type="cellIs" dxfId="8" priority="26" operator="between">
      <formula>0.7</formula>
      <formula>0.79</formula>
    </cfRule>
    <cfRule type="cellIs" dxfId="7" priority="27" operator="between">
      <formula>0.6</formula>
      <formula>0.69</formula>
    </cfRule>
    <cfRule type="cellIs" dxfId="6" priority="28" operator="between">
      <formula>0.4</formula>
      <formula>0.59</formula>
    </cfRule>
    <cfRule type="cellIs" dxfId="5" priority="29" stopIfTrue="1" operator="between">
      <formula>0</formula>
      <formula>0.39</formula>
    </cfRule>
  </conditionalFormatting>
  <conditionalFormatting sqref="CY85:CY86">
    <cfRule type="cellIs" priority="35" operator="between">
      <formula>1</formula>
      <formula>100</formula>
    </cfRule>
  </conditionalFormatting>
  <conditionalFormatting sqref="DD3:DD6 DD8:DD15 DD17 DD20:DD26 DD29:DD48 DD50:DD54 DD57:DD59 DD61 DD63:DD84">
    <cfRule type="cellIs" dxfId="4" priority="36" stopIfTrue="1" operator="between">
      <formula>0.8</formula>
      <formula>1.01</formula>
    </cfRule>
    <cfRule type="cellIs" dxfId="3" priority="37" stopIfTrue="1" operator="between">
      <formula>0.7</formula>
      <formula>0.79</formula>
    </cfRule>
    <cfRule type="cellIs" dxfId="2" priority="38" stopIfTrue="1" operator="between">
      <formula>0.6</formula>
      <formula>0.69</formula>
    </cfRule>
    <cfRule type="cellIs" dxfId="1" priority="39" stopIfTrue="1" operator="between">
      <formula>0.4</formula>
      <formula>0.59</formula>
    </cfRule>
    <cfRule type="cellIs" dxfId="0" priority="40" stopIfTrue="1" operator="between">
      <formula>0</formula>
      <formula>0.39</formula>
    </cfRule>
  </conditionalFormatting>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zoomScaleNormal="100" workbookViewId="0">
      <selection activeCell="B10" sqref="B10"/>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270</v>
      </c>
      <c r="B2" s="6" t="s">
        <v>271</v>
      </c>
    </row>
    <row r="3" spans="1:4" ht="15.75" thickBot="1" x14ac:dyDescent="0.3">
      <c r="A3" s="7" t="s">
        <v>392</v>
      </c>
      <c r="B3" s="8">
        <v>17</v>
      </c>
      <c r="D3" s="157"/>
    </row>
    <row r="4" spans="1:4" ht="15.75" thickBot="1" x14ac:dyDescent="0.3">
      <c r="A4" s="9" t="s">
        <v>386</v>
      </c>
      <c r="B4" s="8">
        <v>8</v>
      </c>
      <c r="D4" s="157"/>
    </row>
    <row r="5" spans="1:4" ht="15.75" thickBot="1" x14ac:dyDescent="0.3">
      <c r="A5" s="10" t="s">
        <v>387</v>
      </c>
      <c r="B5" s="8">
        <v>3</v>
      </c>
      <c r="D5" s="157"/>
    </row>
    <row r="6" spans="1:4" ht="15.75" thickBot="1" x14ac:dyDescent="0.3">
      <c r="A6" s="11" t="s">
        <v>388</v>
      </c>
      <c r="B6" s="8">
        <v>1</v>
      </c>
      <c r="D6" s="157"/>
    </row>
    <row r="7" spans="1:4" ht="15.75" thickBot="1" x14ac:dyDescent="0.3">
      <c r="A7" s="12" t="s">
        <v>389</v>
      </c>
      <c r="B7" s="8">
        <v>32</v>
      </c>
      <c r="D7" s="157"/>
    </row>
    <row r="9" spans="1:4" x14ac:dyDescent="0.25">
      <c r="B9" s="4">
        <f>SUM(B3:B7)</f>
        <v>61</v>
      </c>
    </row>
    <row r="27" spans="1:9" ht="15.75" thickBot="1" x14ac:dyDescent="0.3"/>
    <row r="28" spans="1:9" ht="15.75" customHeight="1" thickBot="1" x14ac:dyDescent="0.3">
      <c r="A28" s="749" t="s">
        <v>394</v>
      </c>
      <c r="B28" s="751" t="s">
        <v>395</v>
      </c>
      <c r="C28" s="751" t="s">
        <v>0</v>
      </c>
      <c r="D28" s="753" t="s">
        <v>904</v>
      </c>
      <c r="E28" s="754"/>
      <c r="F28" s="754"/>
      <c r="G28" s="754"/>
      <c r="H28" s="754"/>
      <c r="I28" s="755"/>
    </row>
    <row r="29" spans="1:9" ht="31.5" customHeight="1" thickBot="1" x14ac:dyDescent="0.3">
      <c r="A29" s="750"/>
      <c r="B29" s="752"/>
      <c r="C29" s="752"/>
      <c r="D29" s="17" t="s">
        <v>385</v>
      </c>
      <c r="E29" s="17" t="s">
        <v>386</v>
      </c>
      <c r="F29" s="17" t="s">
        <v>387</v>
      </c>
      <c r="G29" s="17" t="s">
        <v>388</v>
      </c>
      <c r="H29" s="17" t="s">
        <v>389</v>
      </c>
      <c r="I29" s="18" t="s">
        <v>390</v>
      </c>
    </row>
    <row r="30" spans="1:9" ht="26.25" thickBot="1" x14ac:dyDescent="0.3">
      <c r="A30" s="19">
        <v>1</v>
      </c>
      <c r="B30" s="20" t="s">
        <v>1</v>
      </c>
      <c r="C30" s="21">
        <v>6</v>
      </c>
      <c r="D30" s="22">
        <v>2</v>
      </c>
      <c r="E30" s="23"/>
      <c r="F30" s="13"/>
      <c r="G30" s="24">
        <v>1</v>
      </c>
      <c r="H30" s="25">
        <v>3</v>
      </c>
      <c r="I30" s="26">
        <f>SUM(D30:H30)</f>
        <v>6</v>
      </c>
    </row>
    <row r="31" spans="1:9" ht="29.25" customHeight="1" thickBot="1" x14ac:dyDescent="0.3">
      <c r="A31" s="19">
        <v>2</v>
      </c>
      <c r="B31" s="20" t="s">
        <v>18</v>
      </c>
      <c r="C31" s="21">
        <v>44</v>
      </c>
      <c r="D31" s="22">
        <v>14</v>
      </c>
      <c r="E31" s="23">
        <v>6</v>
      </c>
      <c r="F31" s="27">
        <v>3</v>
      </c>
      <c r="G31" s="24"/>
      <c r="H31" s="25">
        <v>22</v>
      </c>
      <c r="I31" s="26">
        <f>SUM(D31:H31)</f>
        <v>45</v>
      </c>
    </row>
    <row r="32" spans="1:9" ht="26.25" thickBot="1" x14ac:dyDescent="0.3">
      <c r="A32" s="19">
        <v>3</v>
      </c>
      <c r="B32" s="20" t="s">
        <v>195</v>
      </c>
      <c r="C32" s="21">
        <v>4</v>
      </c>
      <c r="D32" s="22">
        <v>1</v>
      </c>
      <c r="E32" s="23">
        <v>1</v>
      </c>
      <c r="F32" s="27"/>
      <c r="G32" s="24"/>
      <c r="H32" s="25">
        <v>1</v>
      </c>
      <c r="I32" s="26">
        <f t="shared" ref="I32:I34" si="0">SUM(D32:H32)</f>
        <v>3</v>
      </c>
    </row>
    <row r="33" spans="1:9" ht="26.25" thickBot="1" x14ac:dyDescent="0.3">
      <c r="A33" s="19">
        <v>4</v>
      </c>
      <c r="B33" s="20" t="s">
        <v>212</v>
      </c>
      <c r="C33" s="21">
        <v>3</v>
      </c>
      <c r="D33" s="22"/>
      <c r="E33" s="23">
        <v>1</v>
      </c>
      <c r="F33" s="13"/>
      <c r="G33" s="24"/>
      <c r="H33" s="25">
        <v>2</v>
      </c>
      <c r="I33" s="26">
        <f t="shared" si="0"/>
        <v>3</v>
      </c>
    </row>
    <row r="34" spans="1:9" ht="26.25" thickBot="1" x14ac:dyDescent="0.3">
      <c r="A34" s="19">
        <v>5</v>
      </c>
      <c r="B34" s="20" t="s">
        <v>391</v>
      </c>
      <c r="C34" s="21">
        <v>4</v>
      </c>
      <c r="D34" s="46"/>
      <c r="E34" s="23"/>
      <c r="F34" s="27"/>
      <c r="G34" s="24"/>
      <c r="H34" s="25">
        <v>4</v>
      </c>
      <c r="I34" s="26">
        <f t="shared" si="0"/>
        <v>4</v>
      </c>
    </row>
    <row r="35" spans="1:9" ht="15.75" thickBot="1" x14ac:dyDescent="0.3">
      <c r="A35" s="756" t="s">
        <v>396</v>
      </c>
      <c r="B35" s="757"/>
      <c r="C35" s="758"/>
      <c r="D35" s="28">
        <f>SUM(D30:D34)</f>
        <v>17</v>
      </c>
      <c r="E35" s="28">
        <f t="shared" ref="E35:G35" si="1">SUM(E30:E34)</f>
        <v>8</v>
      </c>
      <c r="F35" s="28">
        <f t="shared" si="1"/>
        <v>3</v>
      </c>
      <c r="G35" s="28">
        <f t="shared" si="1"/>
        <v>1</v>
      </c>
      <c r="H35" s="28">
        <f>SUM(H30:H34)</f>
        <v>32</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2024-11-26T15:58:06Z</dcterms:modified>
</cp:coreProperties>
</file>