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4\2 CPSP 2018\11. SGTO Familia\Seguimiento Familia II trimestre\Ajustado\"/>
    </mc:Choice>
  </mc:AlternateContent>
  <xr:revisionPtr revIDLastSave="0" documentId="13_ncr:1_{4D1C69E6-DE26-446A-A931-259CA4672B3A}" xr6:coauthVersionLast="47" xr6:coauthVersionMax="47" xr10:uidLastSave="{00000000-0000-0000-0000-000000000000}"/>
  <bookViews>
    <workbookView xWindow="-120" yWindow="-120" windowWidth="20730" windowHeight="11160" xr2:uid="{00000000-000D-0000-FFFF-FFFF00000000}"/>
  </bookViews>
  <sheets>
    <sheet name="Matriz Seguimiento" sheetId="2" r:id="rId1"/>
    <sheet name="GRAFICOS" sheetId="4" r:id="rId2"/>
  </sheets>
  <definedNames>
    <definedName name="_xlnm._FilterDatabase" localSheetId="0" hidden="1">'Matriz Seguimiento'!$A$1:$AV$42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0" i="2" l="1"/>
  <c r="AT6" i="2"/>
  <c r="AT22" i="2" l="1"/>
  <c r="AT18" i="2"/>
  <c r="AT17" i="2"/>
  <c r="AT21" i="2"/>
  <c r="AT23" i="2"/>
  <c r="AT26" i="2"/>
  <c r="AT27" i="2"/>
  <c r="AT29" i="2"/>
  <c r="AT30" i="2"/>
  <c r="AT33" i="2"/>
  <c r="AT35" i="2"/>
  <c r="AT11" i="2" l="1"/>
  <c r="AT13" i="2"/>
  <c r="AT15" i="2"/>
  <c r="AQ21" i="2"/>
  <c r="AQ22" i="2"/>
  <c r="AQ24" i="2"/>
  <c r="AN41" i="2" l="1"/>
  <c r="AN40" i="2"/>
  <c r="AN39" i="2"/>
  <c r="AQ36" i="2"/>
  <c r="AN36" i="2"/>
  <c r="AQ35" i="2"/>
  <c r="AN35" i="2"/>
  <c r="AQ34" i="2"/>
  <c r="AN34" i="2"/>
  <c r="AQ33" i="2"/>
  <c r="AN33" i="2"/>
  <c r="AN32" i="2"/>
  <c r="AN31" i="2"/>
  <c r="AN30" i="2"/>
  <c r="AQ28" i="2"/>
  <c r="AN28" i="2"/>
  <c r="AQ27" i="2"/>
  <c r="AN27" i="2"/>
  <c r="AQ26" i="2"/>
  <c r="AN26" i="2"/>
  <c r="AQ25" i="2"/>
  <c r="AN25" i="2"/>
  <c r="AN24" i="2"/>
  <c r="AQ23" i="2"/>
  <c r="AN23" i="2"/>
  <c r="AN22" i="2"/>
  <c r="AN21" i="2"/>
  <c r="AQ20" i="2"/>
  <c r="AN20" i="2"/>
  <c r="AQ19" i="2"/>
  <c r="AN19" i="2"/>
  <c r="AQ18" i="2"/>
  <c r="AN18" i="2"/>
  <c r="AQ17" i="2"/>
  <c r="AN17" i="2"/>
  <c r="AQ16" i="2"/>
  <c r="AN16" i="2"/>
  <c r="AQ15" i="2"/>
  <c r="AN15" i="2"/>
  <c r="AQ14" i="2"/>
  <c r="AN14" i="2"/>
  <c r="AN13" i="2"/>
  <c r="AN12" i="2"/>
  <c r="AN11" i="2"/>
  <c r="AQ10" i="2"/>
  <c r="AN10" i="2"/>
  <c r="AN9" i="2"/>
  <c r="AQ8" i="2"/>
  <c r="AN8" i="2"/>
  <c r="AQ6" i="2"/>
  <c r="AN6" i="2"/>
  <c r="AQ5" i="2"/>
  <c r="AN5" i="2"/>
  <c r="AN4" i="2"/>
  <c r="AG23" i="2"/>
  <c r="AG6" i="2"/>
  <c r="AJ35" i="2"/>
  <c r="AJ33" i="2"/>
  <c r="AG21" i="2" l="1"/>
  <c r="AG10" i="2" l="1"/>
  <c r="Z39" i="2"/>
  <c r="AU15" i="2"/>
  <c r="AC15" i="2" l="1"/>
  <c r="AC14" i="2"/>
  <c r="AC5" i="2" l="1"/>
  <c r="Z5" i="2"/>
  <c r="AU18" i="2"/>
  <c r="AU17" i="2"/>
  <c r="AU10" i="2"/>
  <c r="AJ8" i="2"/>
  <c r="AJ15" i="2"/>
  <c r="AJ17" i="2"/>
  <c r="AJ18" i="2"/>
  <c r="AJ19" i="2"/>
  <c r="AJ22" i="2"/>
  <c r="AJ26" i="2"/>
  <c r="AJ27" i="2"/>
  <c r="AJ28" i="2"/>
  <c r="AJ36" i="2"/>
  <c r="G46" i="4"/>
  <c r="F46" i="4"/>
  <c r="E46" i="4"/>
  <c r="D46" i="4"/>
  <c r="C46" i="4"/>
  <c r="O27" i="4"/>
  <c r="N27" i="4"/>
  <c r="M27" i="4"/>
  <c r="L27" i="4"/>
  <c r="K27" i="4"/>
  <c r="G27" i="4"/>
  <c r="F27" i="4"/>
  <c r="E27" i="4"/>
  <c r="D27" i="4"/>
  <c r="C27" i="4"/>
  <c r="O16" i="4"/>
  <c r="N16" i="4"/>
  <c r="M16" i="4"/>
  <c r="L16" i="4"/>
  <c r="K16" i="4"/>
  <c r="G16" i="4"/>
  <c r="F16" i="4"/>
  <c r="E16" i="4"/>
  <c r="D16" i="4"/>
  <c r="C16" i="4"/>
  <c r="AG20" i="2"/>
  <c r="AI34" i="2"/>
  <c r="AH34" i="2"/>
  <c r="AI23" i="2"/>
  <c r="AH23" i="2"/>
  <c r="AJ34" i="2" l="1"/>
  <c r="AJ23" i="2"/>
  <c r="AU26" i="2"/>
  <c r="AJ24" i="2" l="1"/>
  <c r="AU22" i="2" l="1"/>
  <c r="AU21" i="2" l="1"/>
  <c r="AU20" i="2"/>
  <c r="AU41" i="2" l="1"/>
  <c r="AI25" i="2" l="1"/>
  <c r="AH25" i="2"/>
  <c r="AU28" i="2"/>
  <c r="AU29" i="2"/>
  <c r="AU30" i="2"/>
  <c r="AU31" i="2"/>
  <c r="AU32" i="2"/>
  <c r="AU33" i="2"/>
  <c r="AU34" i="2"/>
  <c r="AU35" i="2"/>
  <c r="AU36" i="2"/>
  <c r="AU37" i="2"/>
  <c r="AU38" i="2"/>
  <c r="AU39" i="2"/>
  <c r="AU40" i="2"/>
  <c r="AU42" i="2"/>
  <c r="AU27" i="2"/>
  <c r="AU23" i="2"/>
  <c r="AU16" i="2"/>
  <c r="AJ25" i="2" l="1"/>
  <c r="AU14" i="2"/>
  <c r="AU13" i="2"/>
  <c r="AU6" i="2"/>
  <c r="AI5" i="2" l="1"/>
  <c r="AH5" i="2"/>
  <c r="AJ5" i="2" l="1"/>
  <c r="AI14" i="2"/>
  <c r="AH14" i="2"/>
  <c r="AI16" i="2"/>
  <c r="AH16" i="2"/>
  <c r="AJ16" i="2" l="1"/>
  <c r="AJ14" i="2"/>
  <c r="AG41" i="2"/>
  <c r="AG39" i="2"/>
  <c r="AI20" i="2" l="1"/>
  <c r="AH20" i="2"/>
  <c r="AI10" i="2"/>
  <c r="AH10" i="2"/>
  <c r="AH6" i="2"/>
  <c r="AI6" i="2"/>
  <c r="AJ6" i="2" l="1"/>
  <c r="AJ10" i="2"/>
  <c r="AJ20" i="2"/>
  <c r="AG4" i="2"/>
  <c r="AG8" i="2"/>
  <c r="AG9" i="2"/>
  <c r="AG11" i="2"/>
  <c r="AG12" i="2"/>
  <c r="AG13" i="2"/>
  <c r="AG14" i="2"/>
  <c r="AG15" i="2"/>
  <c r="AG16" i="2"/>
  <c r="AG17" i="2"/>
  <c r="AG18" i="2"/>
  <c r="AG19" i="2"/>
  <c r="AG22" i="2"/>
  <c r="AG24" i="2"/>
  <c r="AG25" i="2"/>
  <c r="AG26" i="2"/>
  <c r="AG27" i="2"/>
  <c r="AG28" i="2"/>
  <c r="AG30" i="2"/>
  <c r="AG31" i="2"/>
  <c r="AG32" i="2"/>
  <c r="AG33" i="2"/>
  <c r="AG34" i="2"/>
  <c r="AG35" i="2"/>
  <c r="AG36" i="2"/>
  <c r="AG40" i="2"/>
  <c r="AG5" i="2"/>
  <c r="AC29" i="2" l="1"/>
  <c r="AC26" i="2"/>
  <c r="AB35" i="2" l="1"/>
  <c r="AA35" i="2"/>
  <c r="AC23" i="2" l="1"/>
  <c r="AA24" i="2"/>
  <c r="Z14" i="2"/>
  <c r="Z22" i="2" l="1"/>
  <c r="Z38" i="2"/>
  <c r="Z36" i="2"/>
  <c r="AA6" i="2" l="1"/>
  <c r="AB18" i="2"/>
  <c r="AA18"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N8" i="2"/>
  <c r="N9" i="2"/>
  <c r="N10" i="2"/>
  <c r="N11" i="2"/>
  <c r="N12" i="2"/>
  <c r="N13" i="2"/>
  <c r="N14" i="2"/>
  <c r="N15" i="2"/>
  <c r="N17" i="2"/>
  <c r="N18" i="2"/>
  <c r="N19" i="2"/>
  <c r="N20" i="2"/>
  <c r="N21" i="2"/>
  <c r="N22" i="2"/>
  <c r="N23" i="2"/>
  <c r="N24" i="2"/>
  <c r="N25" i="2"/>
  <c r="N26" i="2"/>
  <c r="N27" i="2"/>
  <c r="N28" i="2"/>
  <c r="N29" i="2"/>
  <c r="N30" i="2"/>
  <c r="N31" i="2"/>
  <c r="N32" i="2"/>
  <c r="N33" i="2"/>
  <c r="N34" i="2"/>
  <c r="N35" i="2"/>
  <c r="N37" i="2"/>
  <c r="N38" i="2"/>
  <c r="N39" i="2"/>
  <c r="N40" i="2"/>
  <c r="N41" i="2"/>
  <c r="N42" i="2"/>
  <c r="N4" i="2"/>
  <c r="AU12" i="2" l="1"/>
  <c r="AU11" i="2"/>
  <c r="AU9" i="2"/>
  <c r="AU8" i="2"/>
  <c r="AU19" i="2"/>
  <c r="F8" i="4"/>
  <c r="I8" i="4"/>
  <c r="H8" i="4"/>
  <c r="G8" i="4"/>
  <c r="O5" i="4" s="1"/>
  <c r="E8" i="4"/>
  <c r="J7" i="4"/>
  <c r="J6" i="4"/>
  <c r="J5" i="4"/>
  <c r="J4" i="4"/>
  <c r="J3" i="4"/>
  <c r="J8" i="4" l="1"/>
  <c r="O8" i="4"/>
</calcChain>
</file>

<file path=xl/sharedStrings.xml><?xml version="1.0" encoding="utf-8"?>
<sst xmlns="http://schemas.openxmlformats.org/spreadsheetml/2006/main" count="602" uniqueCount="435">
  <si>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</si>
  <si>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</si>
  <si>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</si>
  <si>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</si>
  <si>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</si>
  <si>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</si>
  <si>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</si>
  <si>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</si>
  <si>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</si>
  <si>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</si>
  <si>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</si>
  <si>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</si>
  <si>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</si>
  <si>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</si>
  <si>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</si>
  <si>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</si>
  <si>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</si>
  <si>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</si>
  <si>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</si>
  <si>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</si>
  <si>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</si>
  <si>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</si>
  <si>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</si>
  <si>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</si>
  <si>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</si>
  <si>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</si>
  <si>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</si>
  <si>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</si>
  <si>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</si>
  <si>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</si>
  <si>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</si>
  <si>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</si>
  <si>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</si>
  <si>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</si>
  <si>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</si>
  <si>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</si>
  <si>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</si>
  <si>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</si>
  <si>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</si>
  <si>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</si>
  <si>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</si>
  <si>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</si>
  <si>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</si>
  <si>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</si>
  <si>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</si>
  <si>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</si>
  <si>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</si>
  <si>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</si>
  <si>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</si>
  <si>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</si>
  <si>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</si>
  <si>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</si>
  <si>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</si>
  <si>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</si>
  <si>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</si>
  <si>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</si>
  <si>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</si>
  <si>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</si>
  <si>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</si>
  <si>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</si>
  <si>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</si>
  <si>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</si>
  <si>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</si>
  <si>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</si>
  <si>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</si>
  <si>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</si>
  <si>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</si>
  <si>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</si>
  <si>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</si>
  <si>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</si>
  <si>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</si>
  <si>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</si>
  <si>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</si>
  <si>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</si>
  <si>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</si>
  <si>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</si>
  <si>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</si>
  <si>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</si>
  <si>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</si>
  <si>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</si>
  <si>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</si>
  <si>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</si>
  <si>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</si>
  <si>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</si>
  <si>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</si>
  <si>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</si>
  <si>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</si>
  <si>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</si>
  <si>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</si>
  <si>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</si>
  <si>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</si>
  <si>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</si>
  <si>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</si>
  <si>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</si>
  <si>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</si>
  <si>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</si>
  <si>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</si>
  <si>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</si>
  <si>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</si>
  <si>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</si>
  <si>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</si>
  <si>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</si>
  <si>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</si>
  <si>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</si>
  <si>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</si>
  <si>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</si>
  <si>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</si>
  <si>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</si>
  <si>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</si>
  <si>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</si>
  <si>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</si>
  <si>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</si>
  <si>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</si>
  <si>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</si>
  <si>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</si>
  <si>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</si>
  <si>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</si>
  <si>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</si>
  <si>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</si>
  <si>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</si>
  <si>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</si>
  <si>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</si>
  <si>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</si>
  <si>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</si>
  <si>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</si>
  <si>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</si>
  <si>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</si>
  <si>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</si>
  <si>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</si>
  <si>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</si>
  <si>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</si>
  <si>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</si>
  <si>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</si>
  <si>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</si>
  <si>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</si>
  <si>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</si>
  <si>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</si>
  <si>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</si>
  <si>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</si>
  <si>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</si>
  <si>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</si>
  <si>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</si>
  <si>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</si>
  <si>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</si>
  <si>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</si>
  <si>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</si>
  <si>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</si>
  <si>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</si>
  <si>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</si>
  <si>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</si>
  <si>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</si>
  <si>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</si>
  <si>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</si>
  <si>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</si>
  <si>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</si>
  <si>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</si>
  <si>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</si>
  <si>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</si>
  <si>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</si>
  <si>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</si>
  <si>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</si>
  <si>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</si>
  <si>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</si>
  <si>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</si>
  <si>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</si>
  <si>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</si>
  <si>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</si>
  <si>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</si>
  <si>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</si>
  <si>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</si>
  <si>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</si>
  <si>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</si>
  <si>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</si>
  <si>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</si>
  <si>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</si>
  <si>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</si>
  <si>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</si>
  <si>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</si>
  <si>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</si>
  <si>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</si>
  <si>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</si>
  <si>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</si>
  <si>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</si>
  <si>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</si>
  <si>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</si>
  <si>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</si>
  <si>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</si>
  <si>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</si>
  <si>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</si>
  <si>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</si>
  <si>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</si>
  <si>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</si>
  <si>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</si>
  <si>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</si>
  <si>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</si>
  <si>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</si>
  <si>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</si>
  <si>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</si>
  <si>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</si>
  <si>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</si>
  <si>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</si>
  <si>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</si>
  <si>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</si>
  <si>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</si>
  <si>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</si>
  <si>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</si>
  <si>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</si>
  <si>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</si>
  <si>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</si>
  <si>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</si>
  <si>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</si>
  <si>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</si>
  <si>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</si>
  <si>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</si>
  <si>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</si>
  <si>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</si>
  <si>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</si>
  <si>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</si>
  <si>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</si>
  <si>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</si>
  <si>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</si>
  <si>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</si>
  <si>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</si>
  <si>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</si>
  <si>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</si>
  <si>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</si>
  <si>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</si>
  <si>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</si>
  <si>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</si>
  <si>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</si>
  <si>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</si>
  <si>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</si>
  <si>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</si>
  <si>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</si>
  <si>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</si>
  <si>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</si>
  <si>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</si>
  <si>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</si>
  <si>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</si>
  <si>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</si>
  <si>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</si>
  <si>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</si>
  <si>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</si>
  <si>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</si>
  <si>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</si>
  <si>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</si>
  <si>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</si>
  <si>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</si>
  <si>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</si>
  <si>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</si>
  <si>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</si>
  <si>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</si>
  <si>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</si>
  <si>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</si>
  <si>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</si>
  <si>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</si>
  <si>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</si>
  <si>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</si>
  <si>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</si>
  <si>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</si>
  <si>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</si>
  <si>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</si>
  <si>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</si>
  <si>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</si>
  <si>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</si>
  <si>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</si>
  <si>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</si>
  <si>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</si>
  <si>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</si>
  <si>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</si>
  <si>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</si>
  <si>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</si>
  <si>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</si>
  <si>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</si>
  <si>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</si>
  <si>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</si>
  <si>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</si>
  <si>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</si>
  <si>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</si>
  <si>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</si>
  <si>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</si>
  <si>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</si>
  <si>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</si>
  <si>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</si>
  <si>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</si>
  <si>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</si>
  <si>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</si>
  <si>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</si>
  <si>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</si>
  <si>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</si>
  <si>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</si>
  <si>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</si>
  <si>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</si>
  <si>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</si>
  <si>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</si>
  <si>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</si>
  <si>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</si>
  <si>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</si>
  <si>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</si>
  <si>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</si>
  <si>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</si>
  <si>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</si>
  <si>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</si>
  <si>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</si>
  <si>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</si>
  <si>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</si>
  <si>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</si>
  <si>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</si>
  <si>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</si>
  <si>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</si>
  <si>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</si>
  <si>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</si>
  <si>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La Secretaria del Interior Departamental señala que los programas y proyectos de postconflicto se encuentran armonizados según PAT.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</si>
  <si>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</si>
  <si>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</si>
  <si>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</si>
  <si>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</si>
  <si>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</si>
  <si>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</si>
  <si>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</si>
  <si>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Para la vigencia 2023 no se tienen programadas acciones para dar cumplimiento a la meta conforme a lo establecido en el plan decenal.</t>
  </si>
  <si>
    <t>META PROGRAMADA</t>
  </si>
  <si>
    <t>META ACUMULADA</t>
  </si>
  <si>
    <t>OBSERVACIONES</t>
  </si>
  <si>
    <t>SEGUIMIENTO DECENIO</t>
  </si>
  <si>
    <t>No se han adelantado acciones para dar cumplimiento a esta meta.</t>
  </si>
  <si>
    <t>Desde el año 2020 la Secretaria de Familia adopto y ha venido implementando la ruta antidiscriminación en el Departamento.</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</si>
  <si>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</si>
  <si>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Con la creación del consejo consultivo de diversidad sexual e identidad de género(Decreto 510/2020) se da cumplimiento al 100% de esta meta.</t>
  </si>
  <si>
    <t xml:space="preserve">La Secretaria del Interior Departamental señala que desde la vigencia 2022 los programas y proyectos de postconflicto se encuentran armonizados según PAT. </t>
  </si>
  <si>
    <t>La campaña anual de capacitación la población LGBTI sobre el Sistema General de Seguridad Social en Salud y afiliación de beneficiario en cada ente territorial  y mecanismos de acceso, se ha implementado en las vigencias 2022 y 2023 por parte de la Secretaria de Salud Departamental.</t>
  </si>
  <si>
    <t xml:space="preserve">La Secretaria de Salud Departamental en las vigencias 2021,2022 y 2023 ha realizado capacitación anual para la población sexualmente diversa y funcionarios públicos en deberes y derechos en Salud, soportado en la ley 1620 de derechos sexuales y reproductivos. </t>
  </si>
  <si>
    <t>En las vigencias 2021 y 2022 se implemento campaña preventiva y de sensibilización sobre los riesgos de la hormonización desregularizada, el uso de protocolos de consentimiento informado, rutas de atención y recepción de denuncias</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</si>
  <si>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</si>
  <si>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</si>
  <si>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Indeportes Quindío garantiza el acceso y representatividad de la población sexualmente diversa a la oferta recreativa y deportiva del departamento.</t>
  </si>
  <si>
    <t>META (FISICA) 2023</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</si>
  <si>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</si>
  <si>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</si>
  <si>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</si>
  <si>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 xml:space="preserve">La Secretaria del Interior Departamental señala que los comités territoriales de paz, reconciliación y convivencia garantiza la representatividad de población LGBTI, conforme al PAT. </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</si>
  <si>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</si>
  <si>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En el marco de la realización de mesas técnicas con el sector salud se promociona con las EPS Medimás, Asmetsalud, Nueva EPS la garantía de la adecuación de los servicios en salud con perspectiva de Género.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</si>
  <si>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</si>
  <si>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</si>
  <si>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 xml:space="preserve">Según el plan decenal la meta esta programada para ejecutarse a partir del año 2025, sin embargo, en la vigencia 2022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</si>
  <si>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</si>
  <si>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</si>
  <si>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t>
  </si>
  <si>
    <t>Desde la Secretaría de Familia se brindó asistencia técnica en la conformación y consolidación de espacios de participación de la población sexualmente diversa a  los municipios de Salento, Génova, Montenegro (2) y Buenavista.</t>
  </si>
  <si>
    <t>Desde la Secretaria de Salud Departamental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</si>
  <si>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 xml:space="preserve">La Secretaria de Educación Departamental señala que durante la vigencia 2023 las 54 I.E realizaron la actualización del manual de convivencia.     </t>
  </si>
  <si>
    <t xml:space="preserve">Desde la SecretarÍa de Familia de realizó proceso de contratación de mínima cuantía MC071-FAM3205-CPS-2022 con la finalidad de realizar diplomado en liderazgo colectivo e incidencia política de la población sexualmente diversa del departamento.
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t>
  </si>
  <si>
    <t xml:space="preserve">La Secretaría del Interior Departamental señala que los programas y proyectos de postconflicto se encuentran armonizados según PAT. </t>
  </si>
  <si>
    <t xml:space="preserve">La Secretaría del Interior Departamental señala que el 100% de los planes de acción municpales de Derechos Humanos y Convivencia escolar se encuentran armonizados según PAT. </t>
  </si>
  <si>
    <t xml:space="preserve">La Secretaría del Interior Departamental señala que el 100% de los comités territoriales de paz, reconciliación y convivencia garantizan la representatividad de pobación LGBTI, conforme al PAT. </t>
  </si>
  <si>
    <t xml:space="preserve"> la Secretaría de Familia diseñara e implementara estrategia de seguimiento a casos urgentes de discriminación y vulneración de derechos con componentes de atención, prevención y sensibilización, en coordinacion con los actores responsables la cual se implementara en la vigencia 2023
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t>
  </si>
  <si>
    <t xml:space="preserve">La Jefatura de la Mujer y Equidad diseño la estrategia de sensibilización familiar anual que fortalezca los lazos familiares con entornos de personas sexualmente diversas para implementarla en cada municipio del Departamento, la cual será implementada en la vigencia 2023 en coordinacion con  los actores resposables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</si>
  <si>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rFont val="Calibri"/>
        <family val="2"/>
      </rPr>
      <t>SIN EMBARGO; ES IMPORTANTE ACLARAR QUE LA SECRETARÍA DE EDUCACIÓN NO HACE PARTE, NI EJECUTA PROCESOS INTERNOS DE LAS ALCALDIAS DE LOS ONCE MUNICIPIOS NO CERTIFICADOS EN EDUCACIÓN.</t>
    </r>
  </si>
  <si>
    <t xml:space="preserve">Desde la Dimensión de Sexualidad salud  Sexual y Reproductiva, se realizó asistencia técnica respecto la salud sexual y Reproductiva en los municipios de Salento, Calarcá, Montenegro, Circasia, Buenavista y La Tebaida.
</t>
  </si>
  <si>
    <r>
      <t>Desde la Secretaría de Salud Departamental se trabaja de manera continua en el fortalecimiento del modelo de atención en salud mental  el cual se denomina "</t>
    </r>
    <r>
      <rPr>
        <b/>
        <sz val="20"/>
        <rFont val="Calibri"/>
        <family val="2"/>
        <scheme val="minor"/>
      </rPr>
      <t>Modelo de atención en salud mental se encuentra fortalecido y se denomina Gestión del riesgo de Eventos de Interes en Salud Mental</t>
    </r>
    <r>
      <rPr>
        <sz val="20"/>
        <rFont val="Calibri"/>
        <family val="2"/>
        <scheme val="minor"/>
      </rPr>
      <t xml:space="preserve">"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r>
  </si>
  <si>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y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</si>
  <si>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Según el plan decenal, esta meta se tiene programada para ejecutar a partir del año 2026, razón por la cual no presenta avance.</t>
  </si>
  <si>
    <t>La Secretaría del Interior Departamental señala que el 100% de los planes de acción municpales de Derechos Humanos y Convivencia escolar se encuentran armonizados según PAT.</t>
  </si>
  <si>
    <t>Durante el período informado no se tenian programas  acciones para dar cumplimiento a la meta e indicador en el año 2023.</t>
  </si>
  <si>
    <t xml:space="preserve">
La Universidad del Quindío promovió espacios de reflexión académica en torno a la cultura ciudadana y el cuidado integral en derechos sexuales "Reconocimiento de la diversidad UQ"</t>
  </si>
  <si>
    <t>Según el plan decenal esta meta esta proyectada para ejecutarse a partir de la vigencia 2024, sin embargo, en la vigencia 2020, desde la Oficina de comunicaciones se implemento la estrategia cuidarte es amarte con el fin de realizar prevención y atención del acoso escolar y otras problemáticas del sector educativo.</t>
  </si>
  <si>
    <t>Para la vigencia 2022 no se tienen programadas acciones para dar cumplimiento a la meta conforme a lo establecido en el plan decenal.</t>
  </si>
  <si>
    <t>1'00%</t>
  </si>
  <si>
    <t>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 
Desde la Alcaldía de Circasia se reazlizo campaña  con incidencia municipal de promoción del respeto por la diferencia e instalación de territorios libres de discriminación en la institución educativa IMET     
La Alcadldía de Montenegro realizó campaña de prevención de la homofobia, transfobia y bifobia en espacios públicos del Municipio, como también a través de redes sociales de la Administración. Además de realizar campaña de prevención de la homofobia con funcionarios públicos.
La Alcaldía de Salento desarrolló campaña denominada ¨En salento todos son bienvenidos¨ que promovió espacios libres de discriminación en establecimientos comerciales
La Alcaldía de Quimbaya realizó una campaña  de promoción del respeto por la diferencia e instalación de territorios libres de discriminación en entidades públicas y privadas</t>
  </si>
  <si>
    <t>Desde la Secretaría de Familia se diseñó e implementó la campaña EMPODERATE POR LA DIVERSDIAD en instituciones educativas de los municipios de La Tebaida, Pijao,Calarcá, Buenavista, Filandia, Armenia, Montenegro, Quimbaya.
La Alcaldía de Montenegro realizacampaña denominada "Y qué importa" en instituciones educativas del Municipio orientada a la prevención de la homofobía, el respeto por la diversidad y ressaltar el orgullo gay. 
La Alcaldíia de Quimbaya realizó una campaña en  instituciones educativas de promoción del respeto por la diferencia e instalación de territorios libres de discriminación.
La Alcaldía de Circasia realizo campaña  con incidencia municipal de promoción del respeto por la diferencia e instalación de territorios libres de discriminación en la institución educativa IMET</t>
  </si>
  <si>
    <t>Desde la Secretaría de Familia, a través de la  Jefatura de la Mujer y la Equidad, se encuentra en etapa de diseño de la estrategia de seguimiento a casos urgentes de discriminación y vulneración de derechos con componentes de atención, prevención y sensibilización.
La Alcaldía de Circasia desarrollo una estrategia  de seguimiento a casos urgentes de discriminación y vulneración de derechos con componentes de atención, prevención y sensibilización. Denominada "Circasia libre y Diversa"</t>
  </si>
  <si>
    <t xml:space="preserve">La Secretaria de Salud Departamental reporta que se realizo campaña mediante la socialización en deberes y derechos en salud  a la población  LGTBI y rutas de atención en el Municipio de Génova.
Durante el tercer trimestre se realizó  1  socialización de la ruta de atención  con perspexctiva de Género y prevención de violencias desde las nuevas masculinidades y femenididades con funcionarios del SENA, personería de armenia, sistema educativo.                                                            2 actividades de Eliminación de Barreras de Acceso en la prestación de servicios de Salud a la poblacion LGTBI del municipio de Circasia
</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</si>
  <si>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
Para el tercer semestre  en el marco de la realización de mesas tecnicas con el sector salud se promociona con las EPS Medimás, Asmetsalud, Nueva EPS la garantía de la adecuación de los servicios en salud con perspectiva de Género</t>
  </si>
  <si>
    <t xml:space="preserve">Desde Secretaría de Salud Departamental se realiza 1 campaña en deberes y derechos en salud y promocion y prevencion en población LGTBI en los municipios de Circasia, Calarcá, Pijao, Quimbaya, Filandia y la Tebaida
</t>
  </si>
  <si>
    <t>La Secretaria de Salud Departamental reporta que se implemento capacitación en deberes y derechos en salud para la población LGTBI Municipio de Filandia.
En el marco  de la campaña preventiva y de sensibilización sobre los riesgos de hormonización desregularizada se realizó 1 socialización a funcionarios públicos de Salud Mental de la Secretaria de Salud Departamental en Derechos sexuales y reproductivos LGBTI, procesos de feminización y masculinización normativa y jurisprudencia colombiana en salud LGBTI,  rutas y protocolos de atención en salud</t>
  </si>
  <si>
    <t xml:space="preserve">La Secretaría del Interior Departamental señala que el 100% de los planes de acción municpales de Derechos Humanos y Convivencia escolar se encuentran armonizados según PAT. 
La Secretaría de Educación  realizó apoyo en la operatividad de los comites de conviviencia escolar de los 11 municipios de competencia departamental. 
</t>
  </si>
  <si>
    <t xml:space="preserve">Desde la Secretaría de Familia se adoptó e implementó la ruta antidiscriminación, en el periodo informado en los municipios de  Armenia, La Tebaida, Quimbaya y Pijao, Montenegro, Calarcá, Estación de Policía Filandia.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</si>
  <si>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Institución Educativa Gabriela Mistral La Tebaida, Institución Educativa Rio Verde Buenavista, Instituto Pijao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</si>
  <si>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Secretaría de familia a través de la jefatura de la mujer y la equidad, se ha diseñado e implementado el observatorio de diversidad sexual del Departamento. 
</t>
  </si>
  <si>
    <t xml:space="preserve">
Desde la jefatura de la mujer y la equidad se se inició la Caracterización de la población sexualmente Diversa previa aprobación de la Secretaría de Planeación Departamental 
</t>
  </si>
  <si>
    <t>Se implemento proceso formativo anualizado para el desarrollo del liderazgo colectivo y la incidencia política de la población sexualmente diversa del departamento en las vigencias 2020 y 2022,</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</si>
  <si>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</si>
  <si>
    <t>La Secretaría de salud  Departamental realizó durante el tercer trimestre en el marco del modelo de atención se realizó    1 apoyo en actividad  del Dia Internacional de la Visibilidad Trans con acciones de promoción  y prevención encaminada a la población LGTBI en el municipio de Salento.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t>
  </si>
  <si>
    <t xml:space="preserve">
Desde la Secretaría de Aguas e Infraestructura - Gobierno Departamental, aunando esfuerzos con el Municipio de la Tebaida, Montenegro y la Empresa para el Desarrollo Territorial - PROYECTA, aportaron los recursos para la materialización de obras para el mejoramiento de viviendas de interés social urbanas para la ejecución del proyecto adscrito a la Secretaría de Aguas e Infraestructura "Mejoramiento de Vivienda de Interés Social en el Departamento del Quindío" codigo BPIN 2020003630057; el proceso de selección de los beneficiarios se realizó teniendo en cuenta la caracterización de la población postulada a lo mejoramientos, según el enfoque diferencial y de interseccionalidad dentro de los cuales se encuentra población sexualmente diversa que hace parte del grupo poblacional LGTBI, se relaciona a continuación la información de los convenios que se encuentran en ejecución: 
1. Inició ejecución el 07 de julio de 2023 el convenio interadministrativo No. 038 DE 2023 “AUNAR ESFUERZOS ENTRE EL MUNICIPIO DE MONTENEGRO, DEPARTAMENTO DEL QUINDIO Y PROYECTA PARA EL MEJORAMIENTO DE VIVIENDAS EN EL MUNICIPIO DE MONTENEGRO” con un presupuesto de $ 469.843.699, su ejecución finaliza el 23 de diciembre de 2023. 
2. Inició ejecución el 04 de julio de 2023 el convenio interadministrativo No. 039 DE 2023 “AUNAR ESFUERZOS ENTRE EL MUNICIPIO DE LA TEBAIDA, EL DEPARTAMENTO DEL QUINDIO Y LA EMPRESA PARA EL DESARROLLO TERRITORIAL PROYECTA PARA EL MEJORAMIENTO DE VIVIENDAS URBANAS EN EL MUNICIPIO DE LA TEBAIDA” con un presupuesto de $ 681.633.567, su ejecución finaliza el 23 de diciembre de 2023. 
La Alcaldía de Quimbaya realizó asignación de cupos específicos para la población sexualmente diversa en el proyecto de mejoramiento de vivienda.</t>
  </si>
  <si>
    <t xml:space="preserve">Desde la jefatura de la mujer y la equidad se diseñó el sistema de información tendiente a caracterizar de manera periódica la situación de derechos de la población y en la actualidad se esta implementando
</t>
  </si>
  <si>
    <t>La Secretaria de Salud Departamental en la vigencia 2022 reporto que el modelo de atención en salud mental se encuentra fortalecido y se denomina Gestión del riesgo de Eventos de Interés en Salud Mental, el cual continúa vigente para el 2023</t>
  </si>
  <si>
    <t>Desde la Jefatura de la Mujer y la Equidad se estructuró el observatorio de la Población Sexualmente Diversa del Departamento el cual se encuentra en  la página web de la Secretaría de Familia 
https://quindio.gov.co/observatorio-de-la-mujer-y-la-familia/observatorio-equidad-de-genero-y-mujer/presentacion</t>
  </si>
  <si>
    <t xml:space="preserve"> La secretaría de Cultura Departamental garantiza el acceso y representatividad de la población sexualmente diversa a la oferta cultural y artística del departamento.</t>
  </si>
  <si>
    <t xml:space="preserve">En la vigencia 2023 Desde la jefatura de la mujer y la equidad se diseñó el sistema de información tendiente a caracterizar de manera periódica la situación de derechos de la población y en la actualidad se esta implementando
</t>
  </si>
  <si>
    <t>La Secretaría de Familia Departamental llevó a cabo actividad donde se socializó campaña "Empoderate por la diversidad" en diferentes instituciones educativas del Departamento, tratando temas de trato igualitario y el respeto por el nombre identitario</t>
  </si>
  <si>
    <t>La Secretaría de Familia  Departamental brindó capacitaciones en la Ley 1620 de 2013 y sentencia T-478 del 2015a la comunidad educativa en los doce (12) municipios por medio de contratistas adscritos a la Jefatura de la mujer y la Equidad</t>
  </si>
  <si>
    <t>Se realizó presentación del reporte del seguimiento e implementación de la política pública en el marco de la rendición pública de cuentas institucional de la vigencia 2022
En la rencición de cuentas de la administración municipal de 2023 se realizó un reporte del seguimiento e implementación de la política pública, en el municipio de Salento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</si>
  <si>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      -La Alcaldía de Cicasia cuenta con mesa permanente de seguimiento a casos de vulneración de derechos a población sexualmente diversa en el marco del COMOSIGD para el abordaje integral de la violencia de género. 
La Alcaldía de Salento refiere que el comité municipal OSIGD que se reúne trimestralmente, cuenta con un espacio para la exposición de casos de discriminación, para el periodo informado no se presentaron casos de vulneraicón de derechos
La Alcaldía de Circasia cuenta con mesa permanente de seguimiento a casos de vulneración de derechos a población sexualmente diversa en el marco del COMOSIGD para el abordaje integral de la violencia de género. 
En el municipio de Salento el comité municipal OSIGD que s ereune trimestralmente cuenta con un espacio para la exposición de casos de discriminación, para el periodo informado no se presentaron casos de vulneraicón de derechos</t>
  </si>
  <si>
    <t>Indeportes Quindío señala que  los 12 Municipios durante los 9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
La alcaldía de Salento cuenta con accesibilidad, cobertura y participación de la población OSIGD en las escuelas de formación deportiva,
En el municipio de Buenavista la oferta cultural y artistica se maneja de manera inclusiva para toda la polación, no se manejan programas exclusivos, dado que la población que se autoreconoce como LGBTIQ+ es muy poca.</t>
  </si>
  <si>
    <t>La universidad del Quindío desarrolló una estrategia para promover espacios de reflexión académica en torno a la cultura ciudadana, inclusión laboral sencibilzación, familia y diversidad sexual y de género para lo cual se adelantaron las siguientes acciones: 
1. Curso desde la dirección de Bienestar Institucional Reconocimiento de la Diversidad UQ: este curso está dirigido a la comunidad Universitaria, con el fin de promover el goce efectivo de derecho de personas OSIGD-LGBTI, en el campus Universitario. 
2. Campañas de sensibilización y alfabetización en diversidad: la cuales tienen como objetivo principal, enseñar el cuidado integral en derechos sexuales, reproductivos, normativa y jurisprudencia con enfoque diferencial, dirigido a las Instituciones escolares del Departamento del Quindío
3. Aplicación del violentometro a todos los estamentos universitarios, con el fin de sensibilizar a la comunidad universitaria sobre las diferentes violencias. 
4. Armonización del Protocolo para la prevención, detección y atención de violencias o cualquier tipo de discriminación basada en género en la Universidad del Quindío, co-construcción de la ruta de atención, divulgación y acciones pedagógicas con el fin de realizar el acompañamiento integral desde la dirección  de Bienestar Institucional a través de  espacios de intervención pedagógica  a fin de promover en los estudiantes, profesores, administrativos y comunidad  en general actitudes   para el diálogo, para la reflexión respecto de los hechos de violencia o cualquier tipo de discriminación basados en género   apuntando  a  la transformación de imaginarios y estereotipos de género, con el   fin de generar  compromisos de reparación del daño causado, la cesación de la violencia, la discriminación  y la no repetición.
5. Socialización y divulgación de las rutas existentes y articulación con secretaria de salud y policía nacional con la ruta de violencia sexual y la patrulla purpura, así mismo:
1. “Ruta de   atención para la prevención, detección y atención de violencias y cualquier tipo de discriminación basada en género en la Universidad del Quindío”
2. “Programa para el reconocimiento de la diversidad desde un enfoque inclusivo”
La Institución Universitaria EAM, comprometida con la creación de espacios seguros en la educación, durante el semestre 2023-2 ha desarrollado campañas para la atención, promoción y apropiación de politicas para la prevención de violencias basadas en género, inclusión, diversidad y salud mental.  En este sentido, se han desarrollado campañas denominadas: 
- Identificación Tipos de Violencias
- Micromachismos (comportamientos)
- Prevención de Situaciones de Violencia
- Rutas de Ayuda (Internas y Externas)
- Signos de Ansiedad
- Mascotas como ayuda personal
- Ejercicios para la Salud Mental
- Consejos para una mejor concentración
- Técnicas para el manejo de la Ansiedad
- Inclusión
- Aliados para la Inclusión
La Universidad Gran Colombia reportó que promovió espacios de reflexión respecto al a la prevención del acoso, violencia de género u otras expresiones de violencia y  exclusión.</t>
  </si>
  <si>
    <t xml:space="preserve">Para la vigencia 2023 no se tienen programadas acciones para dar cumplimiento a la meta conforme a lo establecido en el plan decenal. 
La Alcaldía de Montenegro realiza campaña articulada con la gobernación en capacitación en actualización a funcionarios públicos de la Administración Municipal en mecanismmos de género y transversalización del enfoque de género diverso y parámetros no sexistas.
La Alcaldía de Circasia desarrollo una campaña referente a la adopcion de mecanismos de género y Transversalización del enfoque genero diverso con funcionarios publicos he individuos de la poblacion OSIGD
La Alcaldía de Calarcá realiza campaña articulada con la gobernación en capacitación en actualización a funcionarios públicos de la Administración Municipal en mecanismmos de género y transversalización del enfoque de género diverso y parámetros no sexistas. 
La Alcaldía de Pijao realiza campaña articulada con la gobernación en capacitación en actualización a funcionarios públicos de la Administración Municipal en mecanismmos de género y transversalización del enfoque de género diverso y parámetros no sexistas.
</t>
  </si>
  <si>
    <t>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t>
  </si>
  <si>
    <t xml:space="preserve">La Secretaria de Cultura Departamental manifiesta que dentro de la implementación de los programas de lectura y escritura y formación informal en artes plásticas, danza, música, teatro  en los diferentes municipios del departamento  se  ha contado con 63 personas de la comunidad LGTBI, 102 personas son inscritas en la plataforma de soy cultura, así mismo, se dio apertura a  la convocatoria de concertación y estímulos, cual da paso para la presentación de proyectos y propuestas culturales y desarrollarlas en todo el territorio Quindiano. Durante el tercer trimestre Dentro  de la implementación de los programas de lectura y escritura y formacion informal en artes plasticas, danza, musica, teatro  en los diferentes municipios del departamento  se  ha contado con 56  personas  de esta comunidad LGTBI.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administracion municpal de Circasia garantiza el acceso a la  oferta cultural y artistica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La Alcaldía de Salento cuenta con accesibilidad, cobertura y participación de la población OSIGD en los grupos culturales existentes en la Administración (banda, chirimia, danza) 
La Alcaldía de Circasia  garantiza el acceso a la  oferta cultural y artistica
NOTA: El presupuesto que se reporta por parte de Secretaría de Cultura compete al proceso de concertación y estimulos en su totalidad.
los programas desarrollados en la secretaria en  educacion no formal y lecto escritura se beneficiaron 8, En las convocatorias de concertacion se impacto  a 2030 personas. La beca de cracion ganada por Sara Maria   Sanchez    impacto a 80 personas de esta poblacion para un total de 2129 personas impactadas en el ejecucion de concertacion y estimulos. (Reporte de Cultura)
</t>
  </si>
  <si>
    <t>La Secretaria de Educación Departamental aduce que  las instituciones educativas I.E Instituto Calarcá y Antonio Nariño el I.E del Municipio de Filandia Francisco Miranda en la actualidad cuentan con planes de convivencia  con el enfoque de Genero y diversidad.
El plan de acción de convivencia escolar del municipio de Buenavista tiene enfoque de genero y dicersidad, se abordan rutas de atención y campañas para el fortalecmiento familiar.</t>
  </si>
  <si>
    <t>Se ha realizado presentación de reporte del seguimiento e implementación de la política publica en el marco de la rendición pública de cuentas institucional en las vigencias 2020, 2021, 2022 y 2023</t>
  </si>
  <si>
    <r>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r>
    <r>
      <rPr>
        <b/>
        <sz val="20"/>
        <rFont val="Calibri"/>
        <family val="2"/>
        <scheme val="minor"/>
      </rPr>
      <t xml:space="preserve">
Nota: Es preciso aclarar el indicador se encuntra programado para el año 2024, sin embargo se han adelantado las acciones mencionadas anteriormente y el presupuesto registrado corresponde a ellas.
</t>
    </r>
  </si>
  <si>
    <t>Durante el periodo informado no se tenian programadas acciones para dar cumplimiento a la meta e indicador en el año 2023</t>
  </si>
  <si>
    <t>Desde la jefatura de la mujer y la equidad se brindó asistencia técnica en la ley 1620 y sentencia 478 a los orientadores de las instituciones educativas de los 12 municipios del Departamento en la vigencia 2022 y 2023</t>
  </si>
  <si>
    <t xml:space="preserve">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
La Secretaría de Familia Departamental llevó a cabo actividad donde se socializó campaña "Empoderate por la diversidad" en diferentes instituciones educativas del Departamento, tratando temas de trato igualitario y el respeto por el nombre identitario en la vigencia 2023.
</t>
  </si>
  <si>
    <t xml:space="preserve">Desde la Secretaría de Familia se adoptó e implementó la ruta antidiscriminación la cual se está socializando en los barrios popular y vera cruz del municipio de armenia </t>
  </si>
  <si>
    <t>Desde la Jefatura de Mujer y Equidad se adelantaron dos (2) campañas en instituciones educativas siendo estas en la I.E Francisco Londoño de Circasia y la I.E Tecnolócico de Calarcá</t>
  </si>
  <si>
    <t>Durante el período informado no se tenian programas  acciones para dar cumplimiento a la meta e indicador en el año 2024.</t>
  </si>
  <si>
    <t xml:space="preserve">En el municipio de filandia se llevo a cabo la inscripcion de una de las candidatas de la poblacion OSIGD  al concejo municipal del municipio de filandia por parte del partido MAIS. </t>
  </si>
  <si>
    <t xml:space="preserve">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trimestre se desarrolló la socialización en espacios públicos del municipio de Armenia. en I.E Francisco Londoño de Circasia y Tecnológico Calarcá
La Alcaldía de Salento reportó que realizó campaña para la promoción del respeto por la diferencua e instalación de territorios libres de discriminación en el marco de la conmemoración de la visibilidad trans, con el encuentro departamental para la visibilidad trans   </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</si>
  <si>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deArmenia refiere que, realizó 1 Mesa Municipal de Cocnertación OSIGD - LGBTI de Arnenia, la cual  se realiza 4 veces al año, adicionalmente se realiza seguimiento a casos de vulneracion de derechos a poblacion sexualmente diversa.
La Alcaldía de Filandia requiere que, creó el consejo municipal para la inclusión de personas OSIGD, dentro del cual se cuenta con una mesa tecnica  para la atención a estos casos (acuerdo 016 octubre 21 2021)
La Alcaldía de Salento reportó que el comité municipal OSIGD que se reune trimestralmente cuenta con un espacio para la exposición de casos de discriminación, para el periodo informado se realizó un comité incluyendo la mesa de seguimeinto a casos de vulneración de derechos en el orden del día, para el cuál no se presentaron casos de vulneraicón de derechos
</t>
  </si>
  <si>
    <t xml:space="preserve">Para la vigencia 2024 no se tienen programadas acciones para dar cumplimiento a la meta conforme a lo establecido en el plan decenal. 
Nota: sin embargo, La Jefatura de la Mujer y Equidad realizó la actualización a funcionarios públicos en la adopción de mecanismos de género y Transversalización del enfoque genero diverso y parámetros no sexistas según ley 1752 del 2015 (ley antidiscriminación) en la alcaldía de Salento y Córdoba 
La Alcaldía de Salento reporta que realiza proceso formativo con funcionarios de la administracion municipal de la secretaria de servicos cosiales para la actualizacion en la adopción de mecanismos de género y transversalización del enfoque de género.
</t>
  </si>
  <si>
    <t xml:space="preserve">
La secretaría de Cultura Departametnal refiere que, en este momento se dio  apertura a las convocatorias de concertación resolución 1831/ 21 de marzo y estímulos resolución 1832/ 21 de marzo de 2024, este genera un estímulo de 5 puntos adicionales para los proyectos que se ejecuten con población LGTBI, como incentivo a la participación  
NOTA: El presupuesto que se reporta por parte de Secretaría de Cultura compete al proceso de concertación y estimulos en su totalidad.
La Scretaría de Familia en articulación con la Alcaldía de armenia realizó la conmemoracióno fechas representativas personas OSIGD – LGBTI " Dia de la visibilidad Trans 31  de marzo de 2024"
La Alcaldía de Filandia menciona que los procesos formativos de arte y cultura son manera incluyente ya que nuestro lider de la población LGBT Cristian Camilo Hoyos Bermudez  hace parte de el grupo de teatro del municipio ademas tambien ha pertenecido a grupos tales como:  danzas, chirimia y la banda del municipio de filandia. Ademas de mas poblacion que hace parte de los mismos procesos formativos.
La alcaldía de Salento reporta que cuenta con accesibilidad, cobertura y participación de la población OSIGD en los grupos culturales existentes en la Administraicón (banda, chirimia, danza)
</t>
  </si>
  <si>
    <t xml:space="preserve">Desde la Secretaría de Familia, a través de la  Jefatura de la Mujer y la Equidad, se encuentra en etapa de diseño de la estrategia de seguimiento a casos urgentes de discriminación y vulneración de derechos con componentes de atención, prevención y sensibilización.
El Municipio de Filandia cuenta con ruta de atención modificada y aprobada en el mes de febrero, en la cual se le hace seguimiento en cada reunión del Consejo para la Inclusión de personas OSIGD. 
La Policia reporta que el grupo de derechos se articula con la mesa de reacción rápida de la secretaria del interior, con el fin de abordar temas en materia de prevención y seguimiento a casos urgentes de discriminación y vulneración de derechos e implementación de medidas preventivas, con el fin se garantizar la vida, integridad, seguridad y libertad de esta población. </t>
  </si>
  <si>
    <t>Durante el periodo informado no se tenian programadas acciones para dar cumplimiento a la meta e indicador en el año 2024</t>
  </si>
  <si>
    <t>Desde la jefatura de la mujer y equidad se realizó una capacitación de la Ley 1620 del 2013 y T-478 del 2015 en la I.E Marcelino Champagnat de Armenia el 29 de febrero</t>
  </si>
  <si>
    <t xml:space="preserve">Según el plan decenal, esta meta se  programo para ejecutar a partir del año 2022.
En el año 2022 se desarrollaron 20 jornadas, al cuarto trimestre de 2023, 17 jornadas.
En el año 2023 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
En el año 2024 desde la jefatura de la mujer y equidad se realizó una capacitación de la Ley 1620 del 2013 y T-478 del 2015 en la I.E Marcelino Champagnat de Armenia el 29 de febrero
</t>
  </si>
  <si>
    <t>Para la vigencia 2024 no se tienen programadas acciones para dar cumplimiento a la meta conforme a lo establecido en el plan decenal. NO HAY META PROGRAMDA</t>
  </si>
  <si>
    <t>Se ha implementado la campaña anualizada con incidencia municipal de promoción del respeto por la diferencia e instalación de territorios libres de discriminación en entidades públicas y privadas, y espacios públicos en las vigencias 2020, 2022, 2023 y 2024</t>
  </si>
  <si>
    <t>Desde el 2020 la Secretaría de Familia incorporo en los instrumentos de caracterización de usuarios variables para monitorear la atención a la población sexualmente diversa de acuerdo a lo establecido en MIPG a través del formato F-FAM-04 del 19 de noviembre de 2020, el cual se continua implementanfo po parte de la Secretaría de Familia Departamental</t>
  </si>
  <si>
    <t>Se ha implementado la campaña anualizada con incidencia en las instituciones educativa de promoción del respeto por la diferencia e instalación de territorios libres de discriminación en las vigencias 2022, 2023 y 2024</t>
  </si>
  <si>
    <t>2024 II TRIMESTRE</t>
  </si>
  <si>
    <t>Desde la secretaria de interior y su dirección Derecho Humanos se promivió y garantizó la participación de la población LGTBIQ dentro del consejo departamental de paz, presepuesto reportador por Secretaría del Interior</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</si>
  <si>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
la cual fue implementada en la Institución Educativa Rio Verde Buenavista por la comisaría el 15 de marzo 2024 por la comisaría de familia de Buenavista
La Alcaldía de Filandia infiere que, en el mes de marzo se llevaron a cabo dos  visitas domiciliarias en  nucleos familiares donde hacen parte la poblacion OSIGD (Orientacion Sexual e Identidad de Genero Diverso) ya que por falta de informacion se estaban presentanto inconvenientes de caracter familiar y falta de comprension por parte de sus familiares.
La Alcaldía de Montenegro reporque que para implementar la estrategia de sensibilización familiar anual se realiza un banner con una imagen alusiva al tema y con la siguiente información "El apoyo familiar, al amor, el respeto y la aceptación son fundamentales para nuestro libre desarrollo de la personalidad"; el cual fue  publicado en las diferentes redes sociales de la administración municipal y personales, generando con ello poder llegar a un gran numero de la población. También lo imprimimos a color con el fin de pegarlo en los sitios públicos de mayor afluencia y compartirlo con la población a  la cual abordamos para compartirle la información.
La comisaría de familia de Buenavista reportó que realizo campaña en conjunto con la gobernacion del quindio, en la administracion municipal con el fin de fortalecer lazos y respetos con las personas sexualmente diversas.
</t>
  </si>
  <si>
    <t>La universidad EAM reportó que realizó las siguientes estretegias 1. Capacitación al personal docente en inclusión educativa desde el concepto de identidad y orientación sexual, estableciendo las condiciones de respeto y tolerancia hacia la diversidad.                                               2. Participación en Armenia Diversa, desde estrategia comercial y dando paso a la apertura de bases sólidas que permitan una inclusión educativa basada en valores y tolerancia hacia las disposiciones que la demanda de las personas difiera.</t>
  </si>
  <si>
    <t>desde la jefatura de mujer y equidad adscrita a la secretaria de familia se reaizron 8 asistencias técnicas realziadas en los municipios de LaTebaida (1), Montenegro (1), Filandia (2), Salento (1), Quimbaya (1), Córdoba (2)</t>
  </si>
  <si>
    <t>Secretaría de Educación reporto la siguiente información: se realizaron mesas de trabajo para socializar las rutas de atención de convivencia escolar, con el objetivo de promover la vinculación de padres , madres, cuidadores y familia en el proceso educativo de NNA, factor fundamental para la garantía de ingreso y permanencia en el sistema educativo, así como del buen  desempeño académico y culminación de ciclos educativos completos. Se realizó mesa de trabajo con la procuradoria, defensoria, ICBF, policia de infancia y adolecencia, Secretaria de salud con el fin de definir la metodologia para la socializacion de las rutas de atencion de convivencia escolar en las IE. Para dar cumplimiento a este indicador estas mesas de trabajo se realizaron sin el uso de presupuestos programado, siendo el presupuesto programado para el primer trimestre de esta politica trasladado para dar cumplimiento a la meta  2201006 del plan de desarrollo</t>
  </si>
  <si>
    <t>Con la creación del consejo consultivo de diversidad sexual e identidad de género(Decreto 510/2020) y el correspondiente comité se dio cumplimiento al 100% de esta meta, el mismo sesiona de manera semestral</t>
  </si>
  <si>
    <t>Se han desarrollado las asistencias técnicas en la conformación y consolidación de espacios de participación de la población OSIGD así: 2020 (12), 2021 (2), 2022 (2),2023 (5), 2024 (8)</t>
  </si>
  <si>
    <t xml:space="preserve">La Alcaldía de Armenia refiere que, realizo una jornada de "capacitación a los(as/es) servidores públicos de la administración municipal, para atender de manera diferencial y con enfoque de género a las personas de esta población"en el primer comité docentes y orientadores escolares de instituciones educativas publicas y privadas de Armenia, se socializa las acciones de fortalecimiento para revisar planes de convivencia escolar.
</t>
  </si>
  <si>
    <r>
      <t xml:space="preserve">
INDEPORTES REPORTA QUE EN EL</t>
    </r>
    <r>
      <rPr>
        <sz val="20"/>
        <color rgb="FFFF0000"/>
        <rFont val="Calibri"/>
        <family val="2"/>
        <scheme val="minor"/>
      </rPr>
      <t xml:space="preserve"> </t>
    </r>
    <r>
      <rPr>
        <sz val="20"/>
        <rFont val="Calibri"/>
        <family val="2"/>
        <scheme val="minor"/>
      </rPr>
      <t xml:space="preserve">PRIMER SEMESTRE DEL 2024 QUE CONSTA DESDE EL 1 DE ENERO AL 30 DE JUNIO EN EL QUE  SE HAN IMPLEMENTADO PROGRAMAS DE ESCUELAS DEPORTIVAS, ADULTO MAYOR Y HABITOS Y ESTILOS DE VIDA SALUDABLE (HEVS) LOS CUÁLES SON ABIERTOS AL PÚBLICO DE FORMA INCLUSIVA DE MANERA GENERAL SE HA BRINDADO ATENCION A LOS DOCE MUNICIPIOS DEL DEPARTAMENTO
La alcaldía de Filandia reporta que la oferta deportiva se da de manera incluyente, cabe destacar que dentro de las escuelas formativas hay presencia de esta población.
La Alcaldía de Salento reporta que cuenta con accesibilidad, cobertura y participación de la población OSIGD en las escuelas de formación deportiva (fútbol, voleibol, baloncesto)
</t>
    </r>
  </si>
  <si>
    <r>
      <rPr>
        <sz val="20"/>
        <rFont val="Calibri"/>
        <family val="2"/>
        <scheme val="minor"/>
      </rPr>
      <t>Según el plan decenal esta meta esta proyectada para ejecutarse a partir de la vigencia 2024, sin embargo:</t>
    </r>
    <r>
      <rPr>
        <sz val="20"/>
        <color rgb="FFFF0000"/>
        <rFont val="Calibri"/>
        <family val="2"/>
        <scheme val="minor"/>
      </rPr>
      <t xml:space="preserve"> </t>
    </r>
    <r>
      <rPr>
        <sz val="20"/>
        <color theme="1"/>
        <rFont val="Calibri"/>
        <family val="2"/>
        <scheme val="minor"/>
      </rPr>
      <t xml:space="preserve">la Secretaria de Turismo, industria y comercio en las vigencias 2020,2021,2022 realizo asistencia técnica Departamental enfocada al fortalecimiento empresarial, acceso a nuevos mercados y emprendimientos.
</t>
    </r>
  </si>
  <si>
    <t xml:space="preserve">El observatorio se encuentra diseñado e implementado, el cual se encuentra actualmente en  el mejoramiento de la página web para facilitar el acceso de la población a la información allí consignada,
</t>
  </si>
  <si>
    <t>El municipio de Filandia reporta la existe el comité de paz donde dentro de su plan de acción esta incluido el componente de género,
Desde la Secretaría del Interiro  se reporta lo siguiente: el plan de acción de DH y DIH departamental se contempla la atención y acompañamiento a mujeres y población OSIGD victimas de violencia basada en género y otros tipos de violencia dentro del marco del conflicto armado</t>
  </si>
  <si>
    <r>
      <t xml:space="preserve">POLÍTICA PÚBLICA DE DIVERSIDAD SEXUAL E IDENTIDAD DE GÉNERO 2019-2029  </t>
    </r>
    <r>
      <rPr>
        <b/>
        <i/>
        <sz val="26"/>
        <rFont val="Arial"/>
        <family val="2"/>
      </rPr>
      <t>QUINDÍO DIVERSO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</si>
</sst>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
  </numFmts>
  <fonts count="29"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sz val="36"/>
      <name val="Calibri"/>
      <family val="2"/>
      <scheme val="minor"/>
    </font>
    <font>
      <sz val="11"/>
      <color theme="1"/>
      <name val="Calibri"/>
      <family val="2"/>
      <scheme val="minor"/>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sz val="20"/>
      <name val="Calibri"/>
      <family val="2"/>
    </font>
    <font>
      <b/>
      <sz val="20"/>
      <name val="Calibri"/>
      <family val="2"/>
    </font>
    <font>
      <b/>
      <sz val="20"/>
      <name val="Calibri"/>
      <family val="2"/>
      <scheme val="minor"/>
    </font>
    <font>
      <sz val="18"/>
      <color theme="1"/>
      <name val="Calibri"/>
      <family val="2"/>
      <scheme val="minor"/>
    </font>
    <font>
      <sz val="8"/>
      <name val="Calibri"/>
      <family val="2"/>
      <scheme val="minor"/>
    </font>
    <font>
      <sz val="20"/>
      <color rgb="FFFF0000"/>
      <name val="Calibri"/>
      <family val="2"/>
      <scheme val="minor"/>
    </font>
    <font>
      <b/>
      <i/>
      <sz val="26"/>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FF3300"/>
        <bgColor indexed="64"/>
      </patternFill>
    </fill>
    <fill>
      <patternFill patternType="solid">
        <fgColor rgb="FFCC00FF"/>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173">
    <xf numFmtId="0" fontId="0" fillId="0" borderId="0" xfId="0"/>
    <xf numFmtId="0" fontId="0" fillId="0" borderId="0" xfId="0"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xf>
    <xf numFmtId="0" fontId="7" fillId="5" borderId="15" xfId="0" applyFont="1" applyFill="1" applyBorder="1" applyAlignment="1">
      <alignment horizontal="center" vertical="center"/>
    </xf>
    <xf numFmtId="0" fontId="7" fillId="0" borderId="16" xfId="0" applyFont="1" applyBorder="1" applyAlignment="1">
      <alignment horizontal="center" vertical="center"/>
    </xf>
    <xf numFmtId="0" fontId="7" fillId="8" borderId="15" xfId="0" applyFont="1" applyFill="1" applyBorder="1" applyAlignment="1">
      <alignment horizontal="center" vertical="center"/>
    </xf>
    <xf numFmtId="0" fontId="7" fillId="3" borderId="15" xfId="0" applyFont="1" applyFill="1" applyBorder="1" applyAlignment="1">
      <alignment horizontal="center" vertical="center"/>
    </xf>
    <xf numFmtId="0" fontId="7" fillId="11" borderId="15" xfId="0" applyFont="1" applyFill="1" applyBorder="1" applyAlignment="1">
      <alignment horizontal="center" vertical="center"/>
    </xf>
    <xf numFmtId="0" fontId="7" fillId="4" borderId="15" xfId="0" applyFont="1" applyFill="1" applyBorder="1" applyAlignment="1">
      <alignment horizontal="center" vertical="center"/>
    </xf>
    <xf numFmtId="0" fontId="10" fillId="7" borderId="16"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10" fillId="0" borderId="15" xfId="0" applyFont="1" applyBorder="1" applyAlignment="1">
      <alignment horizontal="center" vertical="center"/>
    </xf>
    <xf numFmtId="0" fontId="10" fillId="0" borderId="8" xfId="0" applyFont="1" applyBorder="1" applyAlignment="1">
      <alignment horizontal="center" vertical="center" wrapText="1"/>
    </xf>
    <xf numFmtId="0" fontId="9" fillId="0" borderId="16" xfId="0" applyFont="1" applyBorder="1" applyAlignment="1">
      <alignment horizontal="center" vertical="center"/>
    </xf>
    <xf numFmtId="0" fontId="9" fillId="5" borderId="9" xfId="0" applyFont="1" applyFill="1" applyBorder="1" applyAlignment="1">
      <alignment horizontal="center" vertical="center"/>
    </xf>
    <xf numFmtId="0" fontId="9" fillId="8" borderId="9" xfId="0" applyFont="1" applyFill="1" applyBorder="1" applyAlignment="1">
      <alignment horizontal="center" vertical="center"/>
    </xf>
    <xf numFmtId="0" fontId="9" fillId="9"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10" borderId="16" xfId="0" applyFont="1" applyFill="1" applyBorder="1" applyAlignment="1">
      <alignment horizontal="center" vertical="center"/>
    </xf>
    <xf numFmtId="0" fontId="9" fillId="5" borderId="15" xfId="0" applyFont="1" applyFill="1" applyBorder="1" applyAlignment="1">
      <alignment horizontal="center" vertical="center"/>
    </xf>
    <xf numFmtId="0" fontId="9" fillId="6"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11" fillId="0" borderId="0" xfId="0" applyFont="1" applyAlignment="1">
      <alignment wrapText="1"/>
    </xf>
    <xf numFmtId="0" fontId="12" fillId="0" borderId="0" xfId="1" applyFont="1" applyFill="1" applyAlignment="1">
      <alignment horizontal="left" vertical="center" wrapText="1"/>
    </xf>
    <xf numFmtId="0" fontId="13" fillId="0" borderId="0" xfId="1" applyFont="1" applyFill="1" applyAlignment="1">
      <alignment horizontal="left" vertical="center" wrapText="1"/>
    </xf>
    <xf numFmtId="0" fontId="2" fillId="0" borderId="1" xfId="0" applyFont="1" applyBorder="1" applyAlignment="1">
      <alignment horizontal="center" vertical="center"/>
    </xf>
    <xf numFmtId="0" fontId="4" fillId="3" borderId="9"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0" fillId="0" borderId="18" xfId="0" applyFont="1" applyBorder="1" applyAlignment="1">
      <alignment horizontal="center" vertical="center" wrapText="1"/>
    </xf>
    <xf numFmtId="0" fontId="5" fillId="14"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9" fontId="5" fillId="0" borderId="1" xfId="2" applyFont="1" applyBorder="1" applyAlignment="1">
      <alignment horizontal="center" vertical="center" wrapText="1"/>
    </xf>
    <xf numFmtId="9" fontId="2" fillId="12" borderId="1" xfId="2" applyFont="1" applyFill="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 fillId="16"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1" fillId="0" borderId="1" xfId="4"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16" borderId="4" xfId="2" applyFont="1" applyFill="1" applyBorder="1" applyAlignment="1">
      <alignment horizontal="center"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4" xfId="0" applyFont="1" applyBorder="1" applyAlignment="1">
      <alignment horizontal="justify" vertical="center" wrapText="1"/>
    </xf>
    <xf numFmtId="9" fontId="5" fillId="18" borderId="1" xfId="2" applyFont="1" applyFill="1" applyBorder="1" applyAlignment="1">
      <alignment horizontal="center" vertical="center" wrapText="1"/>
    </xf>
    <xf numFmtId="9" fontId="5" fillId="19" borderId="1" xfId="2"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17" fillId="14" borderId="1" xfId="0" applyFont="1" applyFill="1" applyBorder="1" applyAlignment="1">
      <alignment horizontal="justify" vertical="center" wrapText="1"/>
    </xf>
    <xf numFmtId="0" fontId="17" fillId="14" borderId="1" xfId="0" applyFont="1" applyFill="1" applyBorder="1" applyAlignment="1">
      <alignment horizontal="center" vertical="center" wrapText="1"/>
    </xf>
    <xf numFmtId="9" fontId="5" fillId="14" borderId="1" xfId="2" applyFont="1" applyFill="1" applyBorder="1" applyAlignment="1">
      <alignment horizontal="center" vertical="center" wrapText="1"/>
    </xf>
    <xf numFmtId="0" fontId="19" fillId="14" borderId="1" xfId="0" applyFont="1" applyFill="1" applyBorder="1" applyAlignment="1">
      <alignment vertical="center" wrapText="1"/>
    </xf>
    <xf numFmtId="2" fontId="5" fillId="14" borderId="1" xfId="0" applyNumberFormat="1"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0" fontId="19" fillId="14" borderId="1" xfId="0" applyFont="1" applyFill="1" applyBorder="1" applyAlignment="1">
      <alignment horizontal="left" vertical="center" wrapText="1"/>
    </xf>
    <xf numFmtId="9" fontId="5" fillId="14" borderId="1" xfId="3"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44" fontId="5" fillId="14" borderId="1" xfId="4" applyFont="1" applyFill="1" applyBorder="1" applyAlignment="1">
      <alignment horizontal="center" vertical="center" wrapText="1"/>
    </xf>
    <xf numFmtId="0" fontId="5" fillId="14" borderId="0" xfId="0" applyFont="1" applyFill="1" applyAlignment="1">
      <alignment wrapText="1"/>
    </xf>
    <xf numFmtId="0" fontId="2"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4"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21" fillId="14" borderId="1" xfId="0" applyFont="1" applyFill="1" applyBorder="1" applyAlignment="1">
      <alignment horizontal="center" vertical="center" wrapText="1"/>
    </xf>
    <xf numFmtId="0" fontId="0" fillId="0" borderId="0" xfId="0" applyAlignment="1">
      <alignment wrapText="1"/>
    </xf>
    <xf numFmtId="0" fontId="17" fillId="0" borderId="0" xfId="0" applyFont="1" applyAlignment="1">
      <alignment horizontal="center" vertical="center" wrapText="1"/>
    </xf>
    <xf numFmtId="9" fontId="11" fillId="0" borderId="0" xfId="3" applyNumberFormat="1" applyFont="1" applyFill="1" applyAlignment="1">
      <alignment wrapText="1"/>
    </xf>
    <xf numFmtId="164" fontId="11" fillId="0" borderId="0" xfId="0" applyNumberFormat="1" applyFont="1" applyAlignment="1">
      <alignment wrapText="1"/>
    </xf>
    <xf numFmtId="9" fontId="11" fillId="0" borderId="0" xfId="2" applyFont="1" applyFill="1" applyAlignment="1">
      <alignment wrapText="1"/>
    </xf>
    <xf numFmtId="44" fontId="11" fillId="0" borderId="0" xfId="4" applyFont="1" applyFill="1" applyAlignment="1">
      <alignment wrapText="1"/>
    </xf>
    <xf numFmtId="0" fontId="11" fillId="0" borderId="0" xfId="0" applyFont="1" applyAlignment="1">
      <alignment horizontal="justify" vertical="center" wrapText="1"/>
    </xf>
    <xf numFmtId="10" fontId="11" fillId="0" borderId="0" xfId="0" applyNumberFormat="1" applyFont="1" applyAlignment="1">
      <alignment horizontal="justify" wrapText="1"/>
    </xf>
    <xf numFmtId="0" fontId="14" fillId="0" borderId="0" xfId="0" applyFont="1"/>
    <xf numFmtId="0" fontId="18" fillId="0" borderId="0" xfId="0" applyFont="1"/>
    <xf numFmtId="9" fontId="14" fillId="0" borderId="0" xfId="3" applyNumberFormat="1" applyFont="1" applyFill="1" applyAlignment="1"/>
    <xf numFmtId="164" fontId="14" fillId="0" borderId="0" xfId="0" applyNumberFormat="1" applyFont="1"/>
    <xf numFmtId="9" fontId="14" fillId="0" borderId="0" xfId="2" applyFont="1" applyFill="1" applyAlignment="1"/>
    <xf numFmtId="44" fontId="14" fillId="0" borderId="0" xfId="4" applyFont="1" applyFill="1"/>
    <xf numFmtId="0" fontId="14" fillId="0" borderId="0" xfId="0" applyFont="1" applyAlignment="1">
      <alignment horizontal="justify" vertical="center"/>
    </xf>
    <xf numFmtId="9" fontId="14" fillId="0" borderId="0" xfId="2" applyFont="1" applyFill="1"/>
    <xf numFmtId="10" fontId="14" fillId="0" borderId="0" xfId="0" applyNumberFormat="1" applyFont="1" applyAlignment="1">
      <alignment horizontal="justify" wrapText="1"/>
    </xf>
    <xf numFmtId="0" fontId="21" fillId="14" borderId="1" xfId="0" applyFont="1" applyFill="1" applyBorder="1" applyAlignment="1">
      <alignment horizontal="justify" vertical="center" wrapText="1"/>
    </xf>
    <xf numFmtId="164" fontId="2" fillId="12" borderId="1" xfId="0" applyNumberFormat="1" applyFont="1" applyFill="1" applyBorder="1" applyAlignment="1">
      <alignment horizontal="center" vertical="center" wrapText="1"/>
    </xf>
    <xf numFmtId="3" fontId="25" fillId="0" borderId="1" xfId="0" applyNumberFormat="1" applyFont="1" applyBorder="1" applyAlignment="1">
      <alignment horizontal="center" vertical="center" wrapText="1"/>
    </xf>
    <xf numFmtId="9" fontId="5" fillId="4" borderId="1" xfId="2"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9" fontId="5" fillId="2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4" fillId="0" borderId="0" xfId="0" applyFont="1" applyAlignment="1">
      <alignment horizontal="justify"/>
    </xf>
    <xf numFmtId="0" fontId="22" fillId="14" borderId="20" xfId="0" applyFont="1" applyFill="1" applyBorder="1" applyAlignment="1">
      <alignment horizontal="justify" vertical="center" wrapText="1"/>
    </xf>
    <xf numFmtId="0" fontId="11" fillId="0" borderId="0" xfId="0" applyFont="1" applyAlignment="1">
      <alignment horizontal="justify" wrapText="1"/>
    </xf>
    <xf numFmtId="0" fontId="5" fillId="14" borderId="19" xfId="0" applyFont="1" applyFill="1" applyBorder="1" applyAlignment="1">
      <alignment horizontal="justify" vertical="center" wrapText="1"/>
    </xf>
    <xf numFmtId="0" fontId="5" fillId="0" borderId="1" xfId="0" applyFont="1" applyFill="1" applyBorder="1" applyAlignment="1">
      <alignment horizontal="justify" vertical="center" wrapText="1"/>
    </xf>
    <xf numFmtId="2" fontId="5" fillId="4" borderId="1" xfId="2" applyNumberFormat="1" applyFont="1" applyFill="1" applyBorder="1" applyAlignment="1">
      <alignment horizontal="center" vertical="center" wrapText="1"/>
    </xf>
    <xf numFmtId="2" fontId="5" fillId="13" borderId="1" xfId="2" applyNumberFormat="1" applyFont="1" applyFill="1" applyBorder="1" applyAlignment="1">
      <alignment horizontal="center" vertical="center" wrapText="1"/>
    </xf>
    <xf numFmtId="44" fontId="5" fillId="0" borderId="1" xfId="4" applyFont="1" applyFill="1" applyBorder="1" applyAlignment="1">
      <alignment horizontal="center" vertical="center" wrapText="1"/>
    </xf>
    <xf numFmtId="0" fontId="21"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9" fontId="5" fillId="5" borderId="1" xfId="0" applyNumberFormat="1" applyFont="1" applyFill="1" applyBorder="1" applyAlignment="1">
      <alignment horizontal="center" vertical="center" wrapText="1"/>
    </xf>
    <xf numFmtId="0" fontId="19" fillId="14" borderId="1" xfId="0" applyFont="1" applyFill="1" applyBorder="1" applyAlignment="1">
      <alignment horizontal="justify" vertical="center" wrapText="1"/>
    </xf>
    <xf numFmtId="9" fontId="5" fillId="14" borderId="1" xfId="0" applyNumberFormat="1" applyFont="1" applyFill="1" applyBorder="1" applyAlignment="1">
      <alignment horizontal="center" vertical="center" wrapText="1"/>
    </xf>
    <xf numFmtId="9" fontId="5" fillId="21" borderId="1" xfId="2" applyFont="1" applyFill="1" applyBorder="1" applyAlignment="1">
      <alignment horizontal="center" vertical="center" wrapText="1"/>
    </xf>
    <xf numFmtId="0" fontId="5" fillId="0" borderId="19" xfId="0" applyFont="1" applyFill="1" applyBorder="1" applyAlignment="1">
      <alignment horizontal="justify" vertical="center" wrapText="1"/>
    </xf>
    <xf numFmtId="0" fontId="8"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9" fillId="15" borderId="12" xfId="0" applyFont="1" applyFill="1" applyBorder="1" applyAlignment="1">
      <alignment horizontal="center" vertical="center"/>
    </xf>
    <xf numFmtId="0" fontId="9" fillId="15" borderId="13" xfId="0" applyFont="1" applyFill="1" applyBorder="1" applyAlignment="1">
      <alignment horizontal="center" vertical="center"/>
    </xf>
    <xf numFmtId="0" fontId="9" fillId="15" borderId="14" xfId="0" applyFont="1" applyFill="1" applyBorder="1" applyAlignment="1">
      <alignment horizontal="center" vertical="center"/>
    </xf>
    <xf numFmtId="0" fontId="0" fillId="0" borderId="0" xfId="0" applyAlignment="1">
      <alignment horizontal="center"/>
    </xf>
    <xf numFmtId="0" fontId="9" fillId="6" borderId="11"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1"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2" fillId="16" borderId="4" xfId="0" applyFont="1" applyFill="1" applyBorder="1" applyAlignment="1">
      <alignment horizontal="justify" vertical="center" wrapText="1"/>
    </xf>
    <xf numFmtId="0" fontId="8" fillId="17" borderId="1" xfId="0" applyFont="1" applyFill="1" applyBorder="1" applyAlignment="1">
      <alignment horizontal="center" vertical="center" wrapText="1"/>
    </xf>
    <xf numFmtId="0" fontId="5" fillId="2" borderId="1" xfId="0" applyFont="1" applyFill="1" applyBorder="1" applyAlignment="1">
      <alignment wrapText="1"/>
    </xf>
    <xf numFmtId="0" fontId="16"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 xfId="0" applyFont="1" applyBorder="1" applyAlignment="1">
      <alignment horizontal="justify" vertical="center" wrapText="1"/>
    </xf>
    <xf numFmtId="0" fontId="13" fillId="0" borderId="0" xfId="1" applyFont="1" applyFill="1" applyAlignment="1">
      <alignment horizontal="justify" vertical="center" wrapText="1"/>
    </xf>
    <xf numFmtId="0" fontId="8" fillId="12" borderId="21" xfId="0" applyFont="1" applyFill="1" applyBorder="1" applyAlignment="1">
      <alignment horizontal="center" vertical="center" wrapText="1"/>
    </xf>
    <xf numFmtId="0" fontId="8" fillId="0" borderId="1" xfId="0" applyFont="1" applyBorder="1" applyAlignment="1">
      <alignment horizontal="center" vertical="center"/>
    </xf>
  </cellXfs>
  <cellStyles count="5">
    <cellStyle name="Hipervínculo" xfId="1" builtinId="8"/>
    <cellStyle name="Millares" xfId="3" builtinId="3"/>
    <cellStyle name="Moneda" xfId="4" builtinId="4"/>
    <cellStyle name="Normal" xfId="0" builtinId="0"/>
    <cellStyle name="Porcentaje" xfId="2" builtinId="5"/>
  </cellStyles>
  <dxfs count="4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C000"/>
        </patternFill>
      </fill>
    </dxf>
    <dxf>
      <numFmt numFmtId="2" formatCode="0.00"/>
      <fill>
        <patternFill>
          <bgColor rgb="FFFF0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s>
  <tableStyles count="0" defaultTableStyle="TableStyleMedium2" defaultPivotStyle="PivotStyleLight16"/>
  <colors>
    <mruColors>
      <color rgb="FFEC94FE"/>
      <color rgb="FFCC00FF"/>
      <color rgb="FFFF3300"/>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76"/>
  <sheetViews>
    <sheetView tabSelected="1" zoomScale="40" zoomScaleNormal="40" zoomScaleSheetLayoutView="50" workbookViewId="0">
      <selection activeCell="P4" sqref="P4"/>
    </sheetView>
  </sheetViews>
  <sheetFormatPr baseColWidth="10" defaultColWidth="11.42578125" defaultRowHeight="102.75" customHeight="1" x14ac:dyDescent="0.25"/>
  <cols>
    <col min="1" max="1" width="11.42578125" style="25" customWidth="1"/>
    <col min="2" max="2" width="31.28515625" style="25" customWidth="1"/>
    <col min="3" max="3" width="7.7109375" style="25" bestFit="1" customWidth="1"/>
    <col min="4" max="4" width="34.85546875" style="124" customWidth="1"/>
    <col min="5" max="5" width="10.28515625" style="25" bestFit="1" customWidth="1"/>
    <col min="6" max="6" width="41.85546875" style="25" customWidth="1"/>
    <col min="7" max="7" width="19" style="25" customWidth="1"/>
    <col min="8" max="8" width="41.140625" style="25" customWidth="1"/>
    <col min="9" max="9" width="35" style="96" customWidth="1"/>
    <col min="10" max="11" width="28.5703125" style="97" customWidth="1"/>
    <col min="12" max="12" width="20.42578125" style="25" customWidth="1"/>
    <col min="13" max="13" width="21.5703125" style="25" bestFit="1" customWidth="1"/>
    <col min="14" max="14" width="24.140625" style="25" customWidth="1"/>
    <col min="15" max="15" width="26.5703125" style="25" customWidth="1"/>
    <col min="16" max="16" width="28" style="25" customWidth="1"/>
    <col min="17" max="17" width="59.85546875" style="25" customWidth="1"/>
    <col min="18" max="18" width="27.28515625" style="25" bestFit="1" customWidth="1"/>
    <col min="19" max="19" width="21.5703125" style="25" bestFit="1" customWidth="1"/>
    <col min="20" max="20" width="28.7109375" style="25" customWidth="1"/>
    <col min="21" max="21" width="31.5703125" style="25" customWidth="1"/>
    <col min="22" max="22" width="33.42578125" style="25" customWidth="1"/>
    <col min="23" max="23" width="67" style="96" customWidth="1"/>
    <col min="24" max="24" width="16.140625" style="25" customWidth="1"/>
    <col min="25" max="25" width="17.7109375" style="25" customWidth="1"/>
    <col min="26" max="26" width="34.85546875" style="98" customWidth="1"/>
    <col min="27" max="27" width="39.140625" style="99" customWidth="1"/>
    <col min="28" max="28" width="35.85546875" style="99" customWidth="1"/>
    <col min="29" max="29" width="30.140625" style="100" customWidth="1"/>
    <col min="30" max="30" width="79.5703125" style="124" customWidth="1"/>
    <col min="31" max="31" width="20.85546875" style="25" customWidth="1"/>
    <col min="32" max="32" width="20.28515625" style="25" customWidth="1"/>
    <col min="33" max="33" width="19.5703125" style="98" customWidth="1"/>
    <col min="34" max="34" width="35.7109375" style="101" customWidth="1"/>
    <col min="35" max="35" width="35.140625" style="101" customWidth="1"/>
    <col min="36" max="36" width="17.5703125" style="100" customWidth="1"/>
    <col min="37" max="37" width="61.42578125" style="102" customWidth="1"/>
    <col min="38" max="38" width="14.7109375" style="25" customWidth="1"/>
    <col min="39" max="39" width="14.140625" style="25" customWidth="1"/>
    <col min="40" max="40" width="19.5703125" style="98" customWidth="1"/>
    <col min="41" max="41" width="34.7109375" style="101" customWidth="1"/>
    <col min="42" max="42" width="35.140625" style="101" customWidth="1"/>
    <col min="43" max="43" width="17.5703125" style="100" customWidth="1"/>
    <col min="44" max="44" width="63.140625" style="102" customWidth="1"/>
    <col min="45" max="45" width="16.85546875" style="25" customWidth="1"/>
    <col min="46" max="46" width="17" style="25" customWidth="1"/>
    <col min="47" max="47" width="21.85546875" style="100" customWidth="1"/>
    <col min="48" max="48" width="88.28515625" style="103" customWidth="1"/>
    <col min="49" max="16384" width="11.42578125" style="25"/>
  </cols>
  <sheetData>
    <row r="1" spans="1:48" s="104" customFormat="1" ht="50.25" customHeight="1" x14ac:dyDescent="0.7">
      <c r="A1" s="172" t="s">
        <v>434</v>
      </c>
      <c r="B1" s="172"/>
      <c r="C1" s="172"/>
      <c r="D1" s="172"/>
      <c r="E1" s="172"/>
      <c r="F1" s="172"/>
      <c r="G1" s="172"/>
      <c r="H1" s="172"/>
      <c r="I1" s="172"/>
      <c r="J1" s="172"/>
      <c r="K1" s="172"/>
      <c r="W1" s="105"/>
      <c r="Z1" s="106"/>
      <c r="AA1" s="107"/>
      <c r="AB1" s="107"/>
      <c r="AC1" s="108"/>
      <c r="AD1" s="122"/>
      <c r="AG1" s="106"/>
      <c r="AH1" s="109"/>
      <c r="AI1" s="109"/>
      <c r="AJ1" s="108"/>
      <c r="AK1" s="110"/>
      <c r="AN1" s="106"/>
      <c r="AO1" s="109"/>
      <c r="AP1" s="109"/>
      <c r="AQ1" s="108"/>
      <c r="AR1" s="110"/>
      <c r="AU1" s="111"/>
      <c r="AV1" s="112"/>
    </row>
    <row r="2" spans="1:48" ht="36.75" customHeight="1" x14ac:dyDescent="0.25">
      <c r="A2" s="172"/>
      <c r="B2" s="172"/>
      <c r="C2" s="172"/>
      <c r="D2" s="172"/>
      <c r="E2" s="172"/>
      <c r="F2" s="172"/>
      <c r="G2" s="172"/>
      <c r="H2" s="172"/>
      <c r="I2" s="172"/>
      <c r="J2" s="172"/>
      <c r="K2" s="172"/>
      <c r="L2" s="171">
        <v>2020</v>
      </c>
      <c r="M2" s="137"/>
      <c r="N2" s="137"/>
      <c r="O2" s="137"/>
      <c r="P2" s="137"/>
      <c r="Q2" s="137"/>
      <c r="R2" s="137">
        <v>2021</v>
      </c>
      <c r="S2" s="137"/>
      <c r="T2" s="137"/>
      <c r="U2" s="137"/>
      <c r="V2" s="137"/>
      <c r="W2" s="137"/>
      <c r="X2" s="137">
        <v>2022</v>
      </c>
      <c r="Y2" s="137"/>
      <c r="Z2" s="137"/>
      <c r="AA2" s="137"/>
      <c r="AB2" s="137"/>
      <c r="AC2" s="137"/>
      <c r="AD2" s="137"/>
      <c r="AE2" s="137">
        <v>2023</v>
      </c>
      <c r="AF2" s="137"/>
      <c r="AG2" s="137"/>
      <c r="AH2" s="137"/>
      <c r="AI2" s="137"/>
      <c r="AJ2" s="137"/>
      <c r="AK2" s="137"/>
      <c r="AL2" s="137" t="s">
        <v>421</v>
      </c>
      <c r="AM2" s="137"/>
      <c r="AN2" s="137"/>
      <c r="AO2" s="137"/>
      <c r="AP2" s="137"/>
      <c r="AQ2" s="137"/>
      <c r="AR2" s="137"/>
      <c r="AS2" s="162" t="s">
        <v>324</v>
      </c>
      <c r="AT2" s="162"/>
      <c r="AU2" s="162"/>
      <c r="AV2" s="162"/>
    </row>
    <row r="3" spans="1:48" s="40" customFormat="1" ht="102.75" customHeight="1" x14ac:dyDescent="0.4">
      <c r="A3" s="163"/>
      <c r="B3" s="41" t="s">
        <v>4</v>
      </c>
      <c r="C3" s="138" t="s">
        <v>0</v>
      </c>
      <c r="D3" s="138"/>
      <c r="E3" s="138" t="s">
        <v>5</v>
      </c>
      <c r="F3" s="138"/>
      <c r="G3" s="139" t="s">
        <v>1</v>
      </c>
      <c r="H3" s="139"/>
      <c r="I3" s="164" t="s">
        <v>6</v>
      </c>
      <c r="J3" s="164" t="s">
        <v>2</v>
      </c>
      <c r="K3" s="164" t="s">
        <v>3</v>
      </c>
      <c r="L3" s="38" t="s">
        <v>252</v>
      </c>
      <c r="M3" s="38" t="s">
        <v>253</v>
      </c>
      <c r="N3" s="38" t="s">
        <v>254</v>
      </c>
      <c r="O3" s="38" t="s">
        <v>272</v>
      </c>
      <c r="P3" s="38" t="s">
        <v>273</v>
      </c>
      <c r="Q3" s="90" t="s">
        <v>255</v>
      </c>
      <c r="R3" s="38" t="s">
        <v>252</v>
      </c>
      <c r="S3" s="38" t="s">
        <v>253</v>
      </c>
      <c r="T3" s="38" t="s">
        <v>254</v>
      </c>
      <c r="U3" s="38" t="s">
        <v>272</v>
      </c>
      <c r="V3" s="38" t="s">
        <v>273</v>
      </c>
      <c r="W3" s="90" t="s">
        <v>255</v>
      </c>
      <c r="X3" s="38" t="s">
        <v>252</v>
      </c>
      <c r="Y3" s="38" t="s">
        <v>253</v>
      </c>
      <c r="Z3" s="59" t="s">
        <v>254</v>
      </c>
      <c r="AA3" s="114" t="s">
        <v>272</v>
      </c>
      <c r="AB3" s="114" t="s">
        <v>273</v>
      </c>
      <c r="AC3" s="57" t="s">
        <v>302</v>
      </c>
      <c r="AD3" s="90" t="s">
        <v>255</v>
      </c>
      <c r="AE3" s="38" t="s">
        <v>252</v>
      </c>
      <c r="AF3" s="38" t="s">
        <v>253</v>
      </c>
      <c r="AG3" s="59" t="s">
        <v>254</v>
      </c>
      <c r="AH3" s="66" t="s">
        <v>272</v>
      </c>
      <c r="AI3" s="66" t="s">
        <v>273</v>
      </c>
      <c r="AJ3" s="57" t="s">
        <v>302</v>
      </c>
      <c r="AK3" s="90" t="s">
        <v>255</v>
      </c>
      <c r="AL3" s="38" t="s">
        <v>252</v>
      </c>
      <c r="AM3" s="38" t="s">
        <v>253</v>
      </c>
      <c r="AN3" s="59" t="s">
        <v>254</v>
      </c>
      <c r="AO3" s="66" t="s">
        <v>272</v>
      </c>
      <c r="AP3" s="66" t="s">
        <v>273</v>
      </c>
      <c r="AQ3" s="57" t="s">
        <v>302</v>
      </c>
      <c r="AR3" s="90" t="s">
        <v>255</v>
      </c>
      <c r="AS3" s="64" t="s">
        <v>321</v>
      </c>
      <c r="AT3" s="64" t="s">
        <v>322</v>
      </c>
      <c r="AU3" s="71" t="s">
        <v>256</v>
      </c>
      <c r="AV3" s="161" t="s">
        <v>323</v>
      </c>
    </row>
    <row r="4" spans="1:48" s="40" customFormat="1" ht="241.5" customHeight="1" x14ac:dyDescent="0.4">
      <c r="A4" s="141" t="s">
        <v>7</v>
      </c>
      <c r="B4" s="143" t="s">
        <v>8</v>
      </c>
      <c r="C4" s="141" t="s">
        <v>144</v>
      </c>
      <c r="D4" s="165" t="s">
        <v>9</v>
      </c>
      <c r="E4" s="37" t="s">
        <v>155</v>
      </c>
      <c r="F4" s="34" t="s">
        <v>10</v>
      </c>
      <c r="G4" s="31" t="s">
        <v>11</v>
      </c>
      <c r="H4" s="34" t="s">
        <v>140</v>
      </c>
      <c r="I4" s="72" t="s">
        <v>217</v>
      </c>
      <c r="J4" s="51" t="s">
        <v>73</v>
      </c>
      <c r="K4" s="51" t="s">
        <v>75</v>
      </c>
      <c r="L4" s="39">
        <v>1</v>
      </c>
      <c r="M4" s="39">
        <v>1</v>
      </c>
      <c r="N4" s="45">
        <f>(M4/L4)*100</f>
        <v>100</v>
      </c>
      <c r="O4" s="39"/>
      <c r="P4" s="39"/>
      <c r="Q4" s="54" t="s">
        <v>258</v>
      </c>
      <c r="R4" s="39">
        <v>1</v>
      </c>
      <c r="S4" s="39">
        <v>0</v>
      </c>
      <c r="T4" s="42">
        <f>(S4/R4)*100</f>
        <v>0</v>
      </c>
      <c r="U4" s="39"/>
      <c r="V4" s="44"/>
      <c r="W4" s="54" t="s">
        <v>259</v>
      </c>
      <c r="X4" s="39">
        <v>1</v>
      </c>
      <c r="Y4" s="39">
        <v>0.5</v>
      </c>
      <c r="Z4" s="60">
        <f>(Y4/X4)*100</f>
        <v>50</v>
      </c>
      <c r="AA4" s="62">
        <v>525000</v>
      </c>
      <c r="AB4" s="44">
        <v>525000</v>
      </c>
      <c r="AC4" s="56">
        <v>1</v>
      </c>
      <c r="AD4" s="92" t="s">
        <v>380</v>
      </c>
      <c r="AE4" s="39">
        <v>1</v>
      </c>
      <c r="AF4" s="39">
        <v>1</v>
      </c>
      <c r="AG4" s="60">
        <f>(AF4/AE4)*100</f>
        <v>100</v>
      </c>
      <c r="AH4" s="67">
        <v>0</v>
      </c>
      <c r="AI4" s="67">
        <v>0</v>
      </c>
      <c r="AJ4" s="56">
        <v>0</v>
      </c>
      <c r="AK4" s="126" t="s">
        <v>385</v>
      </c>
      <c r="AL4" s="39">
        <v>1</v>
      </c>
      <c r="AM4" s="39">
        <v>1</v>
      </c>
      <c r="AN4" s="60">
        <f>(AM4/AL4)*100</f>
        <v>100</v>
      </c>
      <c r="AO4" s="67">
        <v>0</v>
      </c>
      <c r="AP4" s="67">
        <v>0</v>
      </c>
      <c r="AQ4" s="56">
        <v>0</v>
      </c>
      <c r="AR4" s="126" t="s">
        <v>385</v>
      </c>
      <c r="AS4" s="39">
        <v>1</v>
      </c>
      <c r="AT4" s="120">
        <v>1</v>
      </c>
      <c r="AU4" s="65">
        <v>100</v>
      </c>
      <c r="AV4" s="126" t="s">
        <v>389</v>
      </c>
    </row>
    <row r="5" spans="1:48" s="40" customFormat="1" ht="249.75" customHeight="1" x14ac:dyDescent="0.4">
      <c r="A5" s="141"/>
      <c r="B5" s="143"/>
      <c r="C5" s="141"/>
      <c r="D5" s="165"/>
      <c r="E5" s="37" t="s">
        <v>156</v>
      </c>
      <c r="F5" s="32" t="s">
        <v>12</v>
      </c>
      <c r="G5" s="28" t="s">
        <v>141</v>
      </c>
      <c r="H5" s="32" t="s">
        <v>41</v>
      </c>
      <c r="I5" s="73" t="s">
        <v>218</v>
      </c>
      <c r="J5" s="52" t="s">
        <v>74</v>
      </c>
      <c r="K5" s="52" t="s">
        <v>75</v>
      </c>
      <c r="L5" s="39">
        <v>1</v>
      </c>
      <c r="M5" s="39">
        <v>0</v>
      </c>
      <c r="N5" s="46">
        <f t="shared" ref="N5:N42" si="0">(M5/L5)*100</f>
        <v>0</v>
      </c>
      <c r="O5" s="39"/>
      <c r="P5" s="39"/>
      <c r="Q5" s="54" t="s">
        <v>259</v>
      </c>
      <c r="R5" s="39">
        <v>1</v>
      </c>
      <c r="S5" s="39">
        <v>0</v>
      </c>
      <c r="T5" s="39">
        <f t="shared" ref="T5:T42" si="1">(S5/R5)*100</f>
        <v>0</v>
      </c>
      <c r="U5" s="39"/>
      <c r="V5" s="44">
        <v>0</v>
      </c>
      <c r="W5" s="54" t="s">
        <v>259</v>
      </c>
      <c r="X5" s="39">
        <v>1</v>
      </c>
      <c r="Y5" s="39">
        <v>1</v>
      </c>
      <c r="Z5" s="60">
        <f>(Y5/X5)*100</f>
        <v>100</v>
      </c>
      <c r="AA5" s="62">
        <v>1320000</v>
      </c>
      <c r="AB5" s="44">
        <v>1320000</v>
      </c>
      <c r="AC5" s="56">
        <f>AA5/AB5</f>
        <v>1</v>
      </c>
      <c r="AD5" s="92" t="s">
        <v>379</v>
      </c>
      <c r="AE5" s="39">
        <v>1</v>
      </c>
      <c r="AF5" s="120">
        <v>1</v>
      </c>
      <c r="AG5" s="60">
        <f>(AF5/AE5)*100</f>
        <v>100</v>
      </c>
      <c r="AH5" s="67">
        <f>360000+360000+360000+360000</f>
        <v>1440000</v>
      </c>
      <c r="AI5" s="67">
        <f>360000+360000+360000+360000</f>
        <v>1440000</v>
      </c>
      <c r="AJ5" s="56">
        <f t="shared" ref="AJ5:AJ36" si="2">+(AI5/AH5)</f>
        <v>1</v>
      </c>
      <c r="AK5" s="126" t="s">
        <v>387</v>
      </c>
      <c r="AL5" s="39">
        <v>1</v>
      </c>
      <c r="AM5" s="120">
        <v>1</v>
      </c>
      <c r="AN5" s="60">
        <f>(AM5/AL5)*100</f>
        <v>100</v>
      </c>
      <c r="AO5" s="67">
        <v>1200000</v>
      </c>
      <c r="AP5" s="67">
        <v>1200000</v>
      </c>
      <c r="AQ5" s="56">
        <f t="shared" ref="AQ5:AQ6" si="3">+(AP5/AO5)</f>
        <v>1</v>
      </c>
      <c r="AR5" s="92" t="s">
        <v>432</v>
      </c>
      <c r="AS5" s="39">
        <v>1</v>
      </c>
      <c r="AT5" s="120">
        <v>1</v>
      </c>
      <c r="AU5" s="127">
        <v>100</v>
      </c>
      <c r="AV5" s="126" t="s">
        <v>387</v>
      </c>
    </row>
    <row r="6" spans="1:48" s="40" customFormat="1" ht="409.6" customHeight="1" x14ac:dyDescent="0.4">
      <c r="A6" s="141" t="s">
        <v>13</v>
      </c>
      <c r="B6" s="144" t="s">
        <v>14</v>
      </c>
      <c r="C6" s="145" t="s">
        <v>145</v>
      </c>
      <c r="D6" s="166" t="s">
        <v>15</v>
      </c>
      <c r="E6" s="145" t="s">
        <v>157</v>
      </c>
      <c r="F6" s="148" t="s">
        <v>16</v>
      </c>
      <c r="G6" s="35" t="s">
        <v>142</v>
      </c>
      <c r="H6" s="33" t="s">
        <v>51</v>
      </c>
      <c r="I6" s="74" t="s">
        <v>67</v>
      </c>
      <c r="J6" s="53" t="s">
        <v>76</v>
      </c>
      <c r="K6" s="53" t="s">
        <v>77</v>
      </c>
      <c r="L6" s="39">
        <v>24</v>
      </c>
      <c r="M6" s="39">
        <v>0</v>
      </c>
      <c r="N6" s="47">
        <f t="shared" si="0"/>
        <v>0</v>
      </c>
      <c r="O6" s="39"/>
      <c r="P6" s="39"/>
      <c r="Q6" s="54" t="s">
        <v>259</v>
      </c>
      <c r="R6" s="39">
        <v>24</v>
      </c>
      <c r="S6" s="39">
        <v>0</v>
      </c>
      <c r="T6" s="42">
        <f t="shared" si="1"/>
        <v>0</v>
      </c>
      <c r="U6" s="39"/>
      <c r="V6" s="44">
        <v>463750</v>
      </c>
      <c r="W6" s="54" t="s">
        <v>259</v>
      </c>
      <c r="X6" s="39">
        <v>24</v>
      </c>
      <c r="Y6" s="39">
        <v>20</v>
      </c>
      <c r="Z6" s="60">
        <f>(Y6/X6)*100</f>
        <v>83.333333333333343</v>
      </c>
      <c r="AA6" s="62">
        <f>4861983+1100000+865500+463750</f>
        <v>7291233</v>
      </c>
      <c r="AB6" s="44">
        <f>655166+1100000+865500+463750</f>
        <v>3084416</v>
      </c>
      <c r="AC6" s="56">
        <f>AB6/AA6</f>
        <v>0.42303078231075597</v>
      </c>
      <c r="AD6" s="92" t="s">
        <v>315</v>
      </c>
      <c r="AE6" s="39">
        <v>24</v>
      </c>
      <c r="AF6" s="39">
        <v>17</v>
      </c>
      <c r="AG6" s="60">
        <f>(AF6/AE6)*100</f>
        <v>70.833333333333343</v>
      </c>
      <c r="AH6" s="67">
        <f>360000+320000+320000+233333</f>
        <v>1233333</v>
      </c>
      <c r="AI6" s="67">
        <f>360000+320000+320000+233333</f>
        <v>1233333</v>
      </c>
      <c r="AJ6" s="56">
        <f t="shared" si="2"/>
        <v>1</v>
      </c>
      <c r="AK6" s="126" t="s">
        <v>397</v>
      </c>
      <c r="AL6" s="39">
        <v>24</v>
      </c>
      <c r="AM6" s="39">
        <v>1</v>
      </c>
      <c r="AN6" s="60">
        <f>(AM6/AL6)*100</f>
        <v>4.1666666666666661</v>
      </c>
      <c r="AO6" s="67">
        <v>600000</v>
      </c>
      <c r="AP6" s="67">
        <v>600000</v>
      </c>
      <c r="AQ6" s="56">
        <f t="shared" si="3"/>
        <v>1</v>
      </c>
      <c r="AR6" s="126" t="s">
        <v>415</v>
      </c>
      <c r="AS6" s="50">
        <v>24</v>
      </c>
      <c r="AT6" s="50">
        <f>(Y6+AF6+M6+S6+AM6)/5</f>
        <v>7.6</v>
      </c>
      <c r="AU6" s="65">
        <f>AT6/AS6*100</f>
        <v>31.666666666666664</v>
      </c>
      <c r="AV6" s="92" t="s">
        <v>416</v>
      </c>
    </row>
    <row r="7" spans="1:48" s="40" customFormat="1" ht="259.5" customHeight="1" x14ac:dyDescent="0.4">
      <c r="A7" s="141"/>
      <c r="B7" s="143"/>
      <c r="C7" s="141"/>
      <c r="D7" s="165"/>
      <c r="E7" s="141"/>
      <c r="F7" s="149"/>
      <c r="G7" s="37" t="s">
        <v>143</v>
      </c>
      <c r="H7" s="32" t="s">
        <v>52</v>
      </c>
      <c r="I7" s="73" t="s">
        <v>219</v>
      </c>
      <c r="J7" s="52" t="s">
        <v>78</v>
      </c>
      <c r="K7" s="52" t="s">
        <v>79</v>
      </c>
      <c r="L7" s="39">
        <v>0</v>
      </c>
      <c r="M7" s="39">
        <v>0</v>
      </c>
      <c r="N7" s="45">
        <v>0</v>
      </c>
      <c r="O7" s="39"/>
      <c r="P7" s="39"/>
      <c r="Q7" s="54" t="s">
        <v>259</v>
      </c>
      <c r="R7" s="39">
        <v>1</v>
      </c>
      <c r="S7" s="39">
        <v>0</v>
      </c>
      <c r="T7" s="42">
        <f t="shared" si="1"/>
        <v>0</v>
      </c>
      <c r="U7" s="39"/>
      <c r="V7" s="44">
        <v>0</v>
      </c>
      <c r="W7" s="54" t="s">
        <v>259</v>
      </c>
      <c r="X7" s="39">
        <v>1</v>
      </c>
      <c r="Y7" s="39">
        <v>0</v>
      </c>
      <c r="Z7" s="60">
        <v>0</v>
      </c>
      <c r="AA7" s="62">
        <v>0</v>
      </c>
      <c r="AB7" s="44">
        <v>0</v>
      </c>
      <c r="AC7" s="56">
        <v>0</v>
      </c>
      <c r="AD7" s="92" t="s">
        <v>367</v>
      </c>
      <c r="AE7" s="50">
        <v>0</v>
      </c>
      <c r="AF7" s="39">
        <v>0</v>
      </c>
      <c r="AG7" s="60">
        <v>0</v>
      </c>
      <c r="AH7" s="67">
        <v>0</v>
      </c>
      <c r="AI7" s="67">
        <v>0</v>
      </c>
      <c r="AJ7" s="56">
        <v>0</v>
      </c>
      <c r="AK7" s="92" t="s">
        <v>320</v>
      </c>
      <c r="AL7" s="50">
        <v>0</v>
      </c>
      <c r="AM7" s="39">
        <v>0</v>
      </c>
      <c r="AN7" s="60">
        <v>0</v>
      </c>
      <c r="AO7" s="67">
        <v>0</v>
      </c>
      <c r="AP7" s="67">
        <v>0</v>
      </c>
      <c r="AQ7" s="56">
        <v>0</v>
      </c>
      <c r="AR7" s="92" t="s">
        <v>417</v>
      </c>
      <c r="AS7" s="39">
        <v>1</v>
      </c>
      <c r="AT7" s="39">
        <v>0</v>
      </c>
      <c r="AU7" s="65">
        <v>0</v>
      </c>
      <c r="AV7" s="92" t="s">
        <v>362</v>
      </c>
    </row>
    <row r="8" spans="1:48" s="40" customFormat="1" ht="393.75" customHeight="1" x14ac:dyDescent="0.4">
      <c r="A8" s="141"/>
      <c r="B8" s="143"/>
      <c r="C8" s="141"/>
      <c r="D8" s="165"/>
      <c r="E8" s="141" t="s">
        <v>158</v>
      </c>
      <c r="F8" s="149" t="s">
        <v>42</v>
      </c>
      <c r="G8" s="37" t="s">
        <v>171</v>
      </c>
      <c r="H8" s="32" t="s">
        <v>43</v>
      </c>
      <c r="I8" s="73" t="s">
        <v>220</v>
      </c>
      <c r="J8" s="52" t="s">
        <v>80</v>
      </c>
      <c r="K8" s="52" t="s">
        <v>79</v>
      </c>
      <c r="L8" s="39">
        <v>1</v>
      </c>
      <c r="M8" s="39">
        <v>1</v>
      </c>
      <c r="N8" s="45">
        <f t="shared" si="0"/>
        <v>100</v>
      </c>
      <c r="O8" s="39"/>
      <c r="P8" s="39"/>
      <c r="Q8" s="54" t="s">
        <v>260</v>
      </c>
      <c r="R8" s="39">
        <v>1</v>
      </c>
      <c r="S8" s="39">
        <v>1</v>
      </c>
      <c r="T8" s="42">
        <f t="shared" si="1"/>
        <v>100</v>
      </c>
      <c r="U8" s="39"/>
      <c r="V8" s="44">
        <v>1889580</v>
      </c>
      <c r="W8" s="55" t="s">
        <v>266</v>
      </c>
      <c r="X8" s="39">
        <v>1</v>
      </c>
      <c r="Y8" s="39">
        <v>1</v>
      </c>
      <c r="Z8" s="60">
        <v>100</v>
      </c>
      <c r="AA8" s="62">
        <f>4403400+733333+ 865500+463750</f>
        <v>6465983</v>
      </c>
      <c r="AB8" s="44">
        <f>1742277+733333+ 865500+463750</f>
        <v>3804860</v>
      </c>
      <c r="AC8" s="58">
        <v>0.4</v>
      </c>
      <c r="AD8" s="92" t="s">
        <v>308</v>
      </c>
      <c r="AE8" s="39">
        <v>1</v>
      </c>
      <c r="AF8" s="39">
        <v>1</v>
      </c>
      <c r="AG8" s="60">
        <f t="shared" ref="AG8:AG40" si="4">(AF8/AE8)*100</f>
        <v>100</v>
      </c>
      <c r="AH8" s="67">
        <v>1313333</v>
      </c>
      <c r="AI8" s="67">
        <v>1313333</v>
      </c>
      <c r="AJ8" s="56">
        <f t="shared" si="2"/>
        <v>1</v>
      </c>
      <c r="AK8" s="91" t="s">
        <v>377</v>
      </c>
      <c r="AL8" s="39">
        <v>1</v>
      </c>
      <c r="AM8" s="39">
        <v>1</v>
      </c>
      <c r="AN8" s="60">
        <f t="shared" ref="AN8:AN9" si="5">(AM8/AL8)*100</f>
        <v>100</v>
      </c>
      <c r="AO8" s="67">
        <v>1200000</v>
      </c>
      <c r="AP8" s="67">
        <v>1200000</v>
      </c>
      <c r="AQ8" s="56">
        <f t="shared" ref="AQ8" si="6">+(AP8/AO8)</f>
        <v>1</v>
      </c>
      <c r="AR8" s="92" t="s">
        <v>405</v>
      </c>
      <c r="AS8" s="39">
        <v>1</v>
      </c>
      <c r="AT8" s="39">
        <v>1</v>
      </c>
      <c r="AU8" s="65">
        <f>(N8+T8+Z8+AG8)/4</f>
        <v>100</v>
      </c>
      <c r="AV8" s="91" t="s">
        <v>326</v>
      </c>
    </row>
    <row r="9" spans="1:48" s="40" customFormat="1" ht="213" customHeight="1" x14ac:dyDescent="0.4">
      <c r="A9" s="141"/>
      <c r="B9" s="143"/>
      <c r="C9" s="141"/>
      <c r="D9" s="165"/>
      <c r="E9" s="141"/>
      <c r="F9" s="149"/>
      <c r="G9" s="37" t="s">
        <v>172</v>
      </c>
      <c r="H9" s="32" t="s">
        <v>44</v>
      </c>
      <c r="I9" s="73" t="s">
        <v>221</v>
      </c>
      <c r="J9" s="52" t="s">
        <v>81</v>
      </c>
      <c r="K9" s="52" t="s">
        <v>79</v>
      </c>
      <c r="L9" s="39">
        <v>1</v>
      </c>
      <c r="M9" s="39">
        <v>1</v>
      </c>
      <c r="N9" s="45">
        <f t="shared" si="0"/>
        <v>100</v>
      </c>
      <c r="O9" s="39"/>
      <c r="P9" s="39"/>
      <c r="Q9" s="54" t="s">
        <v>337</v>
      </c>
      <c r="R9" s="39">
        <v>1</v>
      </c>
      <c r="S9" s="39">
        <v>1</v>
      </c>
      <c r="T9" s="42">
        <f t="shared" si="1"/>
        <v>100</v>
      </c>
      <c r="U9" s="39"/>
      <c r="V9" s="44">
        <v>1803117</v>
      </c>
      <c r="W9" s="55" t="s">
        <v>338</v>
      </c>
      <c r="X9" s="39">
        <v>1</v>
      </c>
      <c r="Y9" s="39">
        <v>1</v>
      </c>
      <c r="Z9" s="60">
        <f t="shared" ref="Z9:Z41" si="7">(Y9/X9)*100</f>
        <v>100</v>
      </c>
      <c r="AA9" s="62">
        <v>0</v>
      </c>
      <c r="AB9" s="44">
        <v>0</v>
      </c>
      <c r="AC9" s="56">
        <v>0</v>
      </c>
      <c r="AD9" s="78" t="s">
        <v>297</v>
      </c>
      <c r="AE9" s="30">
        <v>1</v>
      </c>
      <c r="AF9" s="30">
        <v>1</v>
      </c>
      <c r="AG9" s="60">
        <f t="shared" si="4"/>
        <v>100</v>
      </c>
      <c r="AH9" s="68">
        <v>0</v>
      </c>
      <c r="AI9" s="68">
        <v>0</v>
      </c>
      <c r="AJ9" s="56">
        <v>0</v>
      </c>
      <c r="AK9" s="118" t="s">
        <v>297</v>
      </c>
      <c r="AL9" s="30">
        <v>1</v>
      </c>
      <c r="AM9" s="30">
        <v>1</v>
      </c>
      <c r="AN9" s="60">
        <f t="shared" si="5"/>
        <v>100</v>
      </c>
      <c r="AO9" s="68">
        <v>0</v>
      </c>
      <c r="AP9" s="68">
        <v>0</v>
      </c>
      <c r="AQ9" s="56">
        <v>0</v>
      </c>
      <c r="AR9" s="91" t="s">
        <v>419</v>
      </c>
      <c r="AS9" s="30">
        <v>1</v>
      </c>
      <c r="AT9" s="30">
        <v>1</v>
      </c>
      <c r="AU9" s="65">
        <f>(N9+T9+Z9+AG9)/4</f>
        <v>100</v>
      </c>
      <c r="AV9" s="91" t="s">
        <v>327</v>
      </c>
    </row>
    <row r="10" spans="1:48" s="89" customFormat="1" ht="315" x14ac:dyDescent="0.4">
      <c r="A10" s="141"/>
      <c r="B10" s="143"/>
      <c r="C10" s="141" t="s">
        <v>146</v>
      </c>
      <c r="D10" s="165" t="s">
        <v>17</v>
      </c>
      <c r="E10" s="141" t="s">
        <v>159</v>
      </c>
      <c r="F10" s="149" t="s">
        <v>18</v>
      </c>
      <c r="G10" s="77" t="s">
        <v>173</v>
      </c>
      <c r="H10" s="78" t="s">
        <v>53</v>
      </c>
      <c r="I10" s="79" t="s">
        <v>47</v>
      </c>
      <c r="J10" s="80" t="s">
        <v>82</v>
      </c>
      <c r="K10" s="80" t="s">
        <v>95</v>
      </c>
      <c r="L10" s="50">
        <v>12</v>
      </c>
      <c r="M10" s="50">
        <v>12</v>
      </c>
      <c r="N10" s="81">
        <f t="shared" si="0"/>
        <v>100</v>
      </c>
      <c r="O10" s="50"/>
      <c r="P10" s="50"/>
      <c r="Q10" s="82" t="s">
        <v>274</v>
      </c>
      <c r="R10" s="50">
        <v>12</v>
      </c>
      <c r="S10" s="50">
        <v>2</v>
      </c>
      <c r="T10" s="83">
        <f t="shared" si="1"/>
        <v>16.666666666666664</v>
      </c>
      <c r="U10" s="50"/>
      <c r="V10" s="84">
        <v>5539767</v>
      </c>
      <c r="W10" s="85" t="s">
        <v>339</v>
      </c>
      <c r="X10" s="50">
        <v>2</v>
      </c>
      <c r="Y10" s="50">
        <v>10</v>
      </c>
      <c r="Z10" s="86">
        <v>100</v>
      </c>
      <c r="AA10" s="87">
        <v>2536457</v>
      </c>
      <c r="AB10" s="84">
        <v>2169791</v>
      </c>
      <c r="AC10" s="81">
        <f t="shared" ref="AC10:AC39" si="8">AB10/AA10</f>
        <v>0.85544166528350374</v>
      </c>
      <c r="AD10" s="92" t="s">
        <v>316</v>
      </c>
      <c r="AE10" s="50">
        <v>12</v>
      </c>
      <c r="AF10" s="50">
        <v>5</v>
      </c>
      <c r="AG10" s="60">
        <f>(AF10/AE10)*100</f>
        <v>41.666666666666671</v>
      </c>
      <c r="AH10" s="88">
        <f>360000+360000</f>
        <v>720000</v>
      </c>
      <c r="AI10" s="88">
        <f>360000+360000</f>
        <v>720000</v>
      </c>
      <c r="AJ10" s="56">
        <f t="shared" si="2"/>
        <v>1</v>
      </c>
      <c r="AK10" s="126" t="s">
        <v>349</v>
      </c>
      <c r="AL10" s="50">
        <v>12</v>
      </c>
      <c r="AM10" s="50">
        <v>8</v>
      </c>
      <c r="AN10" s="60">
        <f>(AM10/AL10)*100</f>
        <v>66.666666666666657</v>
      </c>
      <c r="AO10" s="88">
        <v>1387500</v>
      </c>
      <c r="AP10" s="88">
        <v>1387500</v>
      </c>
      <c r="AQ10" s="56">
        <f t="shared" ref="AQ10" si="9">+(AP10/AO10)</f>
        <v>1</v>
      </c>
      <c r="AR10" s="131" t="s">
        <v>425</v>
      </c>
      <c r="AS10" s="50">
        <v>12</v>
      </c>
      <c r="AT10" s="50">
        <f>(AF10+Y10+M10+S10+AM10)/5</f>
        <v>7.4</v>
      </c>
      <c r="AU10" s="81">
        <f>+(AT10/AS10)*100</f>
        <v>61.666666666666671</v>
      </c>
      <c r="AV10" s="92" t="s">
        <v>428</v>
      </c>
    </row>
    <row r="11" spans="1:48" s="40" customFormat="1" ht="408.75" customHeight="1" x14ac:dyDescent="0.4">
      <c r="A11" s="141"/>
      <c r="B11" s="143"/>
      <c r="C11" s="141"/>
      <c r="D11" s="165"/>
      <c r="E11" s="141"/>
      <c r="F11" s="149"/>
      <c r="G11" s="37" t="s">
        <v>174</v>
      </c>
      <c r="H11" s="32" t="s">
        <v>202</v>
      </c>
      <c r="I11" s="73" t="s">
        <v>54</v>
      </c>
      <c r="J11" s="52" t="s">
        <v>84</v>
      </c>
      <c r="K11" s="52" t="s">
        <v>97</v>
      </c>
      <c r="L11" s="39">
        <v>1</v>
      </c>
      <c r="M11" s="39">
        <v>1</v>
      </c>
      <c r="N11" s="45">
        <f t="shared" si="0"/>
        <v>100</v>
      </c>
      <c r="O11" s="39"/>
      <c r="P11" s="39"/>
      <c r="Q11" s="54" t="s">
        <v>261</v>
      </c>
      <c r="R11" s="39">
        <v>1</v>
      </c>
      <c r="S11" s="39">
        <v>0</v>
      </c>
      <c r="T11" s="42">
        <v>0</v>
      </c>
      <c r="U11" s="39"/>
      <c r="V11" s="44">
        <v>7253333</v>
      </c>
      <c r="W11" s="54" t="s">
        <v>259</v>
      </c>
      <c r="X11" s="39">
        <v>1</v>
      </c>
      <c r="Y11" s="39">
        <v>1</v>
      </c>
      <c r="Z11" s="60">
        <f t="shared" si="7"/>
        <v>100</v>
      </c>
      <c r="AA11" s="62">
        <f>500000+8100000</f>
        <v>8600000</v>
      </c>
      <c r="AB11" s="62">
        <f>500000+1250000</f>
        <v>1750000</v>
      </c>
      <c r="AC11" s="56">
        <f t="shared" si="8"/>
        <v>0.20348837209302326</v>
      </c>
      <c r="AD11" s="92" t="s">
        <v>352</v>
      </c>
      <c r="AE11" s="39">
        <v>1</v>
      </c>
      <c r="AF11" s="120">
        <v>0</v>
      </c>
      <c r="AG11" s="60">
        <f t="shared" si="4"/>
        <v>0</v>
      </c>
      <c r="AH11" s="67">
        <v>0</v>
      </c>
      <c r="AI11" s="88">
        <v>0</v>
      </c>
      <c r="AJ11" s="56">
        <v>0</v>
      </c>
      <c r="AK11" s="126" t="s">
        <v>303</v>
      </c>
      <c r="AL11" s="39">
        <v>1</v>
      </c>
      <c r="AM11" s="120">
        <v>0</v>
      </c>
      <c r="AN11" s="60">
        <f t="shared" ref="AN11:AN22" si="10">(AM11/AL11)*100</f>
        <v>0</v>
      </c>
      <c r="AO11" s="67">
        <v>0</v>
      </c>
      <c r="AP11" s="88">
        <v>0</v>
      </c>
      <c r="AQ11" s="56">
        <v>0</v>
      </c>
      <c r="AR11" s="92" t="s">
        <v>408</v>
      </c>
      <c r="AS11" s="50">
        <v>1</v>
      </c>
      <c r="AT11" s="50">
        <f>(M11+S11+Y11+AF11)/4</f>
        <v>0.5</v>
      </c>
      <c r="AU11" s="76">
        <f>(N11+T11+Z11+AG11)/4</f>
        <v>50</v>
      </c>
      <c r="AV11" s="91" t="s">
        <v>381</v>
      </c>
    </row>
    <row r="12" spans="1:48" s="40" customFormat="1" ht="216.75" customHeight="1" x14ac:dyDescent="0.4">
      <c r="A12" s="141"/>
      <c r="B12" s="143"/>
      <c r="C12" s="141"/>
      <c r="D12" s="165"/>
      <c r="E12" s="141" t="s">
        <v>160</v>
      </c>
      <c r="F12" s="149" t="s">
        <v>19</v>
      </c>
      <c r="G12" s="142" t="s">
        <v>175</v>
      </c>
      <c r="H12" s="146" t="s">
        <v>45</v>
      </c>
      <c r="I12" s="72" t="s">
        <v>55</v>
      </c>
      <c r="J12" s="52" t="s">
        <v>85</v>
      </c>
      <c r="K12" s="52" t="s">
        <v>83</v>
      </c>
      <c r="L12" s="39">
        <v>1</v>
      </c>
      <c r="M12" s="39">
        <v>1</v>
      </c>
      <c r="N12" s="45">
        <f t="shared" si="0"/>
        <v>100</v>
      </c>
      <c r="O12" s="39"/>
      <c r="P12" s="39"/>
      <c r="Q12" s="55" t="s">
        <v>251</v>
      </c>
      <c r="R12" s="39">
        <v>1</v>
      </c>
      <c r="S12" s="39">
        <v>1</v>
      </c>
      <c r="T12" s="42">
        <f t="shared" si="1"/>
        <v>100</v>
      </c>
      <c r="U12" s="39"/>
      <c r="V12" s="44">
        <v>0</v>
      </c>
      <c r="W12" s="55" t="s">
        <v>251</v>
      </c>
      <c r="X12" s="39">
        <v>1</v>
      </c>
      <c r="Y12" s="39">
        <v>1</v>
      </c>
      <c r="Z12" s="60">
        <f t="shared" si="7"/>
        <v>100</v>
      </c>
      <c r="AA12" s="62">
        <v>0</v>
      </c>
      <c r="AB12" s="44">
        <v>0</v>
      </c>
      <c r="AC12" s="56">
        <v>0</v>
      </c>
      <c r="AD12" s="92" t="s">
        <v>251</v>
      </c>
      <c r="AE12" s="39">
        <v>1</v>
      </c>
      <c r="AF12" s="39">
        <v>1</v>
      </c>
      <c r="AG12" s="60">
        <f t="shared" si="4"/>
        <v>100</v>
      </c>
      <c r="AH12" s="67">
        <v>0</v>
      </c>
      <c r="AI12" s="67">
        <v>0</v>
      </c>
      <c r="AJ12" s="56">
        <v>0</v>
      </c>
      <c r="AK12" s="91" t="s">
        <v>251</v>
      </c>
      <c r="AL12" s="39">
        <v>1</v>
      </c>
      <c r="AM12" s="39">
        <v>1</v>
      </c>
      <c r="AN12" s="60">
        <f t="shared" si="10"/>
        <v>100</v>
      </c>
      <c r="AO12" s="67">
        <v>0</v>
      </c>
      <c r="AP12" s="67">
        <v>0</v>
      </c>
      <c r="AQ12" s="56">
        <v>0</v>
      </c>
      <c r="AR12" s="92" t="s">
        <v>427</v>
      </c>
      <c r="AS12" s="39">
        <v>1</v>
      </c>
      <c r="AT12" s="39">
        <v>1</v>
      </c>
      <c r="AU12" s="65">
        <f>(N12+T12+Z12+AG12)/4</f>
        <v>100</v>
      </c>
      <c r="AV12" s="91" t="s">
        <v>328</v>
      </c>
    </row>
    <row r="13" spans="1:48" s="40" customFormat="1" ht="267.75" customHeight="1" x14ac:dyDescent="0.4">
      <c r="A13" s="141"/>
      <c r="B13" s="143"/>
      <c r="C13" s="141"/>
      <c r="D13" s="165"/>
      <c r="E13" s="141"/>
      <c r="F13" s="149"/>
      <c r="G13" s="145"/>
      <c r="H13" s="148"/>
      <c r="I13" s="73" t="s">
        <v>222</v>
      </c>
      <c r="J13" s="52" t="s">
        <v>86</v>
      </c>
      <c r="K13" s="52" t="s">
        <v>95</v>
      </c>
      <c r="L13" s="39">
        <v>1</v>
      </c>
      <c r="M13" s="39">
        <v>1</v>
      </c>
      <c r="N13" s="45">
        <f t="shared" si="0"/>
        <v>100</v>
      </c>
      <c r="O13" s="39"/>
      <c r="P13" s="39"/>
      <c r="Q13" s="54" t="s">
        <v>275</v>
      </c>
      <c r="R13" s="39">
        <v>1</v>
      </c>
      <c r="S13" s="39">
        <v>1</v>
      </c>
      <c r="T13" s="42">
        <f t="shared" si="1"/>
        <v>100</v>
      </c>
      <c r="U13" s="39"/>
      <c r="V13" s="44">
        <v>280000</v>
      </c>
      <c r="W13" s="55" t="s">
        <v>267</v>
      </c>
      <c r="X13" s="39">
        <v>1</v>
      </c>
      <c r="Y13" s="39">
        <v>1</v>
      </c>
      <c r="Z13" s="60">
        <f t="shared" si="7"/>
        <v>100</v>
      </c>
      <c r="AA13" s="62">
        <v>0</v>
      </c>
      <c r="AB13" s="44">
        <v>0</v>
      </c>
      <c r="AC13" s="56">
        <v>0</v>
      </c>
      <c r="AD13" s="92" t="s">
        <v>307</v>
      </c>
      <c r="AE13" s="39">
        <v>1</v>
      </c>
      <c r="AF13" s="50">
        <v>1</v>
      </c>
      <c r="AG13" s="60">
        <f t="shared" si="4"/>
        <v>100</v>
      </c>
      <c r="AH13" s="67">
        <v>0</v>
      </c>
      <c r="AI13" s="67">
        <v>0</v>
      </c>
      <c r="AJ13" s="56">
        <v>0</v>
      </c>
      <c r="AK13" s="125" t="s">
        <v>392</v>
      </c>
      <c r="AL13" s="39">
        <v>1</v>
      </c>
      <c r="AM13" s="50">
        <v>0</v>
      </c>
      <c r="AN13" s="60">
        <f t="shared" si="10"/>
        <v>0</v>
      </c>
      <c r="AO13" s="67">
        <v>0</v>
      </c>
      <c r="AP13" s="67">
        <v>0</v>
      </c>
      <c r="AQ13" s="56">
        <v>0</v>
      </c>
      <c r="AR13" s="125" t="s">
        <v>303</v>
      </c>
      <c r="AS13" s="50">
        <v>1</v>
      </c>
      <c r="AT13" s="50">
        <f>(M13+S13+Y13+AF13)/4</f>
        <v>1</v>
      </c>
      <c r="AU13" s="65">
        <f>AT13/AS13*100</f>
        <v>100</v>
      </c>
      <c r="AV13" s="92" t="s">
        <v>400</v>
      </c>
    </row>
    <row r="14" spans="1:48" s="40" customFormat="1" ht="348.75" customHeight="1" x14ac:dyDescent="0.4">
      <c r="A14" s="141"/>
      <c r="B14" s="143"/>
      <c r="C14" s="141" t="s">
        <v>147</v>
      </c>
      <c r="D14" s="165" t="s">
        <v>20</v>
      </c>
      <c r="E14" s="141" t="s">
        <v>161</v>
      </c>
      <c r="F14" s="149" t="s">
        <v>21</v>
      </c>
      <c r="G14" s="37" t="s">
        <v>176</v>
      </c>
      <c r="H14" s="32" t="s">
        <v>128</v>
      </c>
      <c r="I14" s="73" t="s">
        <v>129</v>
      </c>
      <c r="J14" s="52" t="s">
        <v>87</v>
      </c>
      <c r="K14" s="52" t="s">
        <v>88</v>
      </c>
      <c r="L14" s="39">
        <v>1</v>
      </c>
      <c r="M14" s="39">
        <v>0</v>
      </c>
      <c r="N14" s="45">
        <f t="shared" si="0"/>
        <v>0</v>
      </c>
      <c r="O14" s="39"/>
      <c r="P14" s="39"/>
      <c r="Q14" s="54" t="s">
        <v>262</v>
      </c>
      <c r="R14" s="39">
        <v>1</v>
      </c>
      <c r="S14" s="39">
        <v>0</v>
      </c>
      <c r="T14" s="42">
        <f t="shared" si="1"/>
        <v>0</v>
      </c>
      <c r="U14" s="39"/>
      <c r="V14" s="44">
        <v>143000000</v>
      </c>
      <c r="W14" s="54" t="s">
        <v>259</v>
      </c>
      <c r="X14" s="39">
        <v>100</v>
      </c>
      <c r="Y14" s="39">
        <v>100</v>
      </c>
      <c r="Z14" s="60">
        <f t="shared" si="7"/>
        <v>100</v>
      </c>
      <c r="AA14" s="62">
        <v>7000000</v>
      </c>
      <c r="AB14" s="44">
        <v>7000000</v>
      </c>
      <c r="AC14" s="56">
        <f>AB14/AA14</f>
        <v>1</v>
      </c>
      <c r="AD14" s="92" t="s">
        <v>353</v>
      </c>
      <c r="AE14" s="61">
        <v>1</v>
      </c>
      <c r="AF14" s="61">
        <v>1</v>
      </c>
      <c r="AG14" s="60">
        <f t="shared" si="4"/>
        <v>100</v>
      </c>
      <c r="AH14" s="67">
        <f>9600000</f>
        <v>9600000</v>
      </c>
      <c r="AI14" s="67">
        <f>3200000</f>
        <v>3200000</v>
      </c>
      <c r="AJ14" s="56">
        <f t="shared" si="2"/>
        <v>0.33333333333333331</v>
      </c>
      <c r="AK14" s="92" t="s">
        <v>312</v>
      </c>
      <c r="AL14" s="61">
        <v>1</v>
      </c>
      <c r="AM14" s="61">
        <v>1</v>
      </c>
      <c r="AN14" s="60">
        <f t="shared" si="10"/>
        <v>100</v>
      </c>
      <c r="AO14" s="67">
        <v>0</v>
      </c>
      <c r="AP14" s="67">
        <v>0</v>
      </c>
      <c r="AQ14" s="56" t="e">
        <f t="shared" ref="AQ14:AQ20" si="11">+(AP14/AO14)</f>
        <v>#DIV/0!</v>
      </c>
      <c r="AR14" s="92" t="s">
        <v>329</v>
      </c>
      <c r="AS14" s="61">
        <v>1</v>
      </c>
      <c r="AT14" s="61">
        <v>1</v>
      </c>
      <c r="AU14" s="65">
        <f>AT14/AS14*100</f>
        <v>100</v>
      </c>
      <c r="AV14" s="91" t="s">
        <v>329</v>
      </c>
    </row>
    <row r="15" spans="1:48" s="40" customFormat="1" ht="266.25" customHeight="1" x14ac:dyDescent="0.4">
      <c r="A15" s="141"/>
      <c r="B15" s="143"/>
      <c r="C15" s="141"/>
      <c r="D15" s="165"/>
      <c r="E15" s="141"/>
      <c r="F15" s="149"/>
      <c r="G15" s="37" t="s">
        <v>177</v>
      </c>
      <c r="H15" s="32" t="s">
        <v>46</v>
      </c>
      <c r="I15" s="73" t="s">
        <v>130</v>
      </c>
      <c r="J15" s="52" t="s">
        <v>89</v>
      </c>
      <c r="K15" s="52" t="s">
        <v>96</v>
      </c>
      <c r="L15" s="39">
        <v>1</v>
      </c>
      <c r="M15" s="39">
        <v>0</v>
      </c>
      <c r="N15" s="45">
        <f t="shared" si="0"/>
        <v>0</v>
      </c>
      <c r="O15" s="39"/>
      <c r="P15" s="39"/>
      <c r="Q15" s="54" t="s">
        <v>259</v>
      </c>
      <c r="R15" s="39">
        <v>12</v>
      </c>
      <c r="S15" s="39">
        <v>2</v>
      </c>
      <c r="T15" s="43">
        <f t="shared" si="1"/>
        <v>16.666666666666664</v>
      </c>
      <c r="U15" s="39"/>
      <c r="V15" s="44">
        <v>5164321</v>
      </c>
      <c r="W15" s="55" t="s">
        <v>285</v>
      </c>
      <c r="X15" s="61">
        <v>1</v>
      </c>
      <c r="Y15" s="61">
        <v>1</v>
      </c>
      <c r="Z15" s="60">
        <f>(Y15/X15)*100</f>
        <v>100</v>
      </c>
      <c r="AA15" s="62">
        <v>7000000</v>
      </c>
      <c r="AB15" s="44">
        <v>7000000</v>
      </c>
      <c r="AC15" s="56">
        <f>AB15/AA15</f>
        <v>1</v>
      </c>
      <c r="AD15" s="92" t="s">
        <v>354</v>
      </c>
      <c r="AE15" s="61">
        <v>1</v>
      </c>
      <c r="AF15" s="61">
        <v>1</v>
      </c>
      <c r="AG15" s="60">
        <f t="shared" si="4"/>
        <v>100</v>
      </c>
      <c r="AH15" s="67">
        <v>1800000</v>
      </c>
      <c r="AI15" s="67">
        <v>1775000</v>
      </c>
      <c r="AJ15" s="56">
        <f t="shared" si="2"/>
        <v>0.98611111111111116</v>
      </c>
      <c r="AK15" s="92" t="s">
        <v>376</v>
      </c>
      <c r="AL15" s="61">
        <v>1</v>
      </c>
      <c r="AM15" s="134">
        <v>0.1</v>
      </c>
      <c r="AN15" s="60">
        <f t="shared" si="10"/>
        <v>10</v>
      </c>
      <c r="AO15" s="67">
        <v>0</v>
      </c>
      <c r="AP15" s="67">
        <v>0</v>
      </c>
      <c r="AQ15" s="45" t="e">
        <f t="shared" si="11"/>
        <v>#DIV/0!</v>
      </c>
      <c r="AR15" s="92" t="s">
        <v>433</v>
      </c>
      <c r="AS15" s="61">
        <v>1</v>
      </c>
      <c r="AT15" s="70">
        <f>(AF15+Y15+S15+M15)/4</f>
        <v>1</v>
      </c>
      <c r="AU15" s="65">
        <f>AT15/AS15*100</f>
        <v>100</v>
      </c>
      <c r="AV15" s="92" t="s">
        <v>363</v>
      </c>
    </row>
    <row r="16" spans="1:48" s="40" customFormat="1" ht="204.75" customHeight="1" x14ac:dyDescent="0.4">
      <c r="A16" s="141"/>
      <c r="B16" s="143"/>
      <c r="C16" s="141"/>
      <c r="D16" s="165"/>
      <c r="E16" s="37" t="s">
        <v>162</v>
      </c>
      <c r="F16" s="34" t="s">
        <v>22</v>
      </c>
      <c r="G16" s="36" t="s">
        <v>178</v>
      </c>
      <c r="H16" s="34" t="s">
        <v>203</v>
      </c>
      <c r="I16" s="72" t="s">
        <v>223</v>
      </c>
      <c r="J16" s="52" t="s">
        <v>90</v>
      </c>
      <c r="K16" s="52" t="s">
        <v>91</v>
      </c>
      <c r="L16" s="39">
        <v>0</v>
      </c>
      <c r="M16" s="39">
        <v>0</v>
      </c>
      <c r="N16" s="48">
        <v>0</v>
      </c>
      <c r="O16" s="39"/>
      <c r="P16" s="39"/>
      <c r="Q16" s="54" t="s">
        <v>276</v>
      </c>
      <c r="R16" s="39">
        <v>12</v>
      </c>
      <c r="S16" s="39">
        <v>0</v>
      </c>
      <c r="T16" s="42">
        <f t="shared" si="1"/>
        <v>0</v>
      </c>
      <c r="U16" s="39"/>
      <c r="V16" s="44">
        <v>3000000</v>
      </c>
      <c r="W16" s="55" t="s">
        <v>259</v>
      </c>
      <c r="X16" s="61">
        <v>1</v>
      </c>
      <c r="Y16" s="61">
        <v>1</v>
      </c>
      <c r="Z16" s="60">
        <f>(Y16/X16)*100</f>
        <v>100</v>
      </c>
      <c r="AA16" s="62">
        <v>7000000</v>
      </c>
      <c r="AB16" s="62">
        <v>7000000</v>
      </c>
      <c r="AC16" s="56">
        <f t="shared" si="8"/>
        <v>1</v>
      </c>
      <c r="AD16" s="92" t="s">
        <v>355</v>
      </c>
      <c r="AE16" s="61">
        <v>1</v>
      </c>
      <c r="AF16" s="61">
        <v>1</v>
      </c>
      <c r="AG16" s="60">
        <f t="shared" si="4"/>
        <v>100</v>
      </c>
      <c r="AH16" s="67">
        <f>9600000</f>
        <v>9600000</v>
      </c>
      <c r="AI16" s="67">
        <f>3200000</f>
        <v>3200000</v>
      </c>
      <c r="AJ16" s="56">
        <f t="shared" si="2"/>
        <v>0.33333333333333331</v>
      </c>
      <c r="AK16" s="91" t="s">
        <v>340</v>
      </c>
      <c r="AL16" s="61">
        <v>1</v>
      </c>
      <c r="AM16" s="61">
        <v>1</v>
      </c>
      <c r="AN16" s="60">
        <f t="shared" si="10"/>
        <v>100</v>
      </c>
      <c r="AO16" s="67">
        <v>14800000</v>
      </c>
      <c r="AP16" s="67">
        <v>7400000</v>
      </c>
      <c r="AQ16" s="56">
        <f t="shared" si="11"/>
        <v>0.5</v>
      </c>
      <c r="AR16" s="125" t="s">
        <v>422</v>
      </c>
      <c r="AS16" s="61">
        <v>1</v>
      </c>
      <c r="AT16" s="61">
        <v>1</v>
      </c>
      <c r="AU16" s="65">
        <f>AT16/AS16*100</f>
        <v>100</v>
      </c>
      <c r="AV16" s="91" t="s">
        <v>340</v>
      </c>
    </row>
    <row r="17" spans="1:48" s="89" customFormat="1" ht="409.5" customHeight="1" x14ac:dyDescent="0.4">
      <c r="A17" s="142" t="s">
        <v>23</v>
      </c>
      <c r="B17" s="142" t="s">
        <v>24</v>
      </c>
      <c r="C17" s="141" t="s">
        <v>148</v>
      </c>
      <c r="D17" s="167" t="s">
        <v>25</v>
      </c>
      <c r="E17" s="141" t="s">
        <v>163</v>
      </c>
      <c r="F17" s="146" t="s">
        <v>26</v>
      </c>
      <c r="G17" s="142" t="s">
        <v>179</v>
      </c>
      <c r="H17" s="149" t="s">
        <v>57</v>
      </c>
      <c r="I17" s="79" t="s">
        <v>58</v>
      </c>
      <c r="J17" s="80" t="s">
        <v>92</v>
      </c>
      <c r="K17" s="80" t="s">
        <v>95</v>
      </c>
      <c r="L17" s="50">
        <v>1</v>
      </c>
      <c r="M17" s="50">
        <v>1</v>
      </c>
      <c r="N17" s="81">
        <f t="shared" si="0"/>
        <v>100</v>
      </c>
      <c r="O17" s="50"/>
      <c r="P17" s="50"/>
      <c r="Q17" s="82" t="s">
        <v>277</v>
      </c>
      <c r="R17" s="50">
        <v>1</v>
      </c>
      <c r="S17" s="50">
        <v>0</v>
      </c>
      <c r="T17" s="50">
        <f t="shared" si="1"/>
        <v>0</v>
      </c>
      <c r="U17" s="50"/>
      <c r="V17" s="121">
        <v>5739187</v>
      </c>
      <c r="W17" s="85" t="s">
        <v>259</v>
      </c>
      <c r="X17" s="50">
        <v>1</v>
      </c>
      <c r="Y17" s="50">
        <v>1</v>
      </c>
      <c r="Z17" s="86">
        <f t="shared" si="7"/>
        <v>100</v>
      </c>
      <c r="AA17" s="87">
        <v>5238569</v>
      </c>
      <c r="AB17" s="84">
        <v>3677444</v>
      </c>
      <c r="AC17" s="81">
        <f t="shared" si="8"/>
        <v>0.70199399874278645</v>
      </c>
      <c r="AD17" s="92" t="s">
        <v>378</v>
      </c>
      <c r="AE17" s="50">
        <v>1</v>
      </c>
      <c r="AF17" s="50">
        <v>1</v>
      </c>
      <c r="AG17" s="86">
        <f t="shared" si="4"/>
        <v>100</v>
      </c>
      <c r="AH17" s="88">
        <v>7280000</v>
      </c>
      <c r="AI17" s="88">
        <v>1337040</v>
      </c>
      <c r="AJ17" s="56">
        <f t="shared" si="2"/>
        <v>0.18365934065934067</v>
      </c>
      <c r="AK17" s="92" t="s">
        <v>369</v>
      </c>
      <c r="AL17" s="50">
        <v>1</v>
      </c>
      <c r="AM17" s="50">
        <v>1</v>
      </c>
      <c r="AN17" s="86">
        <f t="shared" si="10"/>
        <v>100</v>
      </c>
      <c r="AO17" s="88">
        <v>2442000</v>
      </c>
      <c r="AP17" s="88">
        <v>2442000</v>
      </c>
      <c r="AQ17" s="56">
        <f t="shared" si="11"/>
        <v>1</v>
      </c>
      <c r="AR17" s="92" t="s">
        <v>409</v>
      </c>
      <c r="AS17" s="50">
        <v>1</v>
      </c>
      <c r="AT17" s="50">
        <f>(M17+S17+Y17+AF17+AM17)/5</f>
        <v>0.8</v>
      </c>
      <c r="AU17" s="65">
        <f>AT17/AS17*100</f>
        <v>80</v>
      </c>
      <c r="AV17" s="92" t="s">
        <v>418</v>
      </c>
    </row>
    <row r="18" spans="1:48" s="40" customFormat="1" ht="276.75" customHeight="1" x14ac:dyDescent="0.4">
      <c r="A18" s="140"/>
      <c r="B18" s="140"/>
      <c r="C18" s="141"/>
      <c r="D18" s="168"/>
      <c r="E18" s="141"/>
      <c r="F18" s="147"/>
      <c r="G18" s="145"/>
      <c r="H18" s="149"/>
      <c r="I18" s="73" t="s">
        <v>56</v>
      </c>
      <c r="J18" s="52" t="s">
        <v>92</v>
      </c>
      <c r="K18" s="52" t="s">
        <v>95</v>
      </c>
      <c r="L18" s="39">
        <v>1</v>
      </c>
      <c r="M18" s="39">
        <v>0</v>
      </c>
      <c r="N18" s="45">
        <f t="shared" si="0"/>
        <v>0</v>
      </c>
      <c r="O18" s="39"/>
      <c r="P18" s="39"/>
      <c r="Q18" s="54" t="s">
        <v>259</v>
      </c>
      <c r="R18" s="120">
        <v>1</v>
      </c>
      <c r="S18" s="39">
        <v>0</v>
      </c>
      <c r="T18" s="42">
        <f t="shared" si="1"/>
        <v>0</v>
      </c>
      <c r="U18" s="39"/>
      <c r="V18" s="44">
        <v>1115357</v>
      </c>
      <c r="W18" s="55" t="s">
        <v>259</v>
      </c>
      <c r="X18" s="39">
        <v>1</v>
      </c>
      <c r="Y18" s="39">
        <v>1</v>
      </c>
      <c r="Z18" s="60">
        <f t="shared" si="7"/>
        <v>100</v>
      </c>
      <c r="AA18" s="62">
        <f>4367372+618333</f>
        <v>4985705</v>
      </c>
      <c r="AB18" s="44">
        <f>2593290+618333</f>
        <v>3211623</v>
      </c>
      <c r="AC18" s="56">
        <v>0.59</v>
      </c>
      <c r="AD18" s="92" t="s">
        <v>317</v>
      </c>
      <c r="AE18" s="39">
        <v>1</v>
      </c>
      <c r="AF18" s="39">
        <v>1</v>
      </c>
      <c r="AG18" s="60">
        <f t="shared" si="4"/>
        <v>100</v>
      </c>
      <c r="AH18" s="67">
        <v>8073000</v>
      </c>
      <c r="AI18" s="67">
        <v>1849000</v>
      </c>
      <c r="AJ18" s="56">
        <f t="shared" si="2"/>
        <v>0.22903505512201164</v>
      </c>
      <c r="AK18" s="92" t="s">
        <v>370</v>
      </c>
      <c r="AL18" s="39">
        <v>1</v>
      </c>
      <c r="AM18" s="39">
        <v>1</v>
      </c>
      <c r="AN18" s="60">
        <f t="shared" si="10"/>
        <v>100</v>
      </c>
      <c r="AO18" s="67">
        <v>1200000</v>
      </c>
      <c r="AP18" s="67">
        <v>1200000</v>
      </c>
      <c r="AQ18" s="56">
        <f t="shared" si="11"/>
        <v>1</v>
      </c>
      <c r="AR18" s="92" t="s">
        <v>406</v>
      </c>
      <c r="AS18" s="50">
        <v>1</v>
      </c>
      <c r="AT18" s="39">
        <f>(M18+S18+Y18+AF18)/4</f>
        <v>0.5</v>
      </c>
      <c r="AU18" s="65">
        <f>+(AT18/AS18)*100</f>
        <v>50</v>
      </c>
      <c r="AV18" s="92" t="s">
        <v>420</v>
      </c>
    </row>
    <row r="19" spans="1:48" s="40" customFormat="1" ht="409.5" customHeight="1" x14ac:dyDescent="0.4">
      <c r="A19" s="140"/>
      <c r="B19" s="140"/>
      <c r="C19" s="141"/>
      <c r="D19" s="168"/>
      <c r="E19" s="141"/>
      <c r="F19" s="147"/>
      <c r="G19" s="37" t="s">
        <v>180</v>
      </c>
      <c r="H19" s="32" t="s">
        <v>131</v>
      </c>
      <c r="I19" s="73" t="s">
        <v>59</v>
      </c>
      <c r="J19" s="52" t="s">
        <v>93</v>
      </c>
      <c r="K19" s="52" t="s">
        <v>94</v>
      </c>
      <c r="L19" s="39">
        <v>1</v>
      </c>
      <c r="M19" s="39">
        <v>1</v>
      </c>
      <c r="N19" s="45">
        <f t="shared" si="0"/>
        <v>100</v>
      </c>
      <c r="O19" s="39"/>
      <c r="P19" s="39"/>
      <c r="Q19" s="54" t="s">
        <v>278</v>
      </c>
      <c r="R19" s="39">
        <v>1</v>
      </c>
      <c r="S19" s="39">
        <v>1</v>
      </c>
      <c r="T19" s="42">
        <f t="shared" si="1"/>
        <v>100</v>
      </c>
      <c r="U19" s="39"/>
      <c r="V19" s="44">
        <v>10624940</v>
      </c>
      <c r="W19" s="55" t="s">
        <v>264</v>
      </c>
      <c r="X19" s="39">
        <v>1</v>
      </c>
      <c r="Y19" s="39">
        <v>1</v>
      </c>
      <c r="Z19" s="60">
        <f t="shared" si="7"/>
        <v>100</v>
      </c>
      <c r="AA19" s="62">
        <v>500000</v>
      </c>
      <c r="AB19" s="62">
        <v>500000</v>
      </c>
      <c r="AC19" s="56">
        <f t="shared" si="8"/>
        <v>1</v>
      </c>
      <c r="AD19" s="92" t="s">
        <v>318</v>
      </c>
      <c r="AE19" s="39">
        <v>1</v>
      </c>
      <c r="AF19" s="39">
        <v>1</v>
      </c>
      <c r="AG19" s="60">
        <f t="shared" si="4"/>
        <v>100</v>
      </c>
      <c r="AH19" s="67">
        <v>31400000</v>
      </c>
      <c r="AI19" s="67">
        <v>6300000</v>
      </c>
      <c r="AJ19" s="56">
        <f t="shared" si="2"/>
        <v>0.20063694267515925</v>
      </c>
      <c r="AK19" s="91" t="s">
        <v>393</v>
      </c>
      <c r="AL19" s="39">
        <v>1</v>
      </c>
      <c r="AM19" s="39">
        <v>1</v>
      </c>
      <c r="AN19" s="60">
        <f t="shared" si="10"/>
        <v>100</v>
      </c>
      <c r="AO19" s="88">
        <v>28314000</v>
      </c>
      <c r="AP19" s="88">
        <v>12714000</v>
      </c>
      <c r="AQ19" s="56">
        <f t="shared" si="11"/>
        <v>0.44903581267217629</v>
      </c>
      <c r="AR19" s="92" t="s">
        <v>410</v>
      </c>
      <c r="AS19" s="39">
        <v>1</v>
      </c>
      <c r="AT19" s="39">
        <v>1</v>
      </c>
      <c r="AU19" s="65">
        <f>(N19+T19+Z19+AG19)/4</f>
        <v>100</v>
      </c>
      <c r="AV19" s="91" t="s">
        <v>343</v>
      </c>
    </row>
    <row r="20" spans="1:48" s="40" customFormat="1" ht="409.5" customHeight="1" x14ac:dyDescent="0.4">
      <c r="A20" s="140"/>
      <c r="B20" s="140"/>
      <c r="C20" s="141"/>
      <c r="D20" s="168"/>
      <c r="E20" s="141"/>
      <c r="F20" s="147"/>
      <c r="G20" s="37" t="s">
        <v>181</v>
      </c>
      <c r="H20" s="32" t="s">
        <v>60</v>
      </c>
      <c r="I20" s="73" t="s">
        <v>132</v>
      </c>
      <c r="J20" s="52" t="s">
        <v>98</v>
      </c>
      <c r="K20" s="52" t="s">
        <v>99</v>
      </c>
      <c r="L20" s="39">
        <v>1</v>
      </c>
      <c r="M20" s="39">
        <v>0</v>
      </c>
      <c r="N20" s="45">
        <f t="shared" si="0"/>
        <v>0</v>
      </c>
      <c r="O20" s="39"/>
      <c r="P20" s="39"/>
      <c r="Q20" s="54" t="s">
        <v>259</v>
      </c>
      <c r="R20" s="39">
        <v>1</v>
      </c>
      <c r="S20" s="39"/>
      <c r="T20" s="42">
        <f t="shared" si="1"/>
        <v>0</v>
      </c>
      <c r="U20" s="39"/>
      <c r="V20" s="44">
        <v>234107</v>
      </c>
      <c r="W20" s="55" t="s">
        <v>259</v>
      </c>
      <c r="X20" s="39">
        <v>1</v>
      </c>
      <c r="Y20" s="39">
        <v>1</v>
      </c>
      <c r="Z20" s="60">
        <f t="shared" si="7"/>
        <v>100</v>
      </c>
      <c r="AA20" s="62">
        <v>0</v>
      </c>
      <c r="AB20" s="44">
        <v>0</v>
      </c>
      <c r="AC20" s="56">
        <v>0</v>
      </c>
      <c r="AD20" s="92" t="s">
        <v>356</v>
      </c>
      <c r="AE20" s="39">
        <v>1</v>
      </c>
      <c r="AF20" s="120">
        <v>0.8</v>
      </c>
      <c r="AG20" s="60">
        <f t="shared" si="4"/>
        <v>80</v>
      </c>
      <c r="AH20" s="67">
        <f>320000</f>
        <v>320000</v>
      </c>
      <c r="AI20" s="67">
        <f>320000</f>
        <v>320000</v>
      </c>
      <c r="AJ20" s="56">
        <f t="shared" si="2"/>
        <v>1</v>
      </c>
      <c r="AK20" s="92" t="s">
        <v>371</v>
      </c>
      <c r="AL20" s="39">
        <v>1</v>
      </c>
      <c r="AM20" s="120">
        <v>0.8</v>
      </c>
      <c r="AN20" s="60">
        <f t="shared" si="10"/>
        <v>80</v>
      </c>
      <c r="AO20" s="67">
        <v>26000000</v>
      </c>
      <c r="AP20" s="67">
        <v>11900000</v>
      </c>
      <c r="AQ20" s="56">
        <f t="shared" si="11"/>
        <v>0.45769230769230768</v>
      </c>
      <c r="AR20" s="92" t="s">
        <v>413</v>
      </c>
      <c r="AS20" s="39">
        <v>1</v>
      </c>
      <c r="AT20" s="39">
        <v>0.8</v>
      </c>
      <c r="AU20" s="65">
        <f>AT20/AS20*100</f>
        <v>80</v>
      </c>
      <c r="AV20" s="91" t="s">
        <v>344</v>
      </c>
    </row>
    <row r="21" spans="1:48" s="40" customFormat="1" ht="408.75" customHeight="1" x14ac:dyDescent="0.4">
      <c r="A21" s="140"/>
      <c r="B21" s="140"/>
      <c r="C21" s="141"/>
      <c r="D21" s="166"/>
      <c r="E21" s="141"/>
      <c r="F21" s="148"/>
      <c r="G21" s="37" t="s">
        <v>182</v>
      </c>
      <c r="H21" s="32" t="s">
        <v>204</v>
      </c>
      <c r="I21" s="73" t="s">
        <v>224</v>
      </c>
      <c r="J21" s="52" t="s">
        <v>84</v>
      </c>
      <c r="K21" s="52" t="s">
        <v>95</v>
      </c>
      <c r="L21" s="39">
        <v>1</v>
      </c>
      <c r="M21" s="39">
        <v>0</v>
      </c>
      <c r="N21" s="45">
        <f t="shared" si="0"/>
        <v>0</v>
      </c>
      <c r="O21" s="39"/>
      <c r="P21" s="39"/>
      <c r="Q21" s="54" t="s">
        <v>279</v>
      </c>
      <c r="R21" s="39">
        <v>1</v>
      </c>
      <c r="S21" s="39">
        <v>0</v>
      </c>
      <c r="T21" s="42">
        <f t="shared" si="1"/>
        <v>0</v>
      </c>
      <c r="U21" s="39"/>
      <c r="V21" s="44">
        <v>1664107</v>
      </c>
      <c r="W21" s="55" t="s">
        <v>257</v>
      </c>
      <c r="X21" s="39">
        <v>1</v>
      </c>
      <c r="Y21" s="39">
        <v>1</v>
      </c>
      <c r="Z21" s="60">
        <f>(Y21/X21)*100</f>
        <v>100</v>
      </c>
      <c r="AA21" s="44">
        <v>733332</v>
      </c>
      <c r="AB21" s="44">
        <v>733332</v>
      </c>
      <c r="AC21" s="56">
        <f t="shared" si="8"/>
        <v>1</v>
      </c>
      <c r="AD21" s="92" t="s">
        <v>309</v>
      </c>
      <c r="AE21" s="50">
        <v>1</v>
      </c>
      <c r="AF21" s="39">
        <v>1</v>
      </c>
      <c r="AG21" s="60">
        <f t="shared" si="4"/>
        <v>100</v>
      </c>
      <c r="AH21" s="115">
        <v>763000</v>
      </c>
      <c r="AI21" s="115">
        <v>763000</v>
      </c>
      <c r="AJ21" s="116" t="s">
        <v>368</v>
      </c>
      <c r="AK21" s="113" t="s">
        <v>396</v>
      </c>
      <c r="AL21" s="50">
        <v>0</v>
      </c>
      <c r="AM21" s="39">
        <v>0</v>
      </c>
      <c r="AN21" s="60" t="e">
        <f t="shared" si="10"/>
        <v>#DIV/0!</v>
      </c>
      <c r="AO21" s="115">
        <v>0</v>
      </c>
      <c r="AP21" s="115">
        <v>0</v>
      </c>
      <c r="AQ21" s="45" t="e">
        <f>+(AP21/AO21)</f>
        <v>#DIV/0!</v>
      </c>
      <c r="AR21" s="130" t="s">
        <v>411</v>
      </c>
      <c r="AS21" s="50">
        <v>1</v>
      </c>
      <c r="AT21" s="39">
        <f>(M21+S21+Y21+AF21)/4</f>
        <v>0.5</v>
      </c>
      <c r="AU21" s="65">
        <f>AT21/AS21*100</f>
        <v>50</v>
      </c>
      <c r="AV21" s="91" t="s">
        <v>345</v>
      </c>
    </row>
    <row r="22" spans="1:48" s="40" customFormat="1" ht="397.5" customHeight="1" x14ac:dyDescent="0.4">
      <c r="A22" s="140"/>
      <c r="B22" s="140"/>
      <c r="C22" s="141" t="s">
        <v>149</v>
      </c>
      <c r="D22" s="165" t="s">
        <v>27</v>
      </c>
      <c r="E22" s="141" t="s">
        <v>164</v>
      </c>
      <c r="F22" s="149" t="s">
        <v>28</v>
      </c>
      <c r="G22" s="37" t="s">
        <v>183</v>
      </c>
      <c r="H22" s="32" t="s">
        <v>49</v>
      </c>
      <c r="I22" s="73" t="s">
        <v>225</v>
      </c>
      <c r="J22" s="52" t="s">
        <v>100</v>
      </c>
      <c r="K22" s="52" t="s">
        <v>101</v>
      </c>
      <c r="L22" s="39">
        <v>1</v>
      </c>
      <c r="M22" s="39">
        <v>0</v>
      </c>
      <c r="N22" s="45">
        <f t="shared" si="0"/>
        <v>0</v>
      </c>
      <c r="O22" s="39"/>
      <c r="P22" s="39"/>
      <c r="Q22" s="54" t="s">
        <v>280</v>
      </c>
      <c r="R22" s="39">
        <v>1</v>
      </c>
      <c r="S22" s="39">
        <v>0</v>
      </c>
      <c r="T22" s="42">
        <f t="shared" si="1"/>
        <v>0</v>
      </c>
      <c r="U22" s="39"/>
      <c r="V22" s="44">
        <v>5023333</v>
      </c>
      <c r="W22" s="55" t="s">
        <v>259</v>
      </c>
      <c r="X22" s="39">
        <v>1</v>
      </c>
      <c r="Y22" s="39">
        <v>1</v>
      </c>
      <c r="Z22" s="60">
        <f>(Y22/X22)*100</f>
        <v>100</v>
      </c>
      <c r="AA22" s="62">
        <f>2434123+214000</f>
        <v>2648123</v>
      </c>
      <c r="AB22" s="44">
        <v>1237041</v>
      </c>
      <c r="AC22" s="56">
        <f t="shared" si="8"/>
        <v>0.4671387998216095</v>
      </c>
      <c r="AD22" s="92" t="s">
        <v>357</v>
      </c>
      <c r="AE22" s="39">
        <v>1</v>
      </c>
      <c r="AF22" s="39">
        <v>1</v>
      </c>
      <c r="AG22" s="60">
        <f t="shared" si="4"/>
        <v>100</v>
      </c>
      <c r="AH22" s="67">
        <v>7566000</v>
      </c>
      <c r="AI22" s="67">
        <v>2189000</v>
      </c>
      <c r="AJ22" s="56">
        <f t="shared" si="2"/>
        <v>0.28932064499074811</v>
      </c>
      <c r="AK22" s="91" t="s">
        <v>382</v>
      </c>
      <c r="AL22" s="39">
        <v>1</v>
      </c>
      <c r="AM22" s="39">
        <v>1</v>
      </c>
      <c r="AN22" s="60">
        <f t="shared" si="10"/>
        <v>100</v>
      </c>
      <c r="AO22" s="67">
        <v>600000</v>
      </c>
      <c r="AP22" s="67">
        <v>600000</v>
      </c>
      <c r="AQ22" s="56">
        <f t="shared" ref="AQ22:AQ28" si="12">+(AP22/AO22)</f>
        <v>1</v>
      </c>
      <c r="AR22" s="92" t="s">
        <v>423</v>
      </c>
      <c r="AS22" s="50">
        <v>1</v>
      </c>
      <c r="AT22" s="39">
        <f>(M22+S22+Y22+AF22)/4</f>
        <v>0.5</v>
      </c>
      <c r="AU22" s="65">
        <f>AT22/AS22*100</f>
        <v>50</v>
      </c>
      <c r="AV22" s="91" t="s">
        <v>346</v>
      </c>
    </row>
    <row r="23" spans="1:48" s="40" customFormat="1" ht="409.5" x14ac:dyDescent="0.4">
      <c r="A23" s="145"/>
      <c r="B23" s="145"/>
      <c r="C23" s="141"/>
      <c r="D23" s="165"/>
      <c r="E23" s="141"/>
      <c r="F23" s="149"/>
      <c r="G23" s="37" t="s">
        <v>184</v>
      </c>
      <c r="H23" s="32" t="s">
        <v>205</v>
      </c>
      <c r="I23" s="73" t="s">
        <v>226</v>
      </c>
      <c r="J23" s="52" t="s">
        <v>102</v>
      </c>
      <c r="K23" s="52" t="s">
        <v>103</v>
      </c>
      <c r="L23" s="39">
        <v>11</v>
      </c>
      <c r="M23" s="39">
        <v>0</v>
      </c>
      <c r="N23" s="45">
        <f t="shared" si="0"/>
        <v>0</v>
      </c>
      <c r="O23" s="39"/>
      <c r="P23" s="39"/>
      <c r="Q23" s="54" t="s">
        <v>259</v>
      </c>
      <c r="R23" s="39">
        <v>12</v>
      </c>
      <c r="S23" s="39">
        <v>0</v>
      </c>
      <c r="T23" s="42">
        <f t="shared" si="1"/>
        <v>0</v>
      </c>
      <c r="U23" s="39"/>
      <c r="V23" s="44">
        <v>0</v>
      </c>
      <c r="W23" s="55" t="s">
        <v>259</v>
      </c>
      <c r="X23" s="39">
        <v>12</v>
      </c>
      <c r="Y23" s="39">
        <v>0</v>
      </c>
      <c r="Z23" s="60">
        <f t="shared" si="7"/>
        <v>0</v>
      </c>
      <c r="AA23" s="62">
        <v>25770000</v>
      </c>
      <c r="AB23" s="44">
        <v>25676000</v>
      </c>
      <c r="AC23" s="56">
        <f t="shared" si="8"/>
        <v>0.99635234769111369</v>
      </c>
      <c r="AD23" s="123" t="s">
        <v>358</v>
      </c>
      <c r="AE23" s="63">
        <v>12</v>
      </c>
      <c r="AF23" s="63">
        <v>3</v>
      </c>
      <c r="AG23" s="60">
        <f>(AF23/AE23)*100</f>
        <v>25</v>
      </c>
      <c r="AH23" s="69">
        <f>1600000</f>
        <v>1600000</v>
      </c>
      <c r="AI23" s="69">
        <f>800000</f>
        <v>800000</v>
      </c>
      <c r="AJ23" s="56">
        <f t="shared" si="2"/>
        <v>0.5</v>
      </c>
      <c r="AK23" s="93" t="s">
        <v>399</v>
      </c>
      <c r="AL23" s="63">
        <v>2</v>
      </c>
      <c r="AM23" s="95">
        <v>1</v>
      </c>
      <c r="AN23" s="60">
        <f>(AM23/AL23)*100</f>
        <v>50</v>
      </c>
      <c r="AO23" s="69">
        <v>1000000</v>
      </c>
      <c r="AP23" s="69">
        <v>500000</v>
      </c>
      <c r="AQ23" s="56">
        <f t="shared" si="12"/>
        <v>0.5</v>
      </c>
      <c r="AR23" s="113" t="s">
        <v>429</v>
      </c>
      <c r="AS23" s="95">
        <v>12</v>
      </c>
      <c r="AT23" s="63">
        <f>(M23+S23+Y23+AF23)</f>
        <v>3</v>
      </c>
      <c r="AU23" s="65">
        <f>AT23/AS23*100</f>
        <v>25</v>
      </c>
      <c r="AV23" s="91" t="s">
        <v>348</v>
      </c>
    </row>
    <row r="24" spans="1:48" s="40" customFormat="1" ht="408.75" customHeight="1" x14ac:dyDescent="0.4">
      <c r="A24" s="142" t="s">
        <v>29</v>
      </c>
      <c r="B24" s="141" t="s">
        <v>30</v>
      </c>
      <c r="C24" s="141" t="s">
        <v>150</v>
      </c>
      <c r="D24" s="165" t="s">
        <v>31</v>
      </c>
      <c r="E24" s="37" t="s">
        <v>165</v>
      </c>
      <c r="F24" s="32" t="s">
        <v>32</v>
      </c>
      <c r="G24" s="37" t="s">
        <v>185</v>
      </c>
      <c r="H24" s="34" t="s">
        <v>206</v>
      </c>
      <c r="I24" s="73" t="s">
        <v>227</v>
      </c>
      <c r="J24" s="52" t="s">
        <v>104</v>
      </c>
      <c r="K24" s="52" t="s">
        <v>105</v>
      </c>
      <c r="L24" s="39">
        <v>12</v>
      </c>
      <c r="M24" s="39">
        <v>11</v>
      </c>
      <c r="N24" s="45">
        <f t="shared" si="0"/>
        <v>91.666666666666657</v>
      </c>
      <c r="O24" s="39"/>
      <c r="P24" s="39"/>
      <c r="Q24" s="54" t="s">
        <v>281</v>
      </c>
      <c r="R24" s="39">
        <v>12</v>
      </c>
      <c r="S24" s="39">
        <v>12</v>
      </c>
      <c r="T24" s="42">
        <f t="shared" si="1"/>
        <v>100</v>
      </c>
      <c r="U24" s="39"/>
      <c r="V24" s="44">
        <v>13544107</v>
      </c>
      <c r="W24" s="55" t="s">
        <v>268</v>
      </c>
      <c r="X24" s="39">
        <v>12</v>
      </c>
      <c r="Y24" s="39">
        <v>12</v>
      </c>
      <c r="Z24" s="60">
        <f t="shared" si="7"/>
        <v>100</v>
      </c>
      <c r="AA24" s="62">
        <f>10000000+1430000</f>
        <v>11430000</v>
      </c>
      <c r="AB24" s="44">
        <v>6532000</v>
      </c>
      <c r="AC24" s="56">
        <f t="shared" si="8"/>
        <v>0.57147856517935258</v>
      </c>
      <c r="AD24" s="92" t="s">
        <v>313</v>
      </c>
      <c r="AE24" s="39">
        <v>12</v>
      </c>
      <c r="AF24" s="39">
        <v>12</v>
      </c>
      <c r="AG24" s="60">
        <f t="shared" si="4"/>
        <v>100</v>
      </c>
      <c r="AH24" s="67">
        <v>1516000000</v>
      </c>
      <c r="AI24" s="67">
        <v>148889262</v>
      </c>
      <c r="AJ24" s="56">
        <f t="shared" si="2"/>
        <v>9.8211914248021115E-2</v>
      </c>
      <c r="AK24" s="92" t="s">
        <v>398</v>
      </c>
      <c r="AL24" s="39">
        <v>12</v>
      </c>
      <c r="AM24" s="39">
        <v>12</v>
      </c>
      <c r="AN24" s="60">
        <f t="shared" ref="AN24:AN28" si="13">(AM24/AL24)*100</f>
        <v>100</v>
      </c>
      <c r="AO24" s="67">
        <v>2344700000</v>
      </c>
      <c r="AP24" s="67">
        <v>0</v>
      </c>
      <c r="AQ24" s="56">
        <f t="shared" si="12"/>
        <v>0</v>
      </c>
      <c r="AR24" s="92" t="s">
        <v>412</v>
      </c>
      <c r="AS24" s="39">
        <v>12</v>
      </c>
      <c r="AT24" s="50">
        <v>12</v>
      </c>
      <c r="AU24" s="75">
        <v>100</v>
      </c>
      <c r="AV24" s="91" t="s">
        <v>388</v>
      </c>
    </row>
    <row r="25" spans="1:48" s="40" customFormat="1" ht="408.75" customHeight="1" x14ac:dyDescent="0.4">
      <c r="A25" s="140"/>
      <c r="B25" s="141"/>
      <c r="C25" s="141"/>
      <c r="D25" s="165"/>
      <c r="E25" s="37" t="s">
        <v>166</v>
      </c>
      <c r="F25" s="32" t="s">
        <v>133</v>
      </c>
      <c r="G25" s="37" t="s">
        <v>186</v>
      </c>
      <c r="H25" s="34" t="s">
        <v>207</v>
      </c>
      <c r="I25" s="73" t="s">
        <v>228</v>
      </c>
      <c r="J25" s="52" t="s">
        <v>106</v>
      </c>
      <c r="K25" s="52" t="s">
        <v>107</v>
      </c>
      <c r="L25" s="39">
        <v>12</v>
      </c>
      <c r="M25" s="39">
        <v>6</v>
      </c>
      <c r="N25" s="45">
        <f t="shared" si="0"/>
        <v>50</v>
      </c>
      <c r="O25" s="39" t="s">
        <v>282</v>
      </c>
      <c r="P25" s="39" t="s">
        <v>282</v>
      </c>
      <c r="Q25" s="54" t="s">
        <v>283</v>
      </c>
      <c r="R25" s="39">
        <v>12</v>
      </c>
      <c r="S25" s="39">
        <v>12</v>
      </c>
      <c r="T25" s="42">
        <f t="shared" si="1"/>
        <v>100</v>
      </c>
      <c r="U25" s="39"/>
      <c r="V25" s="44">
        <v>801079547</v>
      </c>
      <c r="W25" s="55" t="s">
        <v>269</v>
      </c>
      <c r="X25" s="39">
        <v>12</v>
      </c>
      <c r="Y25" s="39">
        <v>12</v>
      </c>
      <c r="Z25" s="60">
        <f t="shared" si="7"/>
        <v>100</v>
      </c>
      <c r="AA25" s="62">
        <f>302419700+90000000</f>
        <v>392419700</v>
      </c>
      <c r="AB25" s="62">
        <f>302419700+90000000</f>
        <v>392419700</v>
      </c>
      <c r="AC25" s="56">
        <f t="shared" si="8"/>
        <v>1</v>
      </c>
      <c r="AD25" s="92" t="s">
        <v>310</v>
      </c>
      <c r="AE25" s="39">
        <v>12</v>
      </c>
      <c r="AF25" s="39">
        <v>12</v>
      </c>
      <c r="AG25" s="60">
        <f t="shared" si="4"/>
        <v>100</v>
      </c>
      <c r="AH25" s="67">
        <f>563000+130000000+15000000</f>
        <v>145563000</v>
      </c>
      <c r="AI25" s="67">
        <f>563000+130000000+6000000</f>
        <v>136563000</v>
      </c>
      <c r="AJ25" s="56">
        <f t="shared" si="2"/>
        <v>0.93817110117268809</v>
      </c>
      <c r="AK25" s="92" t="s">
        <v>394</v>
      </c>
      <c r="AL25" s="39">
        <v>12</v>
      </c>
      <c r="AM25" s="39">
        <v>12</v>
      </c>
      <c r="AN25" s="60">
        <f t="shared" si="13"/>
        <v>100</v>
      </c>
      <c r="AO25" s="67">
        <v>31000000</v>
      </c>
      <c r="AP25" s="67">
        <v>31000000</v>
      </c>
      <c r="AQ25" s="56">
        <f t="shared" si="12"/>
        <v>1</v>
      </c>
      <c r="AR25" s="92" t="s">
        <v>430</v>
      </c>
      <c r="AS25" s="39">
        <v>12</v>
      </c>
      <c r="AT25" s="120">
        <v>12</v>
      </c>
      <c r="AU25" s="128">
        <v>100</v>
      </c>
      <c r="AV25" s="91" t="s">
        <v>335</v>
      </c>
    </row>
    <row r="26" spans="1:48" s="40" customFormat="1" ht="216" customHeight="1" x14ac:dyDescent="0.4">
      <c r="A26" s="140"/>
      <c r="B26" s="141"/>
      <c r="C26" s="141" t="s">
        <v>151</v>
      </c>
      <c r="D26" s="167" t="s">
        <v>33</v>
      </c>
      <c r="E26" s="141" t="s">
        <v>167</v>
      </c>
      <c r="F26" s="146" t="s">
        <v>34</v>
      </c>
      <c r="G26" s="142" t="s">
        <v>187</v>
      </c>
      <c r="H26" s="146" t="s">
        <v>208</v>
      </c>
      <c r="I26" s="74" t="s">
        <v>134</v>
      </c>
      <c r="J26" s="52" t="s">
        <v>108</v>
      </c>
      <c r="K26" s="52" t="s">
        <v>109</v>
      </c>
      <c r="L26" s="39">
        <v>1</v>
      </c>
      <c r="M26" s="39">
        <v>0</v>
      </c>
      <c r="N26" s="45">
        <f t="shared" si="0"/>
        <v>0</v>
      </c>
      <c r="O26" s="39"/>
      <c r="P26" s="39"/>
      <c r="Q26" s="54" t="s">
        <v>259</v>
      </c>
      <c r="R26" s="39">
        <v>1</v>
      </c>
      <c r="S26" s="39">
        <v>0</v>
      </c>
      <c r="T26" s="42">
        <f t="shared" si="1"/>
        <v>0</v>
      </c>
      <c r="U26" s="39"/>
      <c r="V26" s="44">
        <v>0</v>
      </c>
      <c r="W26" s="55" t="s">
        <v>259</v>
      </c>
      <c r="X26" s="39">
        <v>1</v>
      </c>
      <c r="Y26" s="39">
        <v>1</v>
      </c>
      <c r="Z26" s="60">
        <f t="shared" si="7"/>
        <v>100</v>
      </c>
      <c r="AA26" s="62">
        <v>9600000</v>
      </c>
      <c r="AB26" s="44">
        <v>3300000</v>
      </c>
      <c r="AC26" s="56">
        <f t="shared" si="8"/>
        <v>0.34375</v>
      </c>
      <c r="AD26" s="92" t="s">
        <v>374</v>
      </c>
      <c r="AE26" s="39">
        <v>1</v>
      </c>
      <c r="AF26" s="39">
        <v>1</v>
      </c>
      <c r="AG26" s="60">
        <f t="shared" si="4"/>
        <v>100</v>
      </c>
      <c r="AH26" s="67">
        <v>16800000</v>
      </c>
      <c r="AI26" s="67">
        <v>3633000</v>
      </c>
      <c r="AJ26" s="56">
        <f t="shared" si="2"/>
        <v>0.21625</v>
      </c>
      <c r="AK26" s="91" t="s">
        <v>372</v>
      </c>
      <c r="AL26" s="39">
        <v>1</v>
      </c>
      <c r="AM26" s="39">
        <v>0</v>
      </c>
      <c r="AN26" s="60">
        <f t="shared" si="13"/>
        <v>0</v>
      </c>
      <c r="AO26" s="67">
        <v>0</v>
      </c>
      <c r="AP26" s="67">
        <v>0</v>
      </c>
      <c r="AQ26" s="56" t="e">
        <f t="shared" si="12"/>
        <v>#DIV/0!</v>
      </c>
      <c r="AR26" s="125" t="s">
        <v>303</v>
      </c>
      <c r="AS26" s="50">
        <v>1</v>
      </c>
      <c r="AT26" s="50">
        <f>(M26+S26+Y26+AF26)/4</f>
        <v>0.5</v>
      </c>
      <c r="AU26" s="65">
        <f>AT26/AS26*100</f>
        <v>50</v>
      </c>
      <c r="AV26" s="91" t="s">
        <v>330</v>
      </c>
    </row>
    <row r="27" spans="1:48" s="40" customFormat="1" ht="409.5" customHeight="1" x14ac:dyDescent="0.4">
      <c r="A27" s="140"/>
      <c r="B27" s="141"/>
      <c r="C27" s="141"/>
      <c r="D27" s="168"/>
      <c r="E27" s="141"/>
      <c r="F27" s="147"/>
      <c r="G27" s="145"/>
      <c r="H27" s="148"/>
      <c r="I27" s="73" t="s">
        <v>229</v>
      </c>
      <c r="J27" s="52" t="s">
        <v>110</v>
      </c>
      <c r="K27" s="52" t="s">
        <v>111</v>
      </c>
      <c r="L27" s="39">
        <v>1</v>
      </c>
      <c r="M27" s="39">
        <v>0</v>
      </c>
      <c r="N27" s="45">
        <f t="shared" si="0"/>
        <v>0</v>
      </c>
      <c r="O27" s="39"/>
      <c r="P27" s="39"/>
      <c r="Q27" s="54" t="s">
        <v>259</v>
      </c>
      <c r="R27" s="39">
        <v>1</v>
      </c>
      <c r="S27" s="39">
        <v>1</v>
      </c>
      <c r="T27" s="42">
        <f t="shared" si="1"/>
        <v>100</v>
      </c>
      <c r="U27" s="39"/>
      <c r="V27" s="44">
        <v>1650000</v>
      </c>
      <c r="W27" s="55" t="s">
        <v>286</v>
      </c>
      <c r="X27" s="39">
        <v>1</v>
      </c>
      <c r="Y27" s="39">
        <v>1</v>
      </c>
      <c r="Z27" s="60">
        <f t="shared" si="7"/>
        <v>100</v>
      </c>
      <c r="AA27" s="62">
        <v>0</v>
      </c>
      <c r="AB27" s="44">
        <v>0</v>
      </c>
      <c r="AC27" s="56">
        <v>0</v>
      </c>
      <c r="AD27" s="92" t="s">
        <v>319</v>
      </c>
      <c r="AE27" s="39">
        <v>1</v>
      </c>
      <c r="AF27" s="39">
        <v>1</v>
      </c>
      <c r="AG27" s="60">
        <f t="shared" si="4"/>
        <v>100</v>
      </c>
      <c r="AH27" s="67">
        <v>16800000</v>
      </c>
      <c r="AI27" s="67">
        <v>3633000</v>
      </c>
      <c r="AJ27" s="56">
        <f t="shared" si="2"/>
        <v>0.21625</v>
      </c>
      <c r="AK27" s="91" t="s">
        <v>375</v>
      </c>
      <c r="AL27" s="39">
        <v>1</v>
      </c>
      <c r="AM27" s="39">
        <v>0</v>
      </c>
      <c r="AN27" s="60">
        <f t="shared" si="13"/>
        <v>0</v>
      </c>
      <c r="AO27" s="88">
        <v>0</v>
      </c>
      <c r="AP27" s="88">
        <v>0</v>
      </c>
      <c r="AQ27" s="56" t="e">
        <f t="shared" si="12"/>
        <v>#DIV/0!</v>
      </c>
      <c r="AR27" s="125" t="s">
        <v>303</v>
      </c>
      <c r="AS27" s="50">
        <v>1</v>
      </c>
      <c r="AT27" s="39">
        <f>(M27+S27+Y27+AF27)/4</f>
        <v>0.75</v>
      </c>
      <c r="AU27" s="65">
        <f>AT27/AS27*100</f>
        <v>75</v>
      </c>
      <c r="AV27" s="91" t="s">
        <v>331</v>
      </c>
    </row>
    <row r="28" spans="1:48" s="40" customFormat="1" ht="218.25" customHeight="1" x14ac:dyDescent="0.4">
      <c r="A28" s="140"/>
      <c r="B28" s="141"/>
      <c r="C28" s="141"/>
      <c r="D28" s="168"/>
      <c r="E28" s="141"/>
      <c r="F28" s="147"/>
      <c r="G28" s="37" t="s">
        <v>188</v>
      </c>
      <c r="H28" s="32" t="s">
        <v>209</v>
      </c>
      <c r="I28" s="73" t="s">
        <v>61</v>
      </c>
      <c r="J28" s="52" t="s">
        <v>93</v>
      </c>
      <c r="K28" s="52" t="s">
        <v>111</v>
      </c>
      <c r="L28" s="39">
        <v>1</v>
      </c>
      <c r="M28" s="39">
        <v>0</v>
      </c>
      <c r="N28" s="45">
        <f t="shared" si="0"/>
        <v>0</v>
      </c>
      <c r="O28" s="39"/>
      <c r="P28" s="39"/>
      <c r="Q28" s="54" t="s">
        <v>259</v>
      </c>
      <c r="R28" s="39">
        <v>1</v>
      </c>
      <c r="S28" s="39">
        <v>0</v>
      </c>
      <c r="T28" s="42">
        <f t="shared" si="1"/>
        <v>0</v>
      </c>
      <c r="U28" s="39"/>
      <c r="V28" s="44">
        <v>1650000</v>
      </c>
      <c r="W28" s="55" t="s">
        <v>342</v>
      </c>
      <c r="X28" s="39">
        <v>1</v>
      </c>
      <c r="Y28" s="39">
        <v>0</v>
      </c>
      <c r="Z28" s="60">
        <f t="shared" si="7"/>
        <v>0</v>
      </c>
      <c r="AA28" s="62">
        <v>0</v>
      </c>
      <c r="AB28" s="44">
        <v>0</v>
      </c>
      <c r="AC28" s="56">
        <v>0</v>
      </c>
      <c r="AD28" s="92" t="s">
        <v>303</v>
      </c>
      <c r="AE28" s="39">
        <v>1</v>
      </c>
      <c r="AF28" s="39">
        <v>1</v>
      </c>
      <c r="AG28" s="60">
        <f t="shared" si="4"/>
        <v>100</v>
      </c>
      <c r="AH28" s="67">
        <v>14200000</v>
      </c>
      <c r="AI28" s="67">
        <v>6500000</v>
      </c>
      <c r="AJ28" s="56">
        <f t="shared" si="2"/>
        <v>0.45774647887323944</v>
      </c>
      <c r="AK28" s="91" t="s">
        <v>373</v>
      </c>
      <c r="AL28" s="50">
        <v>0</v>
      </c>
      <c r="AM28" s="39">
        <v>0</v>
      </c>
      <c r="AN28" s="60" t="e">
        <f t="shared" si="13"/>
        <v>#DIV/0!</v>
      </c>
      <c r="AO28" s="67">
        <v>0</v>
      </c>
      <c r="AP28" s="67">
        <v>0</v>
      </c>
      <c r="AQ28" s="56" t="e">
        <f t="shared" si="12"/>
        <v>#DIV/0!</v>
      </c>
      <c r="AR28" s="126" t="s">
        <v>407</v>
      </c>
      <c r="AS28" s="39">
        <v>1</v>
      </c>
      <c r="AT28" s="39">
        <v>1</v>
      </c>
      <c r="AU28" s="65">
        <f t="shared" ref="AU28:AU42" si="14">AT28/AS28*100</f>
        <v>100</v>
      </c>
      <c r="AV28" s="92" t="s">
        <v>350</v>
      </c>
    </row>
    <row r="29" spans="1:48" s="40" customFormat="1" ht="346.5" customHeight="1" x14ac:dyDescent="0.4">
      <c r="A29" s="140"/>
      <c r="B29" s="141"/>
      <c r="C29" s="141"/>
      <c r="D29" s="168"/>
      <c r="E29" s="141"/>
      <c r="F29" s="147"/>
      <c r="G29" s="37" t="s">
        <v>189</v>
      </c>
      <c r="H29" s="32" t="s">
        <v>210</v>
      </c>
      <c r="I29" s="73" t="s">
        <v>135</v>
      </c>
      <c r="J29" s="52" t="s">
        <v>112</v>
      </c>
      <c r="K29" s="52" t="s">
        <v>111</v>
      </c>
      <c r="L29" s="39">
        <v>1</v>
      </c>
      <c r="M29" s="39">
        <v>0</v>
      </c>
      <c r="N29" s="45">
        <f t="shared" si="0"/>
        <v>0</v>
      </c>
      <c r="O29" s="39"/>
      <c r="P29" s="39"/>
      <c r="Q29" s="54" t="s">
        <v>259</v>
      </c>
      <c r="R29" s="39">
        <v>1</v>
      </c>
      <c r="S29" s="39">
        <v>0</v>
      </c>
      <c r="T29" s="42">
        <f t="shared" si="1"/>
        <v>0</v>
      </c>
      <c r="U29" s="39"/>
      <c r="V29" s="44">
        <v>961660</v>
      </c>
      <c r="W29" s="55" t="s">
        <v>299</v>
      </c>
      <c r="X29" s="39">
        <v>1</v>
      </c>
      <c r="Y29" s="39">
        <v>1</v>
      </c>
      <c r="Z29" s="60">
        <f t="shared" si="7"/>
        <v>100</v>
      </c>
      <c r="AA29" s="62">
        <v>9600000</v>
      </c>
      <c r="AB29" s="44">
        <v>3300000</v>
      </c>
      <c r="AC29" s="56">
        <f>AB29/AA29</f>
        <v>0.34375</v>
      </c>
      <c r="AD29" s="92" t="s">
        <v>314</v>
      </c>
      <c r="AE29" s="120">
        <v>0</v>
      </c>
      <c r="AF29" s="39">
        <v>0</v>
      </c>
      <c r="AG29" s="60">
        <v>0</v>
      </c>
      <c r="AH29" s="67">
        <v>0</v>
      </c>
      <c r="AI29" s="67">
        <v>0</v>
      </c>
      <c r="AJ29" s="56">
        <v>0</v>
      </c>
      <c r="AK29" s="126" t="s">
        <v>364</v>
      </c>
      <c r="AL29" s="50">
        <v>0</v>
      </c>
      <c r="AM29" s="39">
        <v>0</v>
      </c>
      <c r="AN29" s="60">
        <v>0</v>
      </c>
      <c r="AO29" s="67">
        <v>0</v>
      </c>
      <c r="AP29" s="67">
        <v>0</v>
      </c>
      <c r="AQ29" s="56">
        <v>0</v>
      </c>
      <c r="AR29" s="126" t="s">
        <v>407</v>
      </c>
      <c r="AS29" s="39">
        <v>1</v>
      </c>
      <c r="AT29" s="39">
        <f>(M29+S29+Y29+AF29)/4</f>
        <v>0.25</v>
      </c>
      <c r="AU29" s="65">
        <f t="shared" si="14"/>
        <v>25</v>
      </c>
      <c r="AV29" s="92" t="s">
        <v>332</v>
      </c>
    </row>
    <row r="30" spans="1:48" s="40" customFormat="1" ht="409.6" customHeight="1" x14ac:dyDescent="0.4">
      <c r="A30" s="140"/>
      <c r="B30" s="141"/>
      <c r="C30" s="141"/>
      <c r="D30" s="168"/>
      <c r="E30" s="141"/>
      <c r="F30" s="147"/>
      <c r="G30" s="37" t="s">
        <v>190</v>
      </c>
      <c r="H30" s="32" t="s">
        <v>62</v>
      </c>
      <c r="I30" s="73" t="s">
        <v>136</v>
      </c>
      <c r="J30" s="52" t="s">
        <v>82</v>
      </c>
      <c r="K30" s="52" t="s">
        <v>111</v>
      </c>
      <c r="L30" s="39">
        <v>12</v>
      </c>
      <c r="M30" s="39">
        <v>0</v>
      </c>
      <c r="N30" s="45">
        <f t="shared" si="0"/>
        <v>0</v>
      </c>
      <c r="O30" s="39"/>
      <c r="P30" s="39"/>
      <c r="Q30" s="54" t="s">
        <v>259</v>
      </c>
      <c r="R30" s="39">
        <v>12</v>
      </c>
      <c r="S30" s="39">
        <v>0</v>
      </c>
      <c r="T30" s="42">
        <f t="shared" si="1"/>
        <v>0</v>
      </c>
      <c r="U30" s="39"/>
      <c r="V30" s="44">
        <v>2200000</v>
      </c>
      <c r="W30" s="55" t="s">
        <v>287</v>
      </c>
      <c r="X30" s="39">
        <v>12</v>
      </c>
      <c r="Y30" s="39">
        <v>6</v>
      </c>
      <c r="Z30" s="60">
        <f t="shared" si="7"/>
        <v>50</v>
      </c>
      <c r="AA30" s="62">
        <v>0</v>
      </c>
      <c r="AB30" s="44">
        <v>0</v>
      </c>
      <c r="AC30" s="56">
        <v>0</v>
      </c>
      <c r="AD30" s="92" t="s">
        <v>359</v>
      </c>
      <c r="AE30" s="120">
        <v>0</v>
      </c>
      <c r="AF30" s="50">
        <v>0</v>
      </c>
      <c r="AG30" s="60" t="e">
        <f t="shared" si="4"/>
        <v>#DIV/0!</v>
      </c>
      <c r="AH30" s="67">
        <v>36280000</v>
      </c>
      <c r="AI30" s="67">
        <v>9100000</v>
      </c>
      <c r="AJ30" s="56">
        <v>0</v>
      </c>
      <c r="AK30" s="126" t="s">
        <v>402</v>
      </c>
      <c r="AL30" s="50">
        <v>2</v>
      </c>
      <c r="AM30" s="50">
        <v>0</v>
      </c>
      <c r="AN30" s="60">
        <f t="shared" ref="AN30:AN36" si="15">(AM30/AL30)*100</f>
        <v>0</v>
      </c>
      <c r="AO30" s="67">
        <v>0</v>
      </c>
      <c r="AP30" s="67">
        <v>0</v>
      </c>
      <c r="AQ30" s="56">
        <v>0</v>
      </c>
      <c r="AR30" s="92" t="s">
        <v>414</v>
      </c>
      <c r="AS30" s="50">
        <v>12</v>
      </c>
      <c r="AT30" s="50">
        <f>(M30+S30+Y30+AF30)/4</f>
        <v>1.5</v>
      </c>
      <c r="AU30" s="65">
        <f t="shared" si="14"/>
        <v>12.5</v>
      </c>
      <c r="AV30" s="92" t="s">
        <v>401</v>
      </c>
    </row>
    <row r="31" spans="1:48" s="40" customFormat="1" ht="409.6" customHeight="1" x14ac:dyDescent="0.4">
      <c r="A31" s="140"/>
      <c r="B31" s="141"/>
      <c r="C31" s="141"/>
      <c r="D31" s="168"/>
      <c r="E31" s="141"/>
      <c r="F31" s="148"/>
      <c r="G31" s="37" t="s">
        <v>191</v>
      </c>
      <c r="H31" s="32" t="s">
        <v>211</v>
      </c>
      <c r="I31" s="73" t="s">
        <v>230</v>
      </c>
      <c r="J31" s="52" t="s">
        <v>113</v>
      </c>
      <c r="K31" s="52" t="s">
        <v>111</v>
      </c>
      <c r="L31" s="50">
        <v>1</v>
      </c>
      <c r="M31" s="39">
        <v>0</v>
      </c>
      <c r="N31" s="45">
        <f t="shared" si="0"/>
        <v>0</v>
      </c>
      <c r="O31" s="39"/>
      <c r="P31" s="39"/>
      <c r="Q31" s="54" t="s">
        <v>259</v>
      </c>
      <c r="R31" s="39">
        <v>1</v>
      </c>
      <c r="S31" s="39"/>
      <c r="T31" s="42">
        <f t="shared" si="1"/>
        <v>0</v>
      </c>
      <c r="U31" s="39"/>
      <c r="V31" s="44">
        <v>69240000</v>
      </c>
      <c r="W31" s="55" t="s">
        <v>288</v>
      </c>
      <c r="X31" s="39">
        <v>1</v>
      </c>
      <c r="Y31" s="39">
        <v>1</v>
      </c>
      <c r="Z31" s="60">
        <f t="shared" si="7"/>
        <v>100</v>
      </c>
      <c r="AA31" s="62">
        <v>0</v>
      </c>
      <c r="AB31" s="44">
        <v>37583333</v>
      </c>
      <c r="AC31" s="56" t="e">
        <f t="shared" si="8"/>
        <v>#DIV/0!</v>
      </c>
      <c r="AD31" s="92" t="s">
        <v>360</v>
      </c>
      <c r="AE31" s="39">
        <v>1</v>
      </c>
      <c r="AF31" s="39">
        <v>1</v>
      </c>
      <c r="AG31" s="60">
        <f t="shared" si="4"/>
        <v>100</v>
      </c>
      <c r="AH31" s="67">
        <v>115000000</v>
      </c>
      <c r="AI31" s="129">
        <v>2200000</v>
      </c>
      <c r="AJ31" s="119">
        <v>1.9099999999999999E-2</v>
      </c>
      <c r="AK31" s="92" t="s">
        <v>383</v>
      </c>
      <c r="AL31" s="39">
        <v>1</v>
      </c>
      <c r="AM31" s="39">
        <v>0</v>
      </c>
      <c r="AN31" s="60">
        <f t="shared" si="15"/>
        <v>0</v>
      </c>
      <c r="AO31" s="67">
        <v>0</v>
      </c>
      <c r="AP31" s="129">
        <v>0</v>
      </c>
      <c r="AQ31" s="119">
        <v>1.9099999999999999E-2</v>
      </c>
      <c r="AR31" s="125" t="s">
        <v>303</v>
      </c>
      <c r="AS31" s="39">
        <v>1</v>
      </c>
      <c r="AT31" s="39">
        <v>1</v>
      </c>
      <c r="AU31" s="65">
        <f t="shared" si="14"/>
        <v>100</v>
      </c>
      <c r="AV31" s="92" t="s">
        <v>386</v>
      </c>
    </row>
    <row r="32" spans="1:48" s="40" customFormat="1" ht="299.25" customHeight="1" x14ac:dyDescent="0.4">
      <c r="A32" s="140"/>
      <c r="B32" s="141"/>
      <c r="C32" s="141"/>
      <c r="D32" s="168"/>
      <c r="E32" s="37" t="s">
        <v>168</v>
      </c>
      <c r="F32" s="32" t="s">
        <v>35</v>
      </c>
      <c r="G32" s="37" t="s">
        <v>192</v>
      </c>
      <c r="H32" s="34" t="s">
        <v>212</v>
      </c>
      <c r="I32" s="72" t="s">
        <v>63</v>
      </c>
      <c r="J32" s="52" t="s">
        <v>114</v>
      </c>
      <c r="K32" s="52" t="s">
        <v>83</v>
      </c>
      <c r="L32" s="39">
        <v>1</v>
      </c>
      <c r="M32" s="39">
        <v>0</v>
      </c>
      <c r="N32" s="45">
        <f t="shared" si="0"/>
        <v>0</v>
      </c>
      <c r="O32" s="39"/>
      <c r="P32" s="39"/>
      <c r="Q32" s="54" t="s">
        <v>259</v>
      </c>
      <c r="R32" s="39">
        <v>1</v>
      </c>
      <c r="S32" s="39">
        <v>1</v>
      </c>
      <c r="T32" s="42">
        <f t="shared" si="1"/>
        <v>100</v>
      </c>
      <c r="U32" s="39"/>
      <c r="V32" s="44">
        <v>641110</v>
      </c>
      <c r="W32" s="55" t="s">
        <v>270</v>
      </c>
      <c r="X32" s="39">
        <v>1</v>
      </c>
      <c r="Y32" s="39">
        <v>1</v>
      </c>
      <c r="Z32" s="60">
        <f t="shared" si="7"/>
        <v>100</v>
      </c>
      <c r="AA32" s="62">
        <v>721250</v>
      </c>
      <c r="AB32" s="62">
        <v>721250</v>
      </c>
      <c r="AC32" s="56">
        <f t="shared" si="8"/>
        <v>1</v>
      </c>
      <c r="AD32" s="92" t="s">
        <v>306</v>
      </c>
      <c r="AE32" s="39">
        <v>1</v>
      </c>
      <c r="AF32" s="39">
        <v>1</v>
      </c>
      <c r="AG32" s="60">
        <f t="shared" si="4"/>
        <v>100</v>
      </c>
      <c r="AH32" s="67">
        <v>0</v>
      </c>
      <c r="AI32" s="67">
        <v>0</v>
      </c>
      <c r="AJ32" s="56">
        <v>0</v>
      </c>
      <c r="AK32" s="91" t="s">
        <v>341</v>
      </c>
      <c r="AL32" s="39">
        <v>1</v>
      </c>
      <c r="AM32" s="39">
        <v>0</v>
      </c>
      <c r="AN32" s="60">
        <f t="shared" si="15"/>
        <v>0</v>
      </c>
      <c r="AO32" s="67">
        <v>0</v>
      </c>
      <c r="AP32" s="67">
        <v>0</v>
      </c>
      <c r="AQ32" s="56">
        <v>0</v>
      </c>
      <c r="AR32" s="125" t="s">
        <v>303</v>
      </c>
      <c r="AS32" s="39">
        <v>1</v>
      </c>
      <c r="AT32" s="39">
        <v>1</v>
      </c>
      <c r="AU32" s="65">
        <f t="shared" si="14"/>
        <v>100</v>
      </c>
      <c r="AV32" s="91" t="s">
        <v>347</v>
      </c>
    </row>
    <row r="33" spans="1:48" s="40" customFormat="1" ht="409.5" x14ac:dyDescent="0.4">
      <c r="A33" s="140"/>
      <c r="B33" s="141"/>
      <c r="C33" s="141" t="s">
        <v>152</v>
      </c>
      <c r="D33" s="165" t="s">
        <v>36</v>
      </c>
      <c r="E33" s="141" t="s">
        <v>169</v>
      </c>
      <c r="F33" s="149" t="s">
        <v>37</v>
      </c>
      <c r="G33" s="37" t="s">
        <v>193</v>
      </c>
      <c r="H33" s="78" t="s">
        <v>64</v>
      </c>
      <c r="I33" s="79" t="s">
        <v>231</v>
      </c>
      <c r="J33" s="80" t="s">
        <v>115</v>
      </c>
      <c r="K33" s="80" t="s">
        <v>116</v>
      </c>
      <c r="L33" s="39">
        <v>1</v>
      </c>
      <c r="M33" s="39">
        <v>0</v>
      </c>
      <c r="N33" s="45">
        <f t="shared" si="0"/>
        <v>0</v>
      </c>
      <c r="O33" s="39"/>
      <c r="P33" s="39"/>
      <c r="Q33" s="54" t="s">
        <v>259</v>
      </c>
      <c r="R33" s="39">
        <v>1</v>
      </c>
      <c r="S33" s="39">
        <v>0</v>
      </c>
      <c r="T33" s="42">
        <f t="shared" si="1"/>
        <v>0</v>
      </c>
      <c r="U33" s="39"/>
      <c r="V33" s="44">
        <v>0</v>
      </c>
      <c r="W33" s="55" t="s">
        <v>259</v>
      </c>
      <c r="X33" s="39">
        <v>1</v>
      </c>
      <c r="Y33" s="39">
        <v>1</v>
      </c>
      <c r="Z33" s="60">
        <f t="shared" si="7"/>
        <v>100</v>
      </c>
      <c r="AA33" s="62">
        <v>1197082</v>
      </c>
      <c r="AB33" s="44">
        <v>598541</v>
      </c>
      <c r="AC33" s="56">
        <f t="shared" si="8"/>
        <v>0.5</v>
      </c>
      <c r="AD33" s="92" t="s">
        <v>311</v>
      </c>
      <c r="AE33" s="39">
        <v>1</v>
      </c>
      <c r="AF33" s="39">
        <v>1</v>
      </c>
      <c r="AG33" s="60">
        <f t="shared" si="4"/>
        <v>100</v>
      </c>
      <c r="AH33" s="67">
        <v>1200000</v>
      </c>
      <c r="AI33" s="67">
        <v>1200000</v>
      </c>
      <c r="AJ33" s="56">
        <f>+AI33/AH33</f>
        <v>1</v>
      </c>
      <c r="AK33" s="92" t="s">
        <v>390</v>
      </c>
      <c r="AL33" s="39">
        <v>1</v>
      </c>
      <c r="AM33" s="39">
        <v>0</v>
      </c>
      <c r="AN33" s="60">
        <f t="shared" si="15"/>
        <v>0</v>
      </c>
      <c r="AO33" s="67">
        <v>0</v>
      </c>
      <c r="AP33" s="67">
        <v>0</v>
      </c>
      <c r="AQ33" s="56" t="e">
        <f>+AP33/AO33</f>
        <v>#DIV/0!</v>
      </c>
      <c r="AR33" s="125" t="s">
        <v>303</v>
      </c>
      <c r="AS33" s="50">
        <v>1</v>
      </c>
      <c r="AT33" s="39">
        <f>(M33+S33+Y33+AF33)/4</f>
        <v>0.5</v>
      </c>
      <c r="AU33" s="65">
        <f t="shared" si="14"/>
        <v>50</v>
      </c>
      <c r="AV33" s="92" t="s">
        <v>404</v>
      </c>
    </row>
    <row r="34" spans="1:48" s="40" customFormat="1" ht="409.5" x14ac:dyDescent="0.4">
      <c r="A34" s="140"/>
      <c r="B34" s="141"/>
      <c r="C34" s="141"/>
      <c r="D34" s="165"/>
      <c r="E34" s="141"/>
      <c r="F34" s="149"/>
      <c r="G34" s="37" t="s">
        <v>194</v>
      </c>
      <c r="H34" s="32" t="s">
        <v>213</v>
      </c>
      <c r="I34" s="73" t="s">
        <v>66</v>
      </c>
      <c r="J34" s="52" t="s">
        <v>117</v>
      </c>
      <c r="K34" s="52" t="s">
        <v>116</v>
      </c>
      <c r="L34" s="39">
        <v>1</v>
      </c>
      <c r="M34" s="39">
        <v>0</v>
      </c>
      <c r="N34" s="45">
        <f t="shared" si="0"/>
        <v>0</v>
      </c>
      <c r="O34" s="39"/>
      <c r="P34" s="39"/>
      <c r="Q34" s="54" t="s">
        <v>263</v>
      </c>
      <c r="R34" s="39">
        <v>54</v>
      </c>
      <c r="S34" s="39">
        <v>54</v>
      </c>
      <c r="T34" s="42">
        <f t="shared" si="1"/>
        <v>100</v>
      </c>
      <c r="U34" s="39"/>
      <c r="V34" s="44">
        <v>19810334</v>
      </c>
      <c r="W34" s="55" t="s">
        <v>271</v>
      </c>
      <c r="X34" s="61">
        <v>1</v>
      </c>
      <c r="Y34" s="61">
        <v>1</v>
      </c>
      <c r="Z34" s="60">
        <f>(Y34/X34)*100</f>
        <v>100</v>
      </c>
      <c r="AA34" s="62">
        <v>0</v>
      </c>
      <c r="AB34" s="44">
        <v>0</v>
      </c>
      <c r="AC34" s="56">
        <v>0</v>
      </c>
      <c r="AD34" s="92" t="s">
        <v>265</v>
      </c>
      <c r="AE34" s="61">
        <v>1</v>
      </c>
      <c r="AF34" s="61">
        <v>1</v>
      </c>
      <c r="AG34" s="60">
        <f t="shared" si="4"/>
        <v>100</v>
      </c>
      <c r="AH34" s="69">
        <f>1600000</f>
        <v>1600000</v>
      </c>
      <c r="AI34" s="69">
        <f>800000</f>
        <v>800000</v>
      </c>
      <c r="AJ34" s="56">
        <f t="shared" si="2"/>
        <v>0.5</v>
      </c>
      <c r="AK34" s="92" t="s">
        <v>351</v>
      </c>
      <c r="AL34" s="61">
        <v>1</v>
      </c>
      <c r="AM34" s="61">
        <v>1</v>
      </c>
      <c r="AN34" s="60">
        <f t="shared" si="15"/>
        <v>100</v>
      </c>
      <c r="AO34" s="69">
        <v>0</v>
      </c>
      <c r="AP34" s="69">
        <v>0</v>
      </c>
      <c r="AQ34" s="56" t="e">
        <f t="shared" ref="AQ34" si="16">+(AP34/AO34)</f>
        <v>#DIV/0!</v>
      </c>
      <c r="AR34" s="125" t="s">
        <v>426</v>
      </c>
      <c r="AS34" s="61">
        <v>1</v>
      </c>
      <c r="AT34" s="61">
        <v>1</v>
      </c>
      <c r="AU34" s="65">
        <f t="shared" si="14"/>
        <v>100</v>
      </c>
      <c r="AV34" s="133" t="s">
        <v>333</v>
      </c>
    </row>
    <row r="35" spans="1:48" s="89" customFormat="1" ht="409.5" customHeight="1" x14ac:dyDescent="0.4">
      <c r="A35" s="140"/>
      <c r="B35" s="141"/>
      <c r="C35" s="141"/>
      <c r="D35" s="165"/>
      <c r="E35" s="141"/>
      <c r="F35" s="149"/>
      <c r="G35" s="77" t="s">
        <v>195</v>
      </c>
      <c r="H35" s="78" t="s">
        <v>50</v>
      </c>
      <c r="I35" s="79" t="s">
        <v>67</v>
      </c>
      <c r="J35" s="80" t="s">
        <v>82</v>
      </c>
      <c r="K35" s="80" t="s">
        <v>116</v>
      </c>
      <c r="L35" s="50">
        <v>12</v>
      </c>
      <c r="M35" s="50">
        <v>0</v>
      </c>
      <c r="N35" s="81">
        <f t="shared" si="0"/>
        <v>0</v>
      </c>
      <c r="O35" s="50"/>
      <c r="P35" s="50"/>
      <c r="Q35" s="82" t="s">
        <v>259</v>
      </c>
      <c r="R35" s="50">
        <v>12</v>
      </c>
      <c r="S35" s="50">
        <v>0</v>
      </c>
      <c r="T35" s="50">
        <f t="shared" si="1"/>
        <v>0</v>
      </c>
      <c r="U35" s="50"/>
      <c r="V35" s="84">
        <v>0</v>
      </c>
      <c r="W35" s="85" t="s">
        <v>300</v>
      </c>
      <c r="X35" s="50">
        <v>12</v>
      </c>
      <c r="Y35" s="50">
        <v>12</v>
      </c>
      <c r="Z35" s="81">
        <f>(Y35/X35)*100</f>
        <v>100</v>
      </c>
      <c r="AA35" s="87">
        <f>1310332+1100000+865500+463750+25770000</f>
        <v>29509582</v>
      </c>
      <c r="AB35" s="84">
        <f>655166+1100000+865500+463750+25676000</f>
        <v>28760416</v>
      </c>
      <c r="AC35" s="81">
        <f t="shared" si="8"/>
        <v>0.97461278848341537</v>
      </c>
      <c r="AD35" s="92" t="s">
        <v>361</v>
      </c>
      <c r="AE35" s="50">
        <v>1</v>
      </c>
      <c r="AF35" s="50">
        <v>1</v>
      </c>
      <c r="AG35" s="86">
        <f t="shared" si="4"/>
        <v>100</v>
      </c>
      <c r="AH35" s="67">
        <v>1200000</v>
      </c>
      <c r="AI35" s="67">
        <v>1200000</v>
      </c>
      <c r="AJ35" s="56">
        <f>+AI35/AH35</f>
        <v>1</v>
      </c>
      <c r="AK35" s="92" t="s">
        <v>391</v>
      </c>
      <c r="AL35" s="50">
        <v>1</v>
      </c>
      <c r="AM35" s="50">
        <v>0</v>
      </c>
      <c r="AN35" s="86">
        <f t="shared" si="15"/>
        <v>0</v>
      </c>
      <c r="AO35" s="67">
        <v>0</v>
      </c>
      <c r="AP35" s="67">
        <v>0</v>
      </c>
      <c r="AQ35" s="56" t="e">
        <f>+AP35/AO35</f>
        <v>#DIV/0!</v>
      </c>
      <c r="AR35" s="125" t="s">
        <v>303</v>
      </c>
      <c r="AS35" s="50">
        <v>12</v>
      </c>
      <c r="AT35" s="50">
        <f>(M35+S35+Y35+AF35)/4</f>
        <v>3.25</v>
      </c>
      <c r="AU35" s="81">
        <f t="shared" si="14"/>
        <v>27.083333333333332</v>
      </c>
      <c r="AV35" s="92" t="s">
        <v>403</v>
      </c>
    </row>
    <row r="36" spans="1:48" s="89" customFormat="1" ht="207" customHeight="1" x14ac:dyDescent="0.4">
      <c r="A36" s="140"/>
      <c r="B36" s="141"/>
      <c r="C36" s="141"/>
      <c r="D36" s="165"/>
      <c r="E36" s="141"/>
      <c r="F36" s="149"/>
      <c r="G36" s="77" t="s">
        <v>196</v>
      </c>
      <c r="H36" s="78" t="s">
        <v>65</v>
      </c>
      <c r="I36" s="79" t="s">
        <v>137</v>
      </c>
      <c r="J36" s="80" t="s">
        <v>118</v>
      </c>
      <c r="K36" s="80" t="s">
        <v>119</v>
      </c>
      <c r="L36" s="50">
        <v>0</v>
      </c>
      <c r="M36" s="50">
        <v>0</v>
      </c>
      <c r="N36" s="81">
        <v>0</v>
      </c>
      <c r="O36" s="50"/>
      <c r="P36" s="50"/>
      <c r="Q36" s="82" t="s">
        <v>259</v>
      </c>
      <c r="R36" s="50">
        <v>1</v>
      </c>
      <c r="S36" s="50">
        <v>0</v>
      </c>
      <c r="T36" s="50">
        <f t="shared" si="1"/>
        <v>0</v>
      </c>
      <c r="U36" s="50"/>
      <c r="V36" s="84">
        <v>0</v>
      </c>
      <c r="W36" s="85" t="s">
        <v>289</v>
      </c>
      <c r="X36" s="50">
        <v>1</v>
      </c>
      <c r="Y36" s="50">
        <v>0</v>
      </c>
      <c r="Z36" s="81">
        <f>(Y36/X36)*100</f>
        <v>0</v>
      </c>
      <c r="AA36" s="87">
        <v>0</v>
      </c>
      <c r="AB36" s="84">
        <v>0</v>
      </c>
      <c r="AC36" s="81">
        <v>0</v>
      </c>
      <c r="AD36" s="92" t="s">
        <v>303</v>
      </c>
      <c r="AE36" s="50">
        <v>1</v>
      </c>
      <c r="AF36" s="50">
        <v>1</v>
      </c>
      <c r="AG36" s="86">
        <f t="shared" si="4"/>
        <v>100</v>
      </c>
      <c r="AH36" s="88">
        <v>8001089</v>
      </c>
      <c r="AI36" s="88">
        <v>8001089</v>
      </c>
      <c r="AJ36" s="56">
        <f t="shared" si="2"/>
        <v>1</v>
      </c>
      <c r="AK36" s="92" t="s">
        <v>395</v>
      </c>
      <c r="AL36" s="50">
        <v>1</v>
      </c>
      <c r="AM36" s="50">
        <v>1</v>
      </c>
      <c r="AN36" s="86">
        <f t="shared" si="15"/>
        <v>100</v>
      </c>
      <c r="AO36" s="129">
        <v>1300000</v>
      </c>
      <c r="AP36" s="129">
        <v>1300000</v>
      </c>
      <c r="AQ36" s="135">
        <f t="shared" ref="AQ36" si="17">+(AP36/AO36)</f>
        <v>1</v>
      </c>
      <c r="AR36" s="136" t="s">
        <v>424</v>
      </c>
      <c r="AS36" s="50">
        <v>1</v>
      </c>
      <c r="AT36" s="50">
        <v>1</v>
      </c>
      <c r="AU36" s="81">
        <f t="shared" si="14"/>
        <v>100</v>
      </c>
      <c r="AV36" s="92" t="s">
        <v>365</v>
      </c>
    </row>
    <row r="37" spans="1:48" s="40" customFormat="1" ht="140.25" customHeight="1" x14ac:dyDescent="0.4">
      <c r="A37" s="140"/>
      <c r="B37" s="141"/>
      <c r="C37" s="141"/>
      <c r="D37" s="165"/>
      <c r="E37" s="141"/>
      <c r="F37" s="149"/>
      <c r="G37" s="37" t="s">
        <v>197</v>
      </c>
      <c r="H37" s="34" t="s">
        <v>214</v>
      </c>
      <c r="I37" s="74" t="s">
        <v>68</v>
      </c>
      <c r="J37" s="52" t="s">
        <v>98</v>
      </c>
      <c r="K37" s="52" t="s">
        <v>120</v>
      </c>
      <c r="L37" s="39">
        <v>1</v>
      </c>
      <c r="M37" s="39">
        <v>1</v>
      </c>
      <c r="N37" s="45">
        <f t="shared" si="0"/>
        <v>100</v>
      </c>
      <c r="O37" s="39"/>
      <c r="P37" s="39"/>
      <c r="Q37" s="54" t="s">
        <v>284</v>
      </c>
      <c r="R37" s="39">
        <v>1</v>
      </c>
      <c r="S37" s="39">
        <v>0</v>
      </c>
      <c r="T37" s="42">
        <f t="shared" si="1"/>
        <v>0</v>
      </c>
      <c r="U37" s="39"/>
      <c r="V37" s="44">
        <v>0</v>
      </c>
      <c r="W37" s="55" t="s">
        <v>259</v>
      </c>
      <c r="X37" s="39">
        <v>0</v>
      </c>
      <c r="Y37" s="39">
        <v>0</v>
      </c>
      <c r="Z37" s="60" t="s">
        <v>298</v>
      </c>
      <c r="AA37" s="62">
        <v>0</v>
      </c>
      <c r="AB37" s="44">
        <v>0</v>
      </c>
      <c r="AC37" s="56">
        <v>0</v>
      </c>
      <c r="AD37" s="92" t="s">
        <v>305</v>
      </c>
      <c r="AE37" s="120">
        <v>0</v>
      </c>
      <c r="AF37" s="39">
        <v>0</v>
      </c>
      <c r="AG37" s="60">
        <v>0</v>
      </c>
      <c r="AH37" s="67">
        <v>0</v>
      </c>
      <c r="AI37" s="67">
        <v>0</v>
      </c>
      <c r="AJ37" s="56">
        <v>0</v>
      </c>
      <c r="AK37" s="113" t="s">
        <v>320</v>
      </c>
      <c r="AL37" s="50">
        <v>0</v>
      </c>
      <c r="AM37" s="39">
        <v>0</v>
      </c>
      <c r="AN37" s="60">
        <v>0</v>
      </c>
      <c r="AO37" s="67">
        <v>0</v>
      </c>
      <c r="AP37" s="67">
        <v>0</v>
      </c>
      <c r="AQ37" s="56">
        <v>0</v>
      </c>
      <c r="AR37" s="126" t="s">
        <v>407</v>
      </c>
      <c r="AS37" s="63">
        <v>1</v>
      </c>
      <c r="AT37" s="63">
        <v>1</v>
      </c>
      <c r="AU37" s="65">
        <f t="shared" si="14"/>
        <v>100</v>
      </c>
      <c r="AV37" s="94" t="s">
        <v>366</v>
      </c>
    </row>
    <row r="38" spans="1:48" s="40" customFormat="1" ht="293.25" customHeight="1" x14ac:dyDescent="0.4">
      <c r="A38" s="140" t="s">
        <v>38</v>
      </c>
      <c r="B38" s="141" t="s">
        <v>39</v>
      </c>
      <c r="C38" s="141" t="s">
        <v>153</v>
      </c>
      <c r="D38" s="165" t="s">
        <v>40</v>
      </c>
      <c r="E38" s="141" t="s">
        <v>170</v>
      </c>
      <c r="F38" s="149" t="s">
        <v>138</v>
      </c>
      <c r="G38" s="140" t="s">
        <v>198</v>
      </c>
      <c r="H38" s="146" t="s">
        <v>215</v>
      </c>
      <c r="I38" s="74" t="s">
        <v>69</v>
      </c>
      <c r="J38" s="52" t="s">
        <v>121</v>
      </c>
      <c r="K38" s="52" t="s">
        <v>122</v>
      </c>
      <c r="L38" s="39">
        <v>1</v>
      </c>
      <c r="M38" s="39">
        <v>0</v>
      </c>
      <c r="N38" s="45">
        <f t="shared" si="0"/>
        <v>0</v>
      </c>
      <c r="O38" s="39"/>
      <c r="P38" s="39"/>
      <c r="Q38" s="54" t="s">
        <v>259</v>
      </c>
      <c r="R38" s="39">
        <v>1</v>
      </c>
      <c r="S38" s="39">
        <v>0</v>
      </c>
      <c r="T38" s="42">
        <f t="shared" si="1"/>
        <v>0</v>
      </c>
      <c r="U38" s="39"/>
      <c r="V38" s="44">
        <v>2308000</v>
      </c>
      <c r="W38" s="55" t="s">
        <v>259</v>
      </c>
      <c r="X38" s="39">
        <v>1</v>
      </c>
      <c r="Y38" s="39">
        <v>0</v>
      </c>
      <c r="Z38" s="45">
        <f>(Y38/X38)*100</f>
        <v>0</v>
      </c>
      <c r="AA38" s="62">
        <v>0</v>
      </c>
      <c r="AB38" s="44">
        <v>0</v>
      </c>
      <c r="AC38" s="56">
        <v>0</v>
      </c>
      <c r="AD38" s="92" t="s">
        <v>303</v>
      </c>
      <c r="AE38" s="120">
        <v>0</v>
      </c>
      <c r="AF38" s="39">
        <v>0</v>
      </c>
      <c r="AG38" s="60">
        <v>0</v>
      </c>
      <c r="AH38" s="67">
        <v>0</v>
      </c>
      <c r="AI38" s="67">
        <v>0</v>
      </c>
      <c r="AJ38" s="56">
        <v>0</v>
      </c>
      <c r="AK38" s="130" t="s">
        <v>320</v>
      </c>
      <c r="AL38" s="50">
        <v>0</v>
      </c>
      <c r="AM38" s="39">
        <v>0</v>
      </c>
      <c r="AN38" s="60">
        <v>0</v>
      </c>
      <c r="AO38" s="67">
        <v>0</v>
      </c>
      <c r="AP38" s="67">
        <v>0</v>
      </c>
      <c r="AQ38" s="56">
        <v>0</v>
      </c>
      <c r="AR38" s="126" t="s">
        <v>407</v>
      </c>
      <c r="AS38" s="63">
        <v>1</v>
      </c>
      <c r="AT38" s="63">
        <v>0</v>
      </c>
      <c r="AU38" s="65">
        <f t="shared" si="14"/>
        <v>0</v>
      </c>
      <c r="AV38" s="91" t="s">
        <v>334</v>
      </c>
    </row>
    <row r="39" spans="1:48" s="40" customFormat="1" ht="250.5" customHeight="1" x14ac:dyDescent="0.4">
      <c r="A39" s="140"/>
      <c r="B39" s="141"/>
      <c r="C39" s="141"/>
      <c r="D39" s="165"/>
      <c r="E39" s="141"/>
      <c r="F39" s="149"/>
      <c r="G39" s="140"/>
      <c r="H39" s="147"/>
      <c r="I39" s="73" t="s">
        <v>232</v>
      </c>
      <c r="J39" s="52" t="s">
        <v>82</v>
      </c>
      <c r="K39" s="52" t="s">
        <v>123</v>
      </c>
      <c r="L39" s="39">
        <v>12</v>
      </c>
      <c r="M39" s="39">
        <v>12</v>
      </c>
      <c r="N39" s="45">
        <f t="shared" si="0"/>
        <v>100</v>
      </c>
      <c r="O39" s="39"/>
      <c r="P39" s="39"/>
      <c r="Q39" s="54" t="s">
        <v>290</v>
      </c>
      <c r="R39" s="39">
        <v>12</v>
      </c>
      <c r="S39" s="39">
        <v>0</v>
      </c>
      <c r="T39" s="42">
        <f t="shared" si="1"/>
        <v>0</v>
      </c>
      <c r="U39" s="39"/>
      <c r="V39" s="44">
        <v>4000000</v>
      </c>
      <c r="W39" s="54" t="s">
        <v>290</v>
      </c>
      <c r="X39" s="39">
        <v>1</v>
      </c>
      <c r="Y39" s="39">
        <v>1</v>
      </c>
      <c r="Z39" s="60">
        <f t="shared" si="7"/>
        <v>100</v>
      </c>
      <c r="AA39" s="62">
        <v>2000000</v>
      </c>
      <c r="AB39" s="44">
        <v>1000000</v>
      </c>
      <c r="AC39" s="56">
        <f t="shared" si="8"/>
        <v>0.5</v>
      </c>
      <c r="AD39" s="92" t="s">
        <v>301</v>
      </c>
      <c r="AE39" s="30">
        <v>12</v>
      </c>
      <c r="AF39" s="30">
        <v>0</v>
      </c>
      <c r="AG39" s="60">
        <f>(AF39/AE39)*100</f>
        <v>0</v>
      </c>
      <c r="AH39" s="68">
        <v>0</v>
      </c>
      <c r="AI39" s="68">
        <v>0</v>
      </c>
      <c r="AJ39" s="56">
        <v>0</v>
      </c>
      <c r="AK39" s="93" t="s">
        <v>303</v>
      </c>
      <c r="AL39" s="30">
        <v>1</v>
      </c>
      <c r="AM39" s="30">
        <v>0</v>
      </c>
      <c r="AN39" s="60">
        <f>(AM39/AL39)*100</f>
        <v>0</v>
      </c>
      <c r="AO39" s="68">
        <v>0</v>
      </c>
      <c r="AP39" s="68">
        <v>0</v>
      </c>
      <c r="AQ39" s="56">
        <v>0</v>
      </c>
      <c r="AR39" s="113" t="s">
        <v>303</v>
      </c>
      <c r="AS39" s="63">
        <v>12</v>
      </c>
      <c r="AT39" s="63">
        <v>12</v>
      </c>
      <c r="AU39" s="65">
        <f t="shared" si="14"/>
        <v>100</v>
      </c>
      <c r="AV39" s="133" t="s">
        <v>431</v>
      </c>
    </row>
    <row r="40" spans="1:48" s="40" customFormat="1" ht="244.5" customHeight="1" x14ac:dyDescent="0.4">
      <c r="A40" s="140"/>
      <c r="B40" s="141"/>
      <c r="C40" s="141"/>
      <c r="D40" s="165"/>
      <c r="E40" s="141"/>
      <c r="F40" s="149"/>
      <c r="G40" s="145"/>
      <c r="H40" s="148"/>
      <c r="I40" s="73" t="s">
        <v>233</v>
      </c>
      <c r="J40" s="52" t="s">
        <v>82</v>
      </c>
      <c r="K40" s="52" t="s">
        <v>123</v>
      </c>
      <c r="L40" s="39">
        <v>12</v>
      </c>
      <c r="M40" s="39">
        <v>0</v>
      </c>
      <c r="N40" s="45">
        <f t="shared" si="0"/>
        <v>0</v>
      </c>
      <c r="O40" s="39"/>
      <c r="P40" s="39"/>
      <c r="Q40" s="54" t="s">
        <v>259</v>
      </c>
      <c r="R40" s="39">
        <v>12</v>
      </c>
      <c r="S40" s="39">
        <v>0</v>
      </c>
      <c r="T40" s="42">
        <f t="shared" si="1"/>
        <v>0</v>
      </c>
      <c r="U40" s="39"/>
      <c r="V40" s="44">
        <v>0</v>
      </c>
      <c r="W40" s="55" t="s">
        <v>259</v>
      </c>
      <c r="X40" s="39">
        <v>0</v>
      </c>
      <c r="Y40" s="39">
        <v>0</v>
      </c>
      <c r="Z40" s="60" t="s">
        <v>298</v>
      </c>
      <c r="AA40" s="62">
        <v>0</v>
      </c>
      <c r="AB40" s="44">
        <v>0</v>
      </c>
      <c r="AC40" s="56">
        <v>0</v>
      </c>
      <c r="AD40" s="92" t="s">
        <v>305</v>
      </c>
      <c r="AE40" s="39">
        <v>1</v>
      </c>
      <c r="AF40" s="39">
        <v>0</v>
      </c>
      <c r="AG40" s="60">
        <f t="shared" si="4"/>
        <v>0</v>
      </c>
      <c r="AH40" s="67">
        <v>0</v>
      </c>
      <c r="AI40" s="67">
        <v>0</v>
      </c>
      <c r="AJ40" s="56">
        <v>0</v>
      </c>
      <c r="AK40" s="91" t="s">
        <v>303</v>
      </c>
      <c r="AL40" s="50">
        <v>1</v>
      </c>
      <c r="AM40" s="39">
        <v>0</v>
      </c>
      <c r="AN40" s="60">
        <f t="shared" ref="AN40" si="18">(AM40/AL40)*100</f>
        <v>0</v>
      </c>
      <c r="AO40" s="67">
        <v>0</v>
      </c>
      <c r="AP40" s="67">
        <v>0</v>
      </c>
      <c r="AQ40" s="56">
        <v>0</v>
      </c>
      <c r="AR40" s="92" t="s">
        <v>303</v>
      </c>
      <c r="AS40" s="39">
        <v>12</v>
      </c>
      <c r="AT40" s="39">
        <v>0</v>
      </c>
      <c r="AU40" s="65">
        <f t="shared" si="14"/>
        <v>0</v>
      </c>
      <c r="AV40" s="91" t="s">
        <v>325</v>
      </c>
    </row>
    <row r="41" spans="1:48" s="40" customFormat="1" ht="244.5" customHeight="1" x14ac:dyDescent="0.4">
      <c r="A41" s="140"/>
      <c r="B41" s="141"/>
      <c r="C41" s="141"/>
      <c r="D41" s="165"/>
      <c r="E41" s="141"/>
      <c r="F41" s="149"/>
      <c r="G41" s="37" t="s">
        <v>199</v>
      </c>
      <c r="H41" s="32" t="s">
        <v>70</v>
      </c>
      <c r="I41" s="73" t="s">
        <v>71</v>
      </c>
      <c r="J41" s="52" t="s">
        <v>124</v>
      </c>
      <c r="K41" s="52" t="s">
        <v>125</v>
      </c>
      <c r="L41" s="39">
        <v>0</v>
      </c>
      <c r="M41" s="39">
        <v>0</v>
      </c>
      <c r="N41" s="45" t="e">
        <f t="shared" si="0"/>
        <v>#DIV/0!</v>
      </c>
      <c r="O41" s="39"/>
      <c r="P41" s="39"/>
      <c r="Q41" s="54" t="s">
        <v>259</v>
      </c>
      <c r="R41" s="39">
        <v>0</v>
      </c>
      <c r="S41" s="39">
        <v>0</v>
      </c>
      <c r="T41" s="42" t="e">
        <f t="shared" si="1"/>
        <v>#DIV/0!</v>
      </c>
      <c r="U41" s="39"/>
      <c r="V41" s="44">
        <v>0</v>
      </c>
      <c r="W41" s="55" t="s">
        <v>259</v>
      </c>
      <c r="X41" s="39">
        <v>1</v>
      </c>
      <c r="Y41" s="39">
        <v>0</v>
      </c>
      <c r="Z41" s="60">
        <f t="shared" si="7"/>
        <v>0</v>
      </c>
      <c r="AA41" s="62">
        <v>0</v>
      </c>
      <c r="AB41" s="44">
        <v>0</v>
      </c>
      <c r="AC41" s="56">
        <v>0</v>
      </c>
      <c r="AD41" s="92" t="s">
        <v>304</v>
      </c>
      <c r="AE41" s="39">
        <v>1</v>
      </c>
      <c r="AF41" s="39">
        <v>0</v>
      </c>
      <c r="AG41" s="60">
        <f>(AF41/AE41)*100</f>
        <v>0</v>
      </c>
      <c r="AH41" s="67">
        <v>0</v>
      </c>
      <c r="AI41" s="67">
        <v>0</v>
      </c>
      <c r="AJ41" s="56">
        <v>0</v>
      </c>
      <c r="AK41" s="91" t="s">
        <v>303</v>
      </c>
      <c r="AL41" s="50">
        <v>0</v>
      </c>
      <c r="AM41" s="39">
        <v>0</v>
      </c>
      <c r="AN41" s="60" t="e">
        <f>(AM41/AL41)*100</f>
        <v>#DIV/0!</v>
      </c>
      <c r="AO41" s="67">
        <v>0</v>
      </c>
      <c r="AP41" s="67">
        <v>0</v>
      </c>
      <c r="AQ41" s="56">
        <v>0</v>
      </c>
      <c r="AR41" s="126" t="s">
        <v>407</v>
      </c>
      <c r="AS41" s="39">
        <v>8</v>
      </c>
      <c r="AT41" s="39">
        <v>0</v>
      </c>
      <c r="AU41" s="65">
        <f t="shared" si="14"/>
        <v>0</v>
      </c>
      <c r="AV41" s="91" t="s">
        <v>325</v>
      </c>
    </row>
    <row r="42" spans="1:48" s="40" customFormat="1" ht="295.5" customHeight="1" x14ac:dyDescent="0.4">
      <c r="A42" s="140"/>
      <c r="B42" s="141"/>
      <c r="C42" s="37" t="s">
        <v>154</v>
      </c>
      <c r="D42" s="169" t="s">
        <v>139</v>
      </c>
      <c r="E42" s="37" t="s">
        <v>200</v>
      </c>
      <c r="F42" s="32" t="s">
        <v>48</v>
      </c>
      <c r="G42" s="37" t="s">
        <v>201</v>
      </c>
      <c r="H42" s="32" t="s">
        <v>216</v>
      </c>
      <c r="I42" s="73" t="s">
        <v>72</v>
      </c>
      <c r="J42" s="52" t="s">
        <v>126</v>
      </c>
      <c r="K42" s="52" t="s">
        <v>127</v>
      </c>
      <c r="L42" s="39">
        <v>0</v>
      </c>
      <c r="M42" s="39">
        <v>0</v>
      </c>
      <c r="N42" s="45" t="e">
        <f t="shared" si="0"/>
        <v>#DIV/0!</v>
      </c>
      <c r="O42" s="39"/>
      <c r="P42" s="39"/>
      <c r="Q42" s="54" t="s">
        <v>259</v>
      </c>
      <c r="R42" s="39">
        <v>1</v>
      </c>
      <c r="S42" s="39">
        <v>0</v>
      </c>
      <c r="T42" s="42">
        <f t="shared" si="1"/>
        <v>0</v>
      </c>
      <c r="U42" s="39"/>
      <c r="V42" s="44">
        <v>0</v>
      </c>
      <c r="W42" s="55" t="s">
        <v>259</v>
      </c>
      <c r="X42" s="39">
        <v>0</v>
      </c>
      <c r="Y42" s="39">
        <v>0</v>
      </c>
      <c r="Z42" s="60" t="s">
        <v>298</v>
      </c>
      <c r="AA42" s="62">
        <v>0</v>
      </c>
      <c r="AB42" s="44">
        <v>0</v>
      </c>
      <c r="AC42" s="56">
        <v>0</v>
      </c>
      <c r="AD42" s="92" t="s">
        <v>305</v>
      </c>
      <c r="AE42" s="39">
        <v>1</v>
      </c>
      <c r="AF42" s="120">
        <v>1</v>
      </c>
      <c r="AG42" s="117">
        <v>1</v>
      </c>
      <c r="AH42" s="67">
        <v>350000000</v>
      </c>
      <c r="AI42" s="67">
        <v>350000000</v>
      </c>
      <c r="AJ42" s="56">
        <v>1</v>
      </c>
      <c r="AK42" s="91" t="s">
        <v>384</v>
      </c>
      <c r="AL42" s="50">
        <v>0</v>
      </c>
      <c r="AM42" s="120">
        <v>0</v>
      </c>
      <c r="AN42" s="132">
        <v>0</v>
      </c>
      <c r="AO42" s="67">
        <v>0</v>
      </c>
      <c r="AP42" s="67">
        <v>0</v>
      </c>
      <c r="AQ42" s="56">
        <v>0</v>
      </c>
      <c r="AR42" s="126" t="s">
        <v>407</v>
      </c>
      <c r="AS42" s="39">
        <v>9</v>
      </c>
      <c r="AT42" s="120">
        <v>4</v>
      </c>
      <c r="AU42" s="65">
        <f t="shared" si="14"/>
        <v>44.444444444444443</v>
      </c>
      <c r="AV42" s="91" t="s">
        <v>384</v>
      </c>
    </row>
    <row r="61" spans="2:5" ht="102.75" customHeight="1" x14ac:dyDescent="0.25">
      <c r="B61" s="26"/>
      <c r="C61" s="26"/>
      <c r="D61" s="170"/>
      <c r="E61" s="27"/>
    </row>
    <row r="62" spans="2:5" ht="102.75" customHeight="1" x14ac:dyDescent="0.25">
      <c r="B62" s="26"/>
      <c r="C62" s="26"/>
      <c r="D62" s="170"/>
      <c r="E62" s="27"/>
    </row>
    <row r="63" spans="2:5" ht="102.75" customHeight="1" x14ac:dyDescent="0.25">
      <c r="B63" s="26"/>
      <c r="C63" s="26"/>
      <c r="D63" s="170"/>
      <c r="E63" s="27"/>
    </row>
    <row r="64" spans="2:5" ht="102.75" customHeight="1" x14ac:dyDescent="0.25">
      <c r="B64" s="26"/>
      <c r="C64" s="26"/>
      <c r="D64" s="170"/>
      <c r="E64" s="27"/>
    </row>
    <row r="65" spans="2:5" ht="102.75" customHeight="1" x14ac:dyDescent="0.25">
      <c r="B65" s="26"/>
      <c r="C65" s="26"/>
      <c r="D65" s="170"/>
      <c r="E65" s="27"/>
    </row>
    <row r="66" spans="2:5" ht="102.75" customHeight="1" x14ac:dyDescent="0.25">
      <c r="B66" s="26"/>
      <c r="C66" s="26"/>
      <c r="D66" s="170"/>
      <c r="E66" s="27"/>
    </row>
    <row r="67" spans="2:5" ht="102.75" customHeight="1" x14ac:dyDescent="0.25">
      <c r="B67" s="26"/>
      <c r="C67" s="26"/>
      <c r="D67" s="170"/>
      <c r="E67" s="27"/>
    </row>
    <row r="68" spans="2:5" ht="102.75" customHeight="1" x14ac:dyDescent="0.25">
      <c r="B68" s="26"/>
      <c r="C68" s="26"/>
      <c r="D68" s="170"/>
      <c r="E68" s="27"/>
    </row>
    <row r="69" spans="2:5" ht="102.75" customHeight="1" x14ac:dyDescent="0.25">
      <c r="B69" s="26"/>
      <c r="C69" s="26"/>
      <c r="D69" s="170"/>
      <c r="E69" s="27"/>
    </row>
    <row r="70" spans="2:5" ht="102.75" customHeight="1" x14ac:dyDescent="0.25">
      <c r="B70" s="26"/>
      <c r="C70" s="26"/>
      <c r="D70" s="170"/>
      <c r="E70" s="27"/>
    </row>
    <row r="72" spans="2:5" ht="102.75" customHeight="1" x14ac:dyDescent="0.25">
      <c r="B72" s="26"/>
      <c r="C72" s="26"/>
      <c r="D72" s="170"/>
      <c r="E72" s="27"/>
    </row>
    <row r="73" spans="2:5" ht="102.75" customHeight="1" x14ac:dyDescent="0.25">
      <c r="B73" s="26"/>
      <c r="C73" s="26"/>
      <c r="D73" s="170"/>
      <c r="E73" s="27"/>
    </row>
    <row r="74" spans="2:5" ht="102.75" customHeight="1" x14ac:dyDescent="0.25">
      <c r="B74" s="26"/>
      <c r="C74" s="26"/>
      <c r="D74" s="170"/>
      <c r="E74" s="27"/>
    </row>
    <row r="75" spans="2:5" ht="102.75" customHeight="1" x14ac:dyDescent="0.25">
      <c r="B75" s="26"/>
      <c r="C75" s="26"/>
      <c r="D75" s="170"/>
      <c r="E75" s="27"/>
    </row>
    <row r="76" spans="2:5" ht="102.75" customHeight="1" x14ac:dyDescent="0.25">
      <c r="B76" s="26"/>
      <c r="C76" s="26"/>
      <c r="D76" s="170"/>
      <c r="E76" s="27"/>
    </row>
  </sheetData>
  <mergeCells count="68">
    <mergeCell ref="AS2:AV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C3:D3"/>
    <mergeCell ref="E3:F3"/>
    <mergeCell ref="G3:H3"/>
    <mergeCell ref="L2:Q2"/>
    <mergeCell ref="A1:K2"/>
    <mergeCell ref="AL2:AR2"/>
    <mergeCell ref="AE2:AK2"/>
    <mergeCell ref="R2:W2"/>
    <mergeCell ref="X2:AD2"/>
  </mergeCells>
  <phoneticPr fontId="26" type="noConversion"/>
  <conditionalFormatting sqref="N4:N24 N26:N42">
    <cfRule type="cellIs" dxfId="44" priority="220" operator="between">
      <formula>80</formula>
      <formula>100</formula>
    </cfRule>
    <cfRule type="cellIs" dxfId="43" priority="221" operator="between">
      <formula>70</formula>
      <formula>79</formula>
    </cfRule>
    <cfRule type="cellIs" dxfId="42" priority="222" operator="between">
      <formula>60</formula>
      <formula>69</formula>
    </cfRule>
    <cfRule type="cellIs" dxfId="41" priority="224" operator="between">
      <formula>0</formula>
      <formula>39</formula>
    </cfRule>
  </conditionalFormatting>
  <conditionalFormatting sqref="N4:N42">
    <cfRule type="cellIs" dxfId="40" priority="219" operator="between">
      <formula>40</formula>
      <formula>59</formula>
    </cfRule>
  </conditionalFormatting>
  <conditionalFormatting sqref="T4:T42">
    <cfRule type="cellIs" dxfId="39" priority="214" operator="between">
      <formula>80</formula>
      <formula>100</formula>
    </cfRule>
    <cfRule type="cellIs" dxfId="38" priority="215" operator="between">
      <formula>70</formula>
      <formula>79</formula>
    </cfRule>
    <cfRule type="cellIs" dxfId="37" priority="216" operator="between">
      <formula>60</formula>
      <formula>69</formula>
    </cfRule>
    <cfRule type="cellIs" dxfId="36" priority="217" operator="between">
      <formula>40</formula>
      <formula>59</formula>
    </cfRule>
    <cfRule type="cellIs" dxfId="35" priority="218" operator="between">
      <formula>0</formula>
      <formula>39</formula>
    </cfRule>
  </conditionalFormatting>
  <conditionalFormatting sqref="Z4:Z42">
    <cfRule type="cellIs" dxfId="34" priority="101" operator="between">
      <formula>80</formula>
      <formula>100</formula>
    </cfRule>
    <cfRule type="cellIs" dxfId="33" priority="102" operator="between">
      <formula>70</formula>
      <formula>79</formula>
    </cfRule>
    <cfRule type="cellIs" dxfId="32" priority="103" operator="between">
      <formula>60</formula>
      <formula>69</formula>
    </cfRule>
    <cfRule type="cellIs" dxfId="31" priority="104" operator="between">
      <formula>40</formula>
      <formula>59</formula>
    </cfRule>
    <cfRule type="cellIs" dxfId="30" priority="105" operator="between">
      <formula>0</formula>
      <formula>39</formula>
    </cfRule>
  </conditionalFormatting>
  <conditionalFormatting sqref="AC4:AC42">
    <cfRule type="cellIs" dxfId="29" priority="126" operator="between">
      <formula>0.8</formula>
      <formula>1</formula>
    </cfRule>
    <cfRule type="cellIs" dxfId="28" priority="127" operator="between">
      <formula>0.7</formula>
      <formula>0.79</formula>
    </cfRule>
    <cfRule type="cellIs" dxfId="27" priority="128" operator="between">
      <formula>0.6</formula>
      <formula>0.69</formula>
    </cfRule>
    <cfRule type="cellIs" dxfId="26" priority="129" operator="between">
      <formula>0.4</formula>
      <formula>0.59</formula>
    </cfRule>
    <cfRule type="cellIs" dxfId="25" priority="130" operator="between">
      <formula>0</formula>
      <formula>0.39</formula>
    </cfRule>
  </conditionalFormatting>
  <conditionalFormatting sqref="AG4:AG41">
    <cfRule type="cellIs" dxfId="24" priority="11" operator="between">
      <formula>80</formula>
      <formula>100</formula>
    </cfRule>
    <cfRule type="cellIs" dxfId="23" priority="12" operator="between">
      <formula>70</formula>
      <formula>79</formula>
    </cfRule>
    <cfRule type="cellIs" dxfId="22" priority="13" operator="between">
      <formula>60</formula>
      <formula>69</formula>
    </cfRule>
    <cfRule type="cellIs" dxfId="21" priority="14" operator="between">
      <formula>40</formula>
      <formula>59</formula>
    </cfRule>
    <cfRule type="cellIs" dxfId="20" priority="15" operator="between">
      <formula>0</formula>
      <formula>39</formula>
    </cfRule>
  </conditionalFormatting>
  <conditionalFormatting sqref="AJ4:AJ42">
    <cfRule type="cellIs" dxfId="19" priority="46" operator="between">
      <formula>0.8</formula>
      <formula>1</formula>
    </cfRule>
    <cfRule type="cellIs" dxfId="18" priority="47" operator="between">
      <formula>0.7</formula>
      <formula>0.79</formula>
    </cfRule>
    <cfRule type="cellIs" dxfId="17" priority="48" operator="between">
      <formula>0.6</formula>
      <formula>0.69</formula>
    </cfRule>
    <cfRule type="cellIs" dxfId="16" priority="49" operator="between">
      <formula>0.4</formula>
      <formula>0.59</formula>
    </cfRule>
    <cfRule type="cellIs" dxfId="15" priority="50" operator="between">
      <formula>0</formula>
      <formula>0.39</formula>
    </cfRule>
  </conditionalFormatting>
  <conditionalFormatting sqref="AU4:AU42">
    <cfRule type="cellIs" dxfId="14" priority="204" operator="between">
      <formula>80</formula>
      <formula>100</formula>
    </cfRule>
    <cfRule type="cellIs" dxfId="13" priority="205" operator="between">
      <formula>70</formula>
      <formula>79</formula>
    </cfRule>
    <cfRule type="cellIs" dxfId="12" priority="206" operator="between">
      <formula>60</formula>
      <formula>69</formula>
    </cfRule>
    <cfRule type="cellIs" dxfId="11" priority="207" operator="between">
      <formula>40</formula>
      <formula>59</formula>
    </cfRule>
    <cfRule type="cellIs" dxfId="10" priority="208" operator="between">
      <formula>0</formula>
      <formula>39</formula>
    </cfRule>
  </conditionalFormatting>
  <conditionalFormatting sqref="AN4:AN41">
    <cfRule type="cellIs" dxfId="9" priority="1" operator="between">
      <formula>80</formula>
      <formula>100</formula>
    </cfRule>
    <cfRule type="cellIs" dxfId="8" priority="2" operator="between">
      <formula>70</formula>
      <formula>79</formula>
    </cfRule>
    <cfRule type="cellIs" dxfId="7" priority="3" operator="between">
      <formula>60</formula>
      <formula>69</formula>
    </cfRule>
    <cfRule type="cellIs" dxfId="6" priority="4" operator="between">
      <formula>40</formula>
      <formula>59</formula>
    </cfRule>
    <cfRule type="cellIs" dxfId="5" priority="5" operator="between">
      <formula>0</formula>
      <formula>39</formula>
    </cfRule>
  </conditionalFormatting>
  <conditionalFormatting sqref="AQ4:AQ42">
    <cfRule type="cellIs" dxfId="4" priority="6" operator="between">
      <formula>0.8</formula>
      <formula>1</formula>
    </cfRule>
    <cfRule type="cellIs" dxfId="3" priority="7" operator="between">
      <formula>0.7</formula>
      <formula>0.79</formula>
    </cfRule>
    <cfRule type="cellIs" dxfId="2" priority="8" operator="between">
      <formula>0.6</formula>
      <formula>0.69</formula>
    </cfRule>
    <cfRule type="cellIs" dxfId="1" priority="9" operator="between">
      <formula>0.4</formula>
      <formula>0.59</formula>
    </cfRule>
    <cfRule type="cellIs" dxfId="0" priority="10" operator="between">
      <formula>0</formula>
      <formula>0.39</formula>
    </cfRule>
  </conditionalFormatting>
  <pageMargins left="0.7" right="0.7" top="0.75" bottom="0.75" header="0.3" footer="0.3"/>
  <pageSetup paperSize="5" scale="1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48" zoomScaleNormal="48" workbookViewId="0">
      <selection activeCell="O16" sqref="O16"/>
    </sheetView>
  </sheetViews>
  <sheetFormatPr baseColWidth="10" defaultRowHeight="15" x14ac:dyDescent="0.25"/>
  <cols>
    <col min="2" max="2" width="22.28515625" customWidth="1"/>
    <col min="3" max="4" width="20.42578125" customWidth="1"/>
    <col min="5" max="5" width="18.85546875" customWidth="1"/>
    <col min="6" max="6" width="23.42578125" customWidth="1"/>
    <col min="7" max="7" width="25.140625" customWidth="1"/>
    <col min="8" max="8" width="20.42578125" customWidth="1"/>
    <col min="9" max="9" width="18.85546875" customWidth="1"/>
    <col min="10" max="10" width="22" customWidth="1"/>
    <col min="13" max="13" width="13.42578125" customWidth="1"/>
    <col min="14" max="14" width="23" customWidth="1"/>
    <col min="15" max="15" width="26.28515625" customWidth="1"/>
  </cols>
  <sheetData>
    <row r="1" spans="1:23" ht="15.75" customHeight="1" thickBot="1" x14ac:dyDescent="0.3">
      <c r="A1" s="154" t="s">
        <v>245</v>
      </c>
      <c r="B1" s="156" t="s">
        <v>246</v>
      </c>
      <c r="C1" s="156" t="s">
        <v>291</v>
      </c>
      <c r="D1" s="156" t="s">
        <v>3</v>
      </c>
      <c r="E1" s="158" t="s">
        <v>336</v>
      </c>
      <c r="F1" s="159"/>
      <c r="G1" s="159"/>
      <c r="H1" s="159"/>
      <c r="I1" s="159"/>
      <c r="J1" s="160"/>
    </row>
    <row r="2" spans="1:23" ht="27.75" customHeight="1" thickBot="1" x14ac:dyDescent="0.3">
      <c r="A2" s="155"/>
      <c r="B2" s="157"/>
      <c r="C2" s="157"/>
      <c r="D2" s="157"/>
      <c r="E2" s="10" t="s">
        <v>235</v>
      </c>
      <c r="F2" s="10" t="s">
        <v>236</v>
      </c>
      <c r="G2" s="10" t="s">
        <v>237</v>
      </c>
      <c r="H2" s="10" t="s">
        <v>238</v>
      </c>
      <c r="I2" s="10" t="s">
        <v>239</v>
      </c>
      <c r="J2" s="11" t="s">
        <v>247</v>
      </c>
      <c r="N2" s="2" t="s">
        <v>248</v>
      </c>
      <c r="O2" s="3" t="s">
        <v>249</v>
      </c>
      <c r="Q2" s="153"/>
      <c r="R2" s="153"/>
      <c r="S2" s="153"/>
      <c r="T2" s="153"/>
      <c r="U2" s="153"/>
      <c r="V2" s="153"/>
      <c r="W2" s="153"/>
    </row>
    <row r="3" spans="1:23" ht="60.75" customHeight="1" thickBot="1" x14ac:dyDescent="0.3">
      <c r="A3" s="12">
        <v>1</v>
      </c>
      <c r="B3" s="13" t="s">
        <v>234</v>
      </c>
      <c r="C3" s="14">
        <v>2</v>
      </c>
      <c r="D3" s="49" t="s">
        <v>292</v>
      </c>
      <c r="E3" s="15">
        <v>1</v>
      </c>
      <c r="F3" s="16"/>
      <c r="G3" s="29"/>
      <c r="H3" s="17"/>
      <c r="I3" s="18">
        <v>1</v>
      </c>
      <c r="J3" s="19">
        <f>SUM(E3:I3)</f>
        <v>2</v>
      </c>
      <c r="N3" s="4" t="s">
        <v>250</v>
      </c>
      <c r="O3" s="5">
        <v>18</v>
      </c>
    </row>
    <row r="4" spans="1:23" ht="83.25" customHeight="1" thickBot="1" x14ac:dyDescent="0.3">
      <c r="A4" s="12">
        <v>2</v>
      </c>
      <c r="B4" s="13" t="s">
        <v>14</v>
      </c>
      <c r="C4" s="14">
        <v>11</v>
      </c>
      <c r="D4" s="49" t="s">
        <v>293</v>
      </c>
      <c r="E4" s="15">
        <v>4</v>
      </c>
      <c r="F4" s="16">
        <v>2</v>
      </c>
      <c r="G4" s="29"/>
      <c r="H4" s="17"/>
      <c r="I4" s="18">
        <v>5</v>
      </c>
      <c r="J4" s="19">
        <f t="shared" ref="J4:J7" si="0">SUM(E4:I4)</f>
        <v>11</v>
      </c>
      <c r="N4" s="6" t="s">
        <v>236</v>
      </c>
      <c r="O4" s="5">
        <v>4</v>
      </c>
    </row>
    <row r="5" spans="1:23" ht="60" customHeight="1" thickBot="1" x14ac:dyDescent="0.3">
      <c r="A5" s="12">
        <v>3</v>
      </c>
      <c r="B5" s="13" t="s">
        <v>24</v>
      </c>
      <c r="C5" s="14">
        <v>7</v>
      </c>
      <c r="D5" s="49" t="s">
        <v>294</v>
      </c>
      <c r="E5" s="15">
        <v>3</v>
      </c>
      <c r="F5" s="16">
        <v>2</v>
      </c>
      <c r="G5" s="29"/>
      <c r="H5" s="17">
        <v>1</v>
      </c>
      <c r="I5" s="18">
        <v>1</v>
      </c>
      <c r="J5" s="19">
        <f t="shared" si="0"/>
        <v>7</v>
      </c>
      <c r="N5" s="7" t="s">
        <v>237</v>
      </c>
      <c r="O5" s="5">
        <f>G8</f>
        <v>0</v>
      </c>
    </row>
    <row r="6" spans="1:23" ht="79.5" customHeight="1" thickBot="1" x14ac:dyDescent="0.3">
      <c r="A6" s="12">
        <v>4</v>
      </c>
      <c r="B6" s="13" t="s">
        <v>30</v>
      </c>
      <c r="C6" s="14">
        <v>14</v>
      </c>
      <c r="D6" s="49" t="s">
        <v>295</v>
      </c>
      <c r="E6" s="15">
        <v>6</v>
      </c>
      <c r="F6" s="16"/>
      <c r="G6" s="29"/>
      <c r="H6" s="17"/>
      <c r="I6" s="18">
        <v>8</v>
      </c>
      <c r="J6" s="19">
        <f t="shared" si="0"/>
        <v>14</v>
      </c>
      <c r="N6" s="8" t="s">
        <v>238</v>
      </c>
      <c r="O6" s="5">
        <v>1</v>
      </c>
    </row>
    <row r="7" spans="1:23" ht="107.25" customHeight="1" thickBot="1" x14ac:dyDescent="0.3">
      <c r="A7" s="12">
        <v>5</v>
      </c>
      <c r="B7" s="13" t="s">
        <v>39</v>
      </c>
      <c r="C7" s="14">
        <v>5</v>
      </c>
      <c r="D7" s="49" t="s">
        <v>296</v>
      </c>
      <c r="E7" s="15">
        <v>4</v>
      </c>
      <c r="F7" s="16"/>
      <c r="G7" s="29"/>
      <c r="H7" s="17"/>
      <c r="I7" s="18">
        <v>1</v>
      </c>
      <c r="J7" s="19">
        <f t="shared" si="0"/>
        <v>5</v>
      </c>
      <c r="N7" s="9" t="s">
        <v>239</v>
      </c>
      <c r="O7" s="5">
        <v>16</v>
      </c>
    </row>
    <row r="8" spans="1:23" ht="15.75" thickBot="1" x14ac:dyDescent="0.3">
      <c r="A8" s="150" t="s">
        <v>291</v>
      </c>
      <c r="B8" s="151"/>
      <c r="C8" s="151"/>
      <c r="D8" s="152"/>
      <c r="E8" s="20">
        <f>SUM(E3:E7)</f>
        <v>18</v>
      </c>
      <c r="F8" s="20">
        <f t="shared" ref="F8:I8" si="1">SUM(F3:F7)</f>
        <v>4</v>
      </c>
      <c r="G8" s="20">
        <f t="shared" si="1"/>
        <v>0</v>
      </c>
      <c r="H8" s="20">
        <f t="shared" si="1"/>
        <v>1</v>
      </c>
      <c r="I8" s="20">
        <f t="shared" si="1"/>
        <v>16</v>
      </c>
      <c r="J8" s="20">
        <f>SUM(J3:J7)</f>
        <v>39</v>
      </c>
      <c r="O8">
        <f>O3+O4+O5+O6+O7</f>
        <v>39</v>
      </c>
    </row>
    <row r="14" spans="1:23" ht="15.75" thickBot="1" x14ac:dyDescent="0.3"/>
    <row r="15" spans="1:23" ht="24" customHeight="1" x14ac:dyDescent="0.25">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
      <c r="B16" s="24" t="s">
        <v>234</v>
      </c>
      <c r="C16" s="15">
        <f>E3</f>
        <v>1</v>
      </c>
      <c r="D16" s="16">
        <f>F3</f>
        <v>0</v>
      </c>
      <c r="E16" s="29">
        <f>G3</f>
        <v>0</v>
      </c>
      <c r="F16" s="17">
        <f>H3</f>
        <v>0</v>
      </c>
      <c r="G16" s="18">
        <f>I3</f>
        <v>1</v>
      </c>
      <c r="J16" s="24" t="s">
        <v>14</v>
      </c>
      <c r="K16" s="15">
        <f>E4</f>
        <v>4</v>
      </c>
      <c r="L16" s="16">
        <f>F4</f>
        <v>2</v>
      </c>
      <c r="M16" s="29">
        <f>G4</f>
        <v>0</v>
      </c>
      <c r="N16" s="17">
        <f>H4</f>
        <v>0</v>
      </c>
      <c r="O16" s="18">
        <f>I4</f>
        <v>5</v>
      </c>
    </row>
    <row r="17" spans="2:30" x14ac:dyDescent="0.25">
      <c r="B17" s="1"/>
    </row>
    <row r="19" spans="2:30" ht="65.25" customHeight="1" x14ac:dyDescent="0.25"/>
    <row r="22" spans="2:30" ht="54.75" customHeight="1" x14ac:dyDescent="0.25"/>
    <row r="24" spans="2:30" x14ac:dyDescent="0.25">
      <c r="AD24" s="1"/>
    </row>
    <row r="25" spans="2:30" ht="80.25" customHeight="1" thickBot="1" x14ac:dyDescent="0.3"/>
    <row r="26" spans="2:30" ht="48" customHeight="1" x14ac:dyDescent="0.25">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
      <c r="B27" s="24" t="s">
        <v>24</v>
      </c>
      <c r="C27" s="15">
        <f>E5</f>
        <v>3</v>
      </c>
      <c r="D27" s="16">
        <f>F5</f>
        <v>2</v>
      </c>
      <c r="E27" s="29">
        <f>G5</f>
        <v>0</v>
      </c>
      <c r="F27" s="17">
        <f>H5</f>
        <v>1</v>
      </c>
      <c r="G27" s="18">
        <f>I5</f>
        <v>1</v>
      </c>
      <c r="J27" s="24" t="s">
        <v>30</v>
      </c>
      <c r="K27" s="15">
        <f>E6</f>
        <v>6</v>
      </c>
      <c r="L27" s="16">
        <f>F6</f>
        <v>0</v>
      </c>
      <c r="M27" s="29">
        <f>G6</f>
        <v>0</v>
      </c>
      <c r="N27" s="17">
        <f>H6</f>
        <v>0</v>
      </c>
      <c r="O27" s="18">
        <f>I6</f>
        <v>8</v>
      </c>
      <c r="AD27" s="1"/>
    </row>
    <row r="28" spans="2:30" ht="96.75" customHeight="1" x14ac:dyDescent="0.25"/>
    <row r="30" spans="2:30" x14ac:dyDescent="0.25">
      <c r="AD30" s="1"/>
    </row>
    <row r="44" spans="2:7" ht="15.75" thickBot="1" x14ac:dyDescent="0.3"/>
    <row r="45" spans="2:7" ht="30" customHeight="1" x14ac:dyDescent="0.25">
      <c r="B45" s="21" t="s">
        <v>244</v>
      </c>
      <c r="C45" s="22" t="s">
        <v>235</v>
      </c>
      <c r="D45" s="22" t="s">
        <v>236</v>
      </c>
      <c r="E45" s="22" t="s">
        <v>237</v>
      </c>
      <c r="F45" s="22" t="s">
        <v>238</v>
      </c>
      <c r="G45" s="23" t="s">
        <v>239</v>
      </c>
    </row>
    <row r="46" spans="2:7" ht="90.75" customHeight="1" thickBot="1" x14ac:dyDescent="0.3">
      <c r="B46" s="24" t="s">
        <v>39</v>
      </c>
      <c r="C46" s="15">
        <f>E7</f>
        <v>4</v>
      </c>
      <c r="D46" s="16">
        <f>F7</f>
        <v>0</v>
      </c>
      <c r="E46" s="29">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2021-08-19T15:54:10Z</cp:lastPrinted>
  <dcterms:created xsi:type="dcterms:W3CDTF">2019-05-08T13:38:43Z</dcterms:created>
  <dcterms:modified xsi:type="dcterms:W3CDTF">2024-10-30T20:21:41Z</dcterms:modified>
</cp:coreProperties>
</file>