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66925"/>
  <mc:AlternateContent xmlns:mc="http://schemas.openxmlformats.org/markup-compatibility/2006">
    <mc:Choice Requires="x15">
      <x15ac:absPath xmlns:x15ac="http://schemas.microsoft.com/office/spreadsheetml/2010/11/ac" url="C:\Users\sebas\OneDrive\Escritorio\GOBERNACIÓN\SEGUIMIENTOS\1 SEGUIMIENTO 2024\"/>
    </mc:Choice>
  </mc:AlternateContent>
  <xr:revisionPtr revIDLastSave="0" documentId="13_ncr:1_{7528F6B5-5EE2-4C47-9E56-CB6962E0063B}" xr6:coauthVersionLast="47" xr6:coauthVersionMax="47" xr10:uidLastSave="{00000000-0000-0000-0000-000000000000}"/>
  <bookViews>
    <workbookView xWindow="-108" yWindow="-108" windowWidth="23256" windowHeight="12456" xr2:uid="{00000000-000D-0000-FFFF-FFFF00000000}"/>
  </bookViews>
  <sheets>
    <sheet name="Matriz Seguimiento" sheetId="2" r:id="rId1"/>
    <sheet name="GRAFICOS" sheetId="4" r:id="rId2"/>
  </sheets>
  <definedNames>
    <definedName name="_xlnm._FilterDatabase" localSheetId="0" hidden="1">'Matriz Seguimiento'!$G$3:$AJ$42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6" i="2" l="1"/>
  <c r="AT10" i="2"/>
  <c r="AT22" i="2" l="1"/>
  <c r="AT18" i="2"/>
  <c r="AT17" i="2"/>
  <c r="AT21" i="2"/>
  <c r="AT23" i="2"/>
  <c r="AT26" i="2"/>
  <c r="AT27" i="2"/>
  <c r="AT29" i="2"/>
  <c r="AT30" i="2"/>
  <c r="AT33" i="2"/>
  <c r="AT35" i="2"/>
  <c r="AT11" i="2" l="1"/>
  <c r="AT13" i="2"/>
  <c r="AT15" i="2"/>
  <c r="AQ21" i="2"/>
  <c r="AQ22" i="2"/>
  <c r="AQ24" i="2"/>
  <c r="AN41" i="2" l="1"/>
  <c r="AN40" i="2"/>
  <c r="AN39" i="2"/>
  <c r="AQ36" i="2"/>
  <c r="AN36" i="2"/>
  <c r="AQ35" i="2"/>
  <c r="AN35" i="2"/>
  <c r="AQ34" i="2"/>
  <c r="AN34" i="2"/>
  <c r="AQ33" i="2"/>
  <c r="AN33" i="2"/>
  <c r="AN32" i="2"/>
  <c r="AN31" i="2"/>
  <c r="AN30" i="2"/>
  <c r="AQ28" i="2"/>
  <c r="AN28" i="2"/>
  <c r="AQ27" i="2"/>
  <c r="AN27" i="2"/>
  <c r="AQ26" i="2"/>
  <c r="AN26" i="2"/>
  <c r="AQ25" i="2"/>
  <c r="AN25" i="2"/>
  <c r="AN24" i="2"/>
  <c r="AQ23" i="2"/>
  <c r="AN23" i="2"/>
  <c r="AN22" i="2"/>
  <c r="AN21" i="2"/>
  <c r="AQ20" i="2"/>
  <c r="AN20" i="2"/>
  <c r="AQ19" i="2"/>
  <c r="AN19" i="2"/>
  <c r="AQ18" i="2"/>
  <c r="AN18" i="2"/>
  <c r="AQ17" i="2"/>
  <c r="AN17" i="2"/>
  <c r="AQ16" i="2"/>
  <c r="AN16" i="2"/>
  <c r="AQ15" i="2"/>
  <c r="AN15" i="2"/>
  <c r="AQ14" i="2"/>
  <c r="AN14" i="2"/>
  <c r="AN13" i="2"/>
  <c r="AN12" i="2"/>
  <c r="AN11" i="2"/>
  <c r="AQ10" i="2"/>
  <c r="AN10" i="2"/>
  <c r="AN9" i="2"/>
  <c r="AQ8" i="2"/>
  <c r="AN8" i="2"/>
  <c r="AQ6" i="2"/>
  <c r="AN6" i="2"/>
  <c r="AQ5" i="2"/>
  <c r="AN5" i="2"/>
  <c r="AN4" i="2"/>
  <c r="AG23" i="2"/>
  <c r="AG6" i="2"/>
  <c r="AJ35" i="2"/>
  <c r="AJ33" i="2"/>
  <c r="AG21" i="2" l="1"/>
  <c r="AG10" i="2" l="1"/>
  <c r="Z39" i="2"/>
  <c r="AU15" i="2"/>
  <c r="AC15" i="2" l="1"/>
  <c r="AC14" i="2"/>
  <c r="AC5" i="2" l="1"/>
  <c r="Z5" i="2"/>
  <c r="AU18" i="2"/>
  <c r="AU17" i="2"/>
  <c r="AU10" i="2"/>
  <c r="AJ8" i="2"/>
  <c r="AJ15" i="2"/>
  <c r="AJ17" i="2"/>
  <c r="AJ18" i="2"/>
  <c r="AJ19" i="2"/>
  <c r="AJ22" i="2"/>
  <c r="AJ26" i="2"/>
  <c r="AJ27" i="2"/>
  <c r="AJ28" i="2"/>
  <c r="AJ36" i="2"/>
  <c r="G46" i="4"/>
  <c r="F46" i="4"/>
  <c r="E46" i="4"/>
  <c r="D46" i="4"/>
  <c r="C46" i="4"/>
  <c r="O27" i="4"/>
  <c r="N27" i="4"/>
  <c r="M27" i="4"/>
  <c r="L27" i="4"/>
  <c r="K27" i="4"/>
  <c r="G27" i="4"/>
  <c r="F27" i="4"/>
  <c r="E27" i="4"/>
  <c r="D27" i="4"/>
  <c r="C27" i="4"/>
  <c r="O16" i="4"/>
  <c r="N16" i="4"/>
  <c r="M16" i="4"/>
  <c r="L16" i="4"/>
  <c r="K16" i="4"/>
  <c r="G16" i="4"/>
  <c r="F16" i="4"/>
  <c r="E16" i="4"/>
  <c r="D16" i="4"/>
  <c r="C16" i="4"/>
  <c r="AG20" i="2"/>
  <c r="AI34" i="2"/>
  <c r="AH34" i="2"/>
  <c r="AI23" i="2"/>
  <c r="AH23" i="2"/>
  <c r="AJ34" i="2" l="1"/>
  <c r="AJ23" i="2"/>
  <c r="AU26" i="2"/>
  <c r="AJ24" i="2" l="1"/>
  <c r="AU22" i="2" l="1"/>
  <c r="AU21" i="2" l="1"/>
  <c r="AU20" i="2"/>
  <c r="AU41" i="2" l="1"/>
  <c r="AI25" i="2" l="1"/>
  <c r="AH25" i="2"/>
  <c r="AU28" i="2"/>
  <c r="AU29" i="2"/>
  <c r="AU30" i="2"/>
  <c r="AU31" i="2"/>
  <c r="AU32" i="2"/>
  <c r="AU33" i="2"/>
  <c r="AU34" i="2"/>
  <c r="AU35" i="2"/>
  <c r="AU36" i="2"/>
  <c r="AU37" i="2"/>
  <c r="AU38" i="2"/>
  <c r="AU39" i="2"/>
  <c r="AU40" i="2"/>
  <c r="AU42" i="2"/>
  <c r="AU27" i="2"/>
  <c r="AU23" i="2"/>
  <c r="AU16" i="2"/>
  <c r="AJ25" i="2" l="1"/>
  <c r="AU14" i="2"/>
  <c r="AU13" i="2"/>
  <c r="AU6" i="2"/>
  <c r="AI5" i="2" l="1"/>
  <c r="AH5" i="2"/>
  <c r="AJ5" i="2" l="1"/>
  <c r="AI14" i="2"/>
  <c r="AH14" i="2"/>
  <c r="AI16" i="2"/>
  <c r="AH16" i="2"/>
  <c r="AJ16" i="2" l="1"/>
  <c r="AJ14" i="2"/>
  <c r="AG41" i="2"/>
  <c r="AG39" i="2"/>
  <c r="AI20" i="2" l="1"/>
  <c r="AH20" i="2"/>
  <c r="AI10" i="2"/>
  <c r="AH10" i="2"/>
  <c r="AH6" i="2"/>
  <c r="AI6" i="2"/>
  <c r="AJ6" i="2" s="1"/>
  <c r="AJ10" i="2" l="1"/>
  <c r="AJ20" i="2"/>
  <c r="AG4" i="2"/>
  <c r="AG8" i="2"/>
  <c r="AG9" i="2"/>
  <c r="AG11" i="2"/>
  <c r="AG12" i="2"/>
  <c r="AG13" i="2"/>
  <c r="AG14" i="2"/>
  <c r="AG15" i="2"/>
  <c r="AG16" i="2"/>
  <c r="AG17" i="2"/>
  <c r="AG18" i="2"/>
  <c r="AG19" i="2"/>
  <c r="AG22" i="2"/>
  <c r="AG24" i="2"/>
  <c r="AG25" i="2"/>
  <c r="AG26" i="2"/>
  <c r="AG27" i="2"/>
  <c r="AG28" i="2"/>
  <c r="AG30" i="2"/>
  <c r="AG31" i="2"/>
  <c r="AG32" i="2"/>
  <c r="AG33" i="2"/>
  <c r="AG34" i="2"/>
  <c r="AG35" i="2"/>
  <c r="AG36" i="2"/>
  <c r="AG40" i="2"/>
  <c r="AG5" i="2"/>
  <c r="AC29" i="2" l="1"/>
  <c r="AC26" i="2"/>
  <c r="AB35" i="2" l="1"/>
  <c r="AA35" i="2"/>
  <c r="AC23" i="2" l="1"/>
  <c r="AA24" i="2"/>
  <c r="Z14" i="2"/>
  <c r="Z22" i="2" l="1"/>
  <c r="Z38" i="2"/>
  <c r="Z36" i="2"/>
  <c r="AA6" i="2" l="1"/>
  <c r="AB18" i="2"/>
  <c r="AA18" i="2"/>
  <c r="AB11" i="2"/>
  <c r="AA11" i="2"/>
  <c r="AB8" i="2"/>
  <c r="AA8" i="2"/>
  <c r="AB6" i="2"/>
  <c r="AA22" i="2" l="1"/>
  <c r="AB25" i="2" l="1"/>
  <c r="AA25" i="2"/>
  <c r="Z15" i="2" l="1"/>
  <c r="Z21" i="2"/>
  <c r="Z16" i="2"/>
  <c r="Z17" i="2"/>
  <c r="AC35" i="2" l="1"/>
  <c r="Z35" i="2" l="1"/>
  <c r="Z34" i="2"/>
  <c r="AC31" i="2" l="1"/>
  <c r="AC10" i="2" l="1"/>
  <c r="AC11" i="2"/>
  <c r="AC16" i="2"/>
  <c r="AC17" i="2"/>
  <c r="AC19" i="2"/>
  <c r="AC21" i="2"/>
  <c r="AC22" i="2"/>
  <c r="AC24" i="2"/>
  <c r="AC25" i="2"/>
  <c r="AC32" i="2"/>
  <c r="AC33" i="2"/>
  <c r="AC39" i="2"/>
  <c r="AC6" i="2"/>
  <c r="Z6" i="2" l="1"/>
  <c r="Z4" i="2"/>
  <c r="Z9" i="2" l="1"/>
  <c r="Z11" i="2"/>
  <c r="Z12" i="2"/>
  <c r="Z13" i="2"/>
  <c r="Z18" i="2"/>
  <c r="Z19" i="2"/>
  <c r="Z20" i="2"/>
  <c r="Z23" i="2"/>
  <c r="Z24" i="2"/>
  <c r="Z25" i="2"/>
  <c r="Z26" i="2"/>
  <c r="Z27" i="2"/>
  <c r="Z28" i="2"/>
  <c r="Z29" i="2"/>
  <c r="Z30" i="2"/>
  <c r="Z31" i="2"/>
  <c r="Z32" i="2"/>
  <c r="Z33" i="2"/>
  <c r="Z41" i="2"/>
  <c r="T5" i="2"/>
  <c r="T6" i="2"/>
  <c r="T7" i="2"/>
  <c r="T8" i="2"/>
  <c r="T9" i="2"/>
  <c r="T10"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 i="2"/>
  <c r="N5" i="2"/>
  <c r="N6" i="2"/>
  <c r="N8" i="2"/>
  <c r="N9" i="2"/>
  <c r="N10" i="2"/>
  <c r="N11" i="2"/>
  <c r="N12" i="2"/>
  <c r="N13" i="2"/>
  <c r="N14" i="2"/>
  <c r="N15" i="2"/>
  <c r="N17" i="2"/>
  <c r="N18" i="2"/>
  <c r="N19" i="2"/>
  <c r="N20" i="2"/>
  <c r="N21" i="2"/>
  <c r="N22" i="2"/>
  <c r="N23" i="2"/>
  <c r="N24" i="2"/>
  <c r="N25" i="2"/>
  <c r="N26" i="2"/>
  <c r="N27" i="2"/>
  <c r="N28" i="2"/>
  <c r="N29" i="2"/>
  <c r="N30" i="2"/>
  <c r="N31" i="2"/>
  <c r="N32" i="2"/>
  <c r="N33" i="2"/>
  <c r="N34" i="2"/>
  <c r="N35" i="2"/>
  <c r="N37" i="2"/>
  <c r="N38" i="2"/>
  <c r="N39" i="2"/>
  <c r="N40" i="2"/>
  <c r="N41" i="2"/>
  <c r="N42" i="2"/>
  <c r="N4" i="2"/>
  <c r="AU12" i="2" l="1"/>
  <c r="AU11" i="2"/>
  <c r="AU9" i="2"/>
  <c r="AU8" i="2"/>
  <c r="AU19" i="2"/>
  <c r="F8" i="4"/>
  <c r="I8" i="4"/>
  <c r="H8" i="4"/>
  <c r="G8" i="4"/>
  <c r="O5" i="4" s="1"/>
  <c r="E8" i="4"/>
  <c r="J7" i="4"/>
  <c r="J6" i="4"/>
  <c r="J5" i="4"/>
  <c r="J4" i="4"/>
  <c r="J3" i="4"/>
  <c r="J8" i="4" l="1"/>
  <c r="O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AT6" authorId="0" shapeId="0" xr:uid="{6BEB62C6-B6F2-4CB0-9AE7-78D0A7CF9954}">
      <text>
        <r>
          <rPr>
            <b/>
            <sz val="22"/>
            <color indexed="81"/>
            <rFont val="Tahoma"/>
            <family val="2"/>
          </rPr>
          <t>Laura:</t>
        </r>
        <r>
          <rPr>
            <sz val="22"/>
            <color indexed="81"/>
            <rFont val="Tahoma"/>
            <family val="2"/>
          </rPr>
          <t xml:space="preserve">
ACTUALIZAR AL 2024</t>
        </r>
      </text>
    </comment>
    <comment ref="AV21" authorId="0" shapeId="0" xr:uid="{A30C1DFD-D421-4BBB-80E2-D42FBB9E316C}">
      <text>
        <r>
          <rPr>
            <b/>
            <sz val="22"/>
            <color indexed="81"/>
            <rFont val="Tahoma"/>
            <family val="2"/>
          </rPr>
          <t xml:space="preserve">Laura: 
</t>
        </r>
        <r>
          <rPr>
            <sz val="22"/>
            <color indexed="81"/>
            <rFont val="Tahoma"/>
            <family val="2"/>
          </rPr>
          <t>actualizar a 
2023</t>
        </r>
      </text>
    </comment>
    <comment ref="AP27" authorId="0" shapeId="0" xr:uid="{2DE98003-CF48-4247-A94C-09AB74868D2C}">
      <text>
        <r>
          <rPr>
            <b/>
            <sz val="20"/>
            <color indexed="81"/>
            <rFont val="Tahoma"/>
            <family val="2"/>
          </rPr>
          <t>Laura:</t>
        </r>
        <r>
          <rPr>
            <sz val="20"/>
            <color indexed="81"/>
            <rFont val="Tahoma"/>
            <family val="2"/>
          </rPr>
          <t xml:space="preserve">
Revisar y corregir, No es claro que se reporte presupuesto ejecutado sin avance en la meta física que lo soporte. </t>
        </r>
      </text>
    </comment>
    <comment ref="AV33" authorId="0" shapeId="0" xr:uid="{24238D34-0710-452F-BE5C-EEE4526DA2F1}">
      <text>
        <r>
          <rPr>
            <b/>
            <sz val="22"/>
            <color indexed="81"/>
            <rFont val="Tahoma"/>
            <family val="2"/>
          </rPr>
          <t>Laura:</t>
        </r>
        <r>
          <rPr>
            <sz val="22"/>
            <color indexed="81"/>
            <rFont val="Tahoma"/>
            <family val="2"/>
          </rPr>
          <t xml:space="preserve">
actualizar al 2023</t>
        </r>
      </text>
    </comment>
  </commentList>
</comments>
</file>

<file path=xl/sharedStrings.xml><?xml version="1.0" encoding="utf-8"?>
<sst xmlns="http://schemas.openxmlformats.org/spreadsheetml/2006/main" count="602" uniqueCount="432">
  <si>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</si>
  <si>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</si>
  <si>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</si>
  <si>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</si>
  <si>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</si>
  <si>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</si>
  <si>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</si>
  <si>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</si>
  <si>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</si>
  <si>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</si>
  <si>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</si>
  <si>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</si>
  <si>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</si>
  <si>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</si>
  <si>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</si>
  <si>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</si>
  <si>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</si>
  <si>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</si>
  <si>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</si>
  <si>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</si>
  <si>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</si>
  <si>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</si>
  <si>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</si>
  <si>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</si>
  <si>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</si>
  <si>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</si>
  <si>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</si>
  <si>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</si>
  <si>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</si>
  <si>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</si>
  <si>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</si>
  <si>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</si>
  <si>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</si>
  <si>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</si>
  <si>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</si>
  <si>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</si>
  <si>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</si>
  <si>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</si>
  <si>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</si>
  <si>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</si>
  <si>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</si>
  <si>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</si>
  <si>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</si>
  <si>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</si>
  <si>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</si>
  <si>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</si>
  <si>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</si>
  <si>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</si>
  <si>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</si>
  <si>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</si>
  <si>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</si>
  <si>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</si>
  <si>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</si>
  <si>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</si>
  <si>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</si>
  <si>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</si>
  <si>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</si>
  <si>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</si>
  <si>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</si>
  <si>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</si>
  <si>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</si>
  <si>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</si>
  <si>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</si>
  <si>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</si>
  <si>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</si>
  <si>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</si>
  <si>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</si>
  <si>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</si>
  <si>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</si>
  <si>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</si>
  <si>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</si>
  <si>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</si>
  <si>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</si>
  <si>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</si>
  <si>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</si>
  <si>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</si>
  <si>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</si>
  <si>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</si>
  <si>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</si>
  <si>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</si>
  <si>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</si>
  <si>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</si>
  <si>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</si>
  <si>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</si>
  <si>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</si>
  <si>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</si>
  <si>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</si>
  <si>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</si>
  <si>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</si>
  <si>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</si>
  <si>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</si>
  <si>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</si>
  <si>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</si>
  <si>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</si>
  <si>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</si>
  <si>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</si>
  <si>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</si>
  <si>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</si>
  <si>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</si>
  <si>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</si>
  <si>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</si>
  <si>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</si>
  <si>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</si>
  <si>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</si>
  <si>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</si>
  <si>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</si>
  <si>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</si>
  <si>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</si>
  <si>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</si>
  <si>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</si>
  <si>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</si>
  <si>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</si>
  <si>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</si>
  <si>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</si>
  <si>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</si>
  <si>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</si>
  <si>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</si>
  <si>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</si>
  <si>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</si>
  <si>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</si>
  <si>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</si>
  <si>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</si>
  <si>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</si>
  <si>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</si>
  <si>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</si>
  <si>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</si>
  <si>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</si>
  <si>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</si>
  <si>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</si>
  <si>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</si>
  <si>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</si>
  <si>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</si>
  <si>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</si>
  <si>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</si>
  <si>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</si>
  <si>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</si>
  <si>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</si>
  <si>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</si>
  <si>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</si>
  <si>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</si>
  <si>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</si>
  <si>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</si>
  <si>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</si>
  <si>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</si>
  <si>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</si>
  <si>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</si>
  <si>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</si>
  <si>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</si>
  <si>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</si>
  <si>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</si>
  <si>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</si>
  <si>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</si>
  <si>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</si>
  <si>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</si>
  <si>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</si>
  <si>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</si>
  <si>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</si>
  <si>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</si>
  <si>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</si>
  <si>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</si>
  <si>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</si>
  <si>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</si>
  <si>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</si>
  <si>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</si>
  <si>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</si>
  <si>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</si>
  <si>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</si>
  <si>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</si>
  <si>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</si>
  <si>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</si>
  <si>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</si>
  <si>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</si>
  <si>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</si>
  <si>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</si>
  <si>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</si>
  <si>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</si>
  <si>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</si>
  <si>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</si>
  <si>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</si>
  <si>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</si>
  <si>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</si>
  <si>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</si>
  <si>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</si>
  <si>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</si>
  <si>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</si>
  <si>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</si>
  <si>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</si>
  <si>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</si>
  <si>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</si>
  <si>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</si>
  <si>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</si>
  <si>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</si>
  <si>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</si>
  <si>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</si>
  <si>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</si>
  <si>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</si>
  <si>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</si>
  <si>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</si>
  <si>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</si>
  <si>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</si>
  <si>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</si>
  <si>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</si>
  <si>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</si>
  <si>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</si>
  <si>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</si>
  <si>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</si>
  <si>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</si>
  <si>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</si>
  <si>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</si>
  <si>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</si>
  <si>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</si>
  <si>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</si>
  <si>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</si>
  <si>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</si>
  <si>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</si>
  <si>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</si>
  <si>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</si>
  <si>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</si>
  <si>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</si>
  <si>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</si>
  <si>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</si>
  <si>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</si>
  <si>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</si>
  <si>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</si>
  <si>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</si>
  <si>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</si>
  <si>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</si>
  <si>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</si>
  <si>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</si>
  <si>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</si>
  <si>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</si>
  <si>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</si>
  <si>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</si>
  <si>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</si>
  <si>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Reconocimiento de la población sexualmente diversa</t>
  </si>
  <si>
    <t>CRITICO</t>
  </si>
  <si>
    <t>BAJO</t>
  </si>
  <si>
    <t>MEDIO</t>
  </si>
  <si>
    <t>SATISFACTORIO</t>
  </si>
  <si>
    <t>SOBRESALIENTE</t>
  </si>
  <si>
    <t>Eje 1</t>
  </si>
  <si>
    <t>Eje 2</t>
  </si>
  <si>
    <t>Eje 3</t>
  </si>
  <si>
    <t>Eje 4</t>
  </si>
  <si>
    <t>Eje 5</t>
  </si>
  <si>
    <t>LINEAS</t>
  </si>
  <si>
    <t>EJES ESTRATÉGICOS</t>
  </si>
  <si>
    <t>TOTAL</t>
  </si>
  <si>
    <t>RANGO</t>
  </si>
  <si>
    <t>CANTIDAD</t>
  </si>
  <si>
    <t>CRÍTICO</t>
  </si>
  <si>
    <r>
      <t xml:space="preserve">POLÍTICA PÚBLICA DE DIVERSIDAD SEXUAL E IDENTIDAD DE GÉNERO 2019-2029  </t>
    </r>
    <r>
      <rPr>
        <b/>
        <i/>
        <sz val="36"/>
        <rFont val="Arial"/>
        <family val="2"/>
      </rPr>
      <t>QUINDÍO DIVERSO</t>
    </r>
  </si>
  <si>
    <t>Con la creación del consejo consultivo de diversidad sexual e identidad de género(Decreto 510/2020) y el correspondiente comité se dio cumplimiento al 100% de esta meta.</t>
  </si>
  <si>
    <t>Programado</t>
  </si>
  <si>
    <t>Ejecutado</t>
  </si>
  <si>
    <t>Porcentaje avance</t>
  </si>
  <si>
    <t>Observaciones</t>
  </si>
  <si>
    <t>Porcentaje avance total de PP en metas</t>
  </si>
  <si>
    <t xml:space="preserve">Desde el municipio de Cordoba se realizó un proceso formativo anual en Curso de Autoformación Enfoque Diferencial con intenciadad horaria de 60 horas a 3 contratistas del ente municipal por parte de Sistema Nacional de atención y reparación integral a las víctimas., en el municipio de Quimbaya se realizó capacitación sobre enfoque interseccional con funcionarios y contratistas del SISBEN.
En el Municipio de Montenegro en articulación con el ente departamental (secretaría de familia) se realizó capacitación a funcionarios de la alcaldía municipal en temas diversidad sexual, incluidos los derechos y deberes de ambas partes (población y funcionarios.
la alcaldía de Circasia reporta que el proceso formativo lo hizo la administración de la mano de la Gobernacion a entidades publicas policia nacional.
la alcaldía de Génova señala que se han realizado capacitaciones a los funcionarios de la Administración Municipal en la transversalicacion del enfoque de género y asi mismo se ha socializado la ruta antidiscriminación.
la alcaldía de La Tebaida señala que el 12 de octubre,  se realizó visita a todas las oficinas de la alcaldía para capacitando a los funcionarios públicos, sobre enfoque diferencial y transversalizacion.  
la alcaldía de Filandia reporta que se realizo capacitación  sobre enfoque diferencial a contratistas y Funcionarios de la administración Municipal  el día 19 noviembre 2021
</t>
  </si>
  <si>
    <t xml:space="preserve">Se realizó solicitud a cada uno de los 12 municipios, a fin de conocer si cuentan o no con una base de datos que corresponda a la identificación y/o caracterización de la comunidad sexualmente diversa al interior de sus territorios.                                                                                                                                     
Se  inicio la caracterización de 10 mujeres trans servisexuales en los municipios de Pijao, Gènova y Calarca . </t>
  </si>
  <si>
    <t xml:space="preserve">Para este periodo no se programaron metas para dar cumplimiento al indicador. </t>
  </si>
  <si>
    <t>Se realizó el diseño del directorio departamental y material impreso de difusión, como instrumentos para la activación e implementación de la ruta antidiscriminación.
Se realizó socialización interinstitucional de rutas de atención e información en salud con enfoque diferencial. 
Se genero una alianza entre la Secretaría de Familia y las alcaldías de la Tebaida, Quimbaya, Montenegro y Circasia, para la implementación y socialización virtual de la ruta antidiscriminación a través de las redes sociales de cada municipio.
La secretaria de familia ha venido socializando con funcionarios públicos, la ruta antidiscriminación, permitiendo de este modo la implementación de la misma.</t>
  </si>
  <si>
    <t xml:space="preserve">
 La Secretaría de Familia a través de los líderes y enlaces municipales  realizo apoyo en la difusión dirigida a  mujeres pertenecientes a la comunidad OSIGD  en la capacitación  "ESCUELA  DE FORMACION  POLITICA DE ALTO NIVEL" , espacio académico  iniciativa de la vicepresidencia, en alianza con la consejería presidencial para la equidad de la mujer, la universidad Sergio arboleda y la universidad Hanns Seidel,  contribuyendo con el empoderamiento de la mujer Quindiana en términos políticos y de participación.                                                                                                                          
                                                                                                    </t>
  </si>
  <si>
    <t xml:space="preserve">Durante el proceso de armonización del plan de desarrollo se realizó ajuste en cuanto a las metas y actividades de los proyectos que continúan y los nuevos en el Plan Departamental de Desarrollo “TU Y YO Somos Quindío”, de conformidad con recomendaciones de las secretarías de Planeación y Hacienda Departamental.
Con el fin de articular el plan de acción de la “Política Pública de Diversidad Sexual e Identidad de Género del Departamento del Quindío, Quindío Diverso 2019-2029”, se solicitó a las Secretarías y entes descentralizados la oferta específica institucional para las personas con orientación sexual e identidad de género diversa y los sectores LGBT.                                                                                                                                   </t>
  </si>
  <si>
    <t>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</si>
  <si>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 xml:space="preserve">Desde la Secretaria del Interior, se creo una mesa permanente de seguimiento de acuerdo a lo estipulado en el decreto 441 de 2020.
</t>
  </si>
  <si>
    <t>La Secretaría de Educación Departamental indica que el 100% de las instituciones educativas tienen actualizado los manuales de convivencia escolar en el marco de la Ley 1620 de 2013.</t>
  </si>
  <si>
    <t>Desde la Secretaría de Familia se adoptó e implementó la ruta antidiscriminación</t>
  </si>
  <si>
    <t xml:space="preserve">La Secretaría de Familia Departamental rinde informe de seguimiento de la implementación de la política pública de manera trimestral.
</t>
  </si>
  <si>
    <t>Los doce municipios del Departamento cuentan con oferta cultural y artística inclusiva.</t>
  </si>
  <si>
    <t xml:space="preserve">Los doce municipios del Departamento cuentan con oferta deportiva y recreativa inclusiva.
</t>
  </si>
  <si>
    <t xml:space="preserve">La Secretaria de Familia cuenta con módulo formativo de base comunitaria para la prevención, atención y mitigación del consumo de SPA armonizado con componentes de género y diversidad.
</t>
  </si>
  <si>
    <t>Los manuales de convivencia escolar de las instituciones educativas oficiales adscritas a la secretaría de educación departamental se encuentran actualizados de conformidad a la Ley 1620 de 2013.</t>
  </si>
  <si>
    <t>Programado Presupuesto año</t>
  </si>
  <si>
    <t>Ejecutado Presupuesto año</t>
  </si>
  <si>
    <t xml:space="preserve">Se asistieron técnicamente a los municipios de Montenegro, Pijao, Córdoba, Circasia, Filandia, Salento, Quimbaya, Buenavista y Génova en la consolidación de espacios de participación para la población sexualmente diversa, así como en la socialización del Decreto 00510 del 11 de septiembre 2020.                                                                 
                                             </t>
  </si>
  <si>
    <t>Desde la Secretaria de Familia se realizo  presentación de reporte del seguimiento e implementación de la política publica en el marco de Comité técnico de monitoreo y evaluación a la política pública “QUINDÍO DIVERSO 2019-2029”</t>
  </si>
  <si>
    <t xml:space="preserve">Los Municipios de Circasia, Filandia, Quimbaya, Pijao,  Montenegro Y Salento cuentan con  la representatividad de la población LGBTI en los consejos municipales  de Paz, Convivencia, Derechos Humanos y Derecho Internacional Humanitario. </t>
  </si>
  <si>
    <t xml:space="preserve">Se realizo una campaña por municipio alusiva a espacios libres de discriminación, relacionada con la promoción, de la inclusión y la diversidad sexual en entornos institucionales de carácter público y privado en los municipios de Pijao, Génova, Circasia, Salento, Armenia, Montenegro, Buenavista y la Tebaida.  </t>
  </si>
  <si>
    <t xml:space="preserve">
El CONSEJO CONSULTIVO DE DIVERSIDAD SEXUAL E IDENTIDAD DE GÉNERO DEL QUINDÍO,  esta conformado por el  Comité técnico para la atención y protección de la población OSIDG-LGTBI el cual tiene dentro de sus funciones hacer seguimiento a los casos de vulneración de derechos que se tenga conocimiento en contra de la población OSIDG- LGBTI. 
</t>
  </si>
  <si>
    <t xml:space="preserve">Se realizo taller  "Atención con Enfoque Diferencial y Subdiferencial"  dirigido a funcionarios de la gobernación del Quindío en pro de la atención con  enfoque diferencial y subdiferencial.  
</t>
  </si>
  <si>
    <t xml:space="preserve">                                                                                                           
La Secretaría de Familia se encuentra en la fase de Implementación del Proyecto Tú y Yo Comprometidos con la Familia, enfocados en campañas de prevención de todos los tipos de violencia, en temas inherentes a la activación de rutas de atención y la detección de violencias.</t>
  </si>
  <si>
    <t xml:space="preserve">La Secretaría de Familia realizo masificación virtual de las convocatorias para los siguientes programas Departamentales formulados por la Secretaría de Cultura:  Concertación de proyectos Artísticos, Culturales y   Programa Departamental de Estímulos a la Investigación, Iniciativas de producción cultural de las mujeres rurales a los programas y proyectos de la Conservación, Reconocimiento y Protección del Paisaje Cultural Cafetero, a fin de generar representatividad de la población sexualmente diversa en dichas convocatorias. </t>
  </si>
  <si>
    <t>2,789,498,586</t>
  </si>
  <si>
    <t>Durante la vigencia 2020 el Instituto Departamental de Deporte y Recreacion garantizo el acceso y representatividad en todos los diferentes programas que desarrollo el instituto con un enfoque inclusivo sin importar su raza genero o rientacion sexual.</t>
  </si>
  <si>
    <t>Se implemento la estrategia cuidarte es amarte con el fin de realizar prevención y atencion del acoso escolar y otras problematicas del sector educativo.</t>
  </si>
  <si>
    <t>El Comité de Derechos Humanos del municipio de Filandia incluye dentro de sus enfoques y componentes la población OSIGD con capacitaciones y sensibilizaciones en el municipio. 
La Alcaldía de Génova reporto que en los acuerdos 008 CONSEJO TERRITORIAL DE PAZ, RECONCILIACIÓN, CONVIVENCIA Y DERECHOS HUMANOS EN EL MUNICIPIO DE GÉNOVA, QUINDÍO” y CONVIVENCIA ESCOLAR tiene entre sus directrices el enfoque diferencial y por lo tanto en sus planes de acción.</t>
  </si>
  <si>
    <t>Desde la Secretaria de Salud  se realiza capacitación a funcionarios públicos de  los municipios de Génova y Pijao en derechos sexuales y reproductivos, soportado en la ley 1620.</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</si>
  <si>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
Desde la Secretaria de Salud se realizo actividad de derechos sexuales y reproductivos con la población LGTBI del municipio de la Tebaida y con actores del sistema de Salud, desde la Secretaria de Familia se realizo taller "Divulgando Derechos" en los municipios de Genova, Tebaida, Quimbaya, Armenia y Pijao.</t>
  </si>
  <si>
    <t xml:space="preserve">Desde la Secretaria de Salud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Del mismo modo,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</si>
  <si>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En la Universidad la Gran Colombia, se llevo a cabo sensibilización a 454 estudiantes  sobre violencia de género. Por parte de la Universidad EAM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
Desde la Universidad la Gran Colombia se socializaron los protocolos de prevención y atención del acoso sexual y la violencia de género a 67 administrativos y 65 docentes de la UGCA, asi mismo, en el marco de la semana de voluntariado departamental, actividad organizada por la Mesa Técnica de Voluntariado departamental, se llevó a
cabo “Construyendo Ciudadanía” una campaña digital de sensibilización en
la ciudad de Armenia, con un alcance de 3.757 personas.</t>
  </si>
  <si>
    <t xml:space="preserve">La Secretaria de Turismo, industria y comercio realizo asistencia tecnica Departamental enfocada al fortalecimiento empresarial, acceso a nuevos mercados y emprendimientos.
</t>
  </si>
  <si>
    <t>TOTAL INDICADORES</t>
  </si>
  <si>
    <t>Familia, Planeación</t>
  </si>
  <si>
    <t>Familia, Planeación, Control Interno, Interior y Educación.</t>
  </si>
  <si>
    <t>Familia, Salud y Educación.</t>
  </si>
  <si>
    <t>Familia, Cultura, Indeportes,Salud, Educación y Comunicaciones.</t>
  </si>
  <si>
    <t>Familia, Interior, Turismo Industria y Comercio, Proyecta, Infraestructura.</t>
  </si>
  <si>
    <t>La Secretaría de Familia incorporo en los instrumentos de caracterización de usuarios variables para monitorear la atención a la población sexualmente diversa de acuerdo a lo establecido en MIPG.</t>
  </si>
  <si>
    <t>N/A</t>
  </si>
  <si>
    <r>
      <t xml:space="preserve">La </t>
    </r>
    <r>
      <rPr>
        <b/>
        <sz val="20"/>
        <color theme="1"/>
        <rFont val="Calibri"/>
        <family val="2"/>
        <scheme val="minor"/>
      </rPr>
      <t>Secretaría de Familia</t>
    </r>
    <r>
      <rPr>
        <sz val="20"/>
        <color theme="1"/>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</si>
  <si>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r>
      <t xml:space="preserve">Desde la </t>
    </r>
    <r>
      <rPr>
        <b/>
        <sz val="20"/>
        <color theme="1"/>
        <rFont val="Calibri"/>
        <family val="2"/>
        <scheme val="minor"/>
      </rPr>
      <t>Secretaria de Educación</t>
    </r>
    <r>
      <rPr>
        <sz val="20"/>
        <color theme="1"/>
        <rFont val="Calibri"/>
        <family val="2"/>
        <scheme val="minor"/>
      </rPr>
      <t xml:space="preserve"> se han realizado formaciones a orientadores escolares en la solución de conflictos.</t>
    </r>
  </si>
  <si>
    <t xml:space="preserve">Secretaría de Turismo, Industria y Comercio brindó asistencia técnica, realizando diagnostico preliminar, para determinar la ruta de fortalecimiento del emprendimiento Asociación Jakudyg, ubicado en el municipio de Calarcá. Dicha iniciativa está relacionada con Artesanía, bisutería, recreación, animación de fiestas. Manejan la línea mariposa en la que brindan ayuda psicológica con enfoque diferencial, está creada hace diez (10) años, cuenta con diez (10) colaboradores de la comunidad OSIGD/LGBTI. </t>
  </si>
  <si>
    <t>Porcentaje avance presupuesto año</t>
  </si>
  <si>
    <t>Durante el período informado no se adelantaron acciones para dar cumplimiento a la meta e indicador.</t>
  </si>
  <si>
    <t>Desde la secretaría de familia se adelanta un proceso de contratación con el fin de realizar fortalecimiento a emprendimientos de la población OSIGD tanto en la parte educativa como su financiamiento.</t>
  </si>
  <si>
    <t>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t>
  </si>
  <si>
    <t>Desde la Secretaría de Familia se Incluyó a la población sexualmente diversa en la Implementación de módulos formativos de base comunitaria para la prevención, atención y mitigación del consumo de SPA en los municipios de Pijao, Circasia y Armenia.</t>
  </si>
  <si>
    <t>Se realizó presentación del reporte del seguimiento e implementación de la política pública en el marco de la rendición pública de cuentas institucional de la vigencia 2021</t>
  </si>
  <si>
    <t xml:space="preserve">Desde la Secretaría de Familia se adoptó e implementó la ruta antidiscriminación, en el periodo informado en los municipios de  Calarcá, Armenia y Quimbaya.
Desde la Secretaria de Familia en el 4 trimestre de la vigencia 2022, se adoptó e implemento la ruta antidiscriminación así:
Armenia: Estudiantes SENA centro de turismo, barrio las palmas, barrio villa Liliana, funcionarios gobernación del Quindío, barrio Alfonso López y barrio la fachada 
Pijao: barrio paraíso, Reinado Pijao Diverso
Córdoba: plaza principal 
Quimbaya: institución educativa mercadotecnia, policarpa salavarrieta, vereda Arauca
La tebaida: instituto la tebaida, Reinado Miss Earth International
</t>
  </si>
  <si>
    <t xml:space="preserve">Desde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Desde la alcaldía de la tebaida se realizó capacitación a 5 funcionarios del sector de cultura y de deporte y se visitaron las oficinas de la administración municipal con el fin de informar a los funcionarios sobre enfoque diferencial, lenguaje inclusivo y la ruta.
</t>
  </si>
  <si>
    <t xml:space="preserve">Los doce municipios del Departamento cuentan con oferta deportiva y recreativa inclusiva garantizando la participación y representatividad de la población Sexualmente diversa en la Oferta Deportiva y Recreativa.
En el período comprendido entre abril y junio de 2022, Indeportes Quindío desarrolló en todos sus programas  un enfoque inclusivo sin importar su raza genero u orientación sexual para el beneficio de toda la comunidad del Quindío, se ejecutaron los siguientes actividades                                                                            
1- Hábitos y estilo de vida saludables
2- Fortalecimiento a deportistas Elites                       
3- Escuelas de formación deportiva                             
4- Deporte Social Comunitario                                      
 5- Eventos de movilización en pro del fomento de la actividad física, el deporte y la recreación. (Valor corresponde a $588,579,556 de Programa 01 y $655,561,541 de Programa 02)
Indeportes Quindío durante el 4 trimestre de la vigencia 2022 implemento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</si>
  <si>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t>
  </si>
  <si>
    <t xml:space="preserve">La Secretaria del Interior Departamental señala que los programas y proyectos de postconflicto se encuentran armonizados según PAT. </t>
  </si>
  <si>
    <t xml:space="preserve">Los Municipios de Quimbaya, Buenavista, Pijao, Salento,la Tebaida, Circasia, Filandia, Córdoba y Calarcá garantizan el acceso y representatividad de la población sexualmente diversa a la oferta cultural y artística, pues la oferta municipal está abierta a toda la población.
Desde la Secretaría de Cultura señalan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y dentro de la implementación de los programas de lectura y escritura en los diferentes municipios del Departamento se ha contado con la participación de 19 personas pertenecientes a la comunidad LGTBI.
La jefatura de la mujer y equidad a través de la casa de mujeres empoderadas del Quindío "Lucella Osma de Duque" garantiza el acceso y representatividad de la población sexualmente diversa en la oferta cultural y artística del Departamento.
La Secretaria de cultura departamental señala que en los procesos de promoción de lectura y escritura han participado 46 personas, de los procesos de formación artística y psicosocial hemos impactado a 68 personas pertenecientes a la comunidad OSIGD, así mismo señala que la garantizan el acceso y representatividad no solamente de la población sexualmente diversa del Departamento del quindío, sino, a todos los grupos poblaciones que hacen parte de nuestro ente territorial: Población Afro, LGBTI, Indigenas, Primera infancia y juventudes, Mujeres, Victimas del Conflicto Armado, Población en condición de discapacidad, personas privadas de la libertad, personas en ejercicio de la prostitución y habitantes de calle.
</t>
  </si>
  <si>
    <t>Desde Secretaría de Salud se realizó 1 campaña en proceso de  sensibilizacion en acciones relacioonadadas con la sensibiizacion  uso de protocolos informados, rutas de atencion, denuncia y seguimiento a casos de hormonizacion no regularizada en el Departamento.</t>
  </si>
  <si>
    <t xml:space="preserve">Desde la Secretaria de Familia se realizaron capacitaciones anualizadas en ley 1620 del 2013 y sentencia T-478 del 2015, en diversidad sexual e identidad de género a integrantes de la comunidad educativa de los municipios de Circasia con los orientadores de las instituciones  y Quimbaya - con padres de familia de la IE Mercadotecnia, institución educativa general Santander del municipio de Calarcá, casd santa Eufrasia armenia, institución educativa libre del municipio de Circasia, institución educativa Jesús María Córdoba,  instituto tebaida, escuela de padres Rufino centro armenia, y con los orientadores de las instituciones educativas de los doce municipios del Departamento.
</t>
  </si>
  <si>
    <t>Desde la Secretaría de Familia se brindó asistencia técnica en la conformación y consolidación de espacios de participación de la población sexualmente diversa a  los municipios de Salento, Circasia, Calarcá, Filandia, Montenegro, La Tebaida, Buenavista, Quimbaya, Córdoba y Armenia.</t>
  </si>
  <si>
    <t>Desde la Secretaría de Familia se diseñó e implementó la campaña empodérate por la diversidad en instituciones educativas de los municipios de Salento, Calarcá, Quimbaya, Armenia , Pijao,  Génova, Buenavista, Montenegro, Filandia, La Tebaida, Córdoba y Circasia.</t>
  </si>
  <si>
    <t xml:space="preserve">Creación de la Mesa de Reacción rápida a través del Decreto 441 de 2020, en la cual se hace frente y seguimiento a los casos de amenazas a líderes sociales en el Departamento del Quindío, entre ellos activistas y representantes de la población OSIGD,atendiendo en el segundo trimestre de la vigencia 2022 1 persona.
Con la promulgación del DECRETO 213 DE 2022 "POR MEDIO DEL CUAL SE CREA EL COMITÉ INTERSECTORIAL DEPARTAMENTAL PARA LA PREVENCIÓN DE LA VIOLENCIA POR RAZONES DE SEXO Y GÉNERO, LA ATENCIÓN, LA PROTECCION Y ACCESO A JUSTICIA DE NIÑAS, NIÑOS, ADOLESCENTES Y MUJERES VÍCTIMAS DE ESTAS VIOLENCIAS EN EL MARCO DEL MECANISMO ARTICULADOR ESTABLECIDO EN EL DECRETO 1710 DE 2020 Y SE DICTAN OTRAS DISPOSICIONES”." el cual cuenta con el subcomité de protección, cualificación y acceso a la justicia.
El Comité Municipal OSIGD de Salento cuenta siempre con un espacio para la exposición de casos de discriminación. Para el período informado no se presentaron casos de vulneración de derechos
El Consejo Municipal para la Inclusión de Personas con Orientación Sexual e Identidad deGenero Diverso del municipio de Córdoba, dentro de sus funciones tiene seguimiento a estos casos de vulneración de derechos a población sexualmente diversa. 
</t>
  </si>
  <si>
    <t xml:space="preserve">Desde la Secretaría de Salud Departamental se realizo capacitación a Docentes de las Instituciones educativas de Quimbaya, Funcionarios del Hospital Sagrado corazón de jesus de Quimbaya, Docentes de la Institución educativa Instituto Pijao, en Deberes y Derechos sexuales y reproductivos, métodos anticonceptivos, ITS, Prevención de violencias sexuales, prevención de embarazo subsiguiente. 
</t>
  </si>
  <si>
    <t>Para la vigencia 2023 no se tienen programadas acciones para dar cumplimiento a la meta conforme a lo establecido en el plan decenal.</t>
  </si>
  <si>
    <t>META PROGRAMADA</t>
  </si>
  <si>
    <t>META ACUMULADA</t>
  </si>
  <si>
    <t>OBSERVACIONES</t>
  </si>
  <si>
    <t>SEGUIMIENTO DECENIO</t>
  </si>
  <si>
    <t>No se han adelantado acciones para dar cumplimiento a esta meta.</t>
  </si>
  <si>
    <t>Desde el año 2020 la Secretaria de Familia adopto y ha venido implementando la ruta antidiscriminación en el Departamento.</t>
  </si>
  <si>
    <t>Desde el 2020 la Secretaría de Familia incorporo en los instrumentos de caracterización de usuarios variables para monitorear la atención a la población sexualmente diversa de acuerdo a lo establecido en MIPG a través del formato F-FAM-04 del 19 de noviembre de 2020.</t>
  </si>
  <si>
    <t>Con la creación del consejo consultivo de diversidad sexual e identidad de género(Decreto 510/2020) se da cumplimiento al 100% de esta meta.</t>
  </si>
  <si>
    <t xml:space="preserve">La Secretaria del Interior Departamental señala que desde la vigencia 2022 los programas y proyectos de postconflicto se encuentran armonizados según PAT. </t>
  </si>
  <si>
    <t>La campaña anual de capacitación la población LGBTI sobre el Sistema General de Seguridad Social en Salud y afiliación de beneficiario en cada ente territorial  y mecanismos de acceso, se ha implementado en las vigencias 2022 y 2023 por parte de la Secretaria de Salud Departamental.</t>
  </si>
  <si>
    <t xml:space="preserve">La Secretaria de Salud Departamental en las vigencias 2021,2022 y 2023 ha realizado capacitación anual para la población sexualmente diversa y funcionarios públicos en deberes y derechos en Salud, soportado en la ley 1620 de derechos sexuales y reproductivos. </t>
  </si>
  <si>
    <t>En las vigencias 2021 y 2022 se implemento campaña preventiva y de sensibilización sobre los riesgos de la hormonización desregularizada, el uso de protocolos de consentimiento informado, rutas de atención y recepción de denuncias</t>
  </si>
  <si>
    <t>Los manuales de convivencia escolar de las instituciones educativas oficiales adscritas a la secretaría de educación departamental se encuentran actualizados de conformidad a la Ley 1620 de 2013, según lo reportado por la Secretaria de Educación Departamental desde la vigencia 2021.</t>
  </si>
  <si>
    <t>Según el plan decenal, esta meta se tiene programada para ejecutar a partir del año 2025, razón por la cual no presenta avance.</t>
  </si>
  <si>
    <t>Indeportes Quindío garantiza el acceso y representatividad de la población sexualmente diversa a la oferta recreativa y deportiva del departamento.</t>
  </si>
  <si>
    <t>META (FISICA) 2023</t>
  </si>
  <si>
    <t xml:space="preserve">Se incorporo en la caracterización de asistencia  de usuarios instrumento establecido por MIPG, el cual  contiene de manera especifica el numero de personas atendidas con enfoque diferencial y subdiferencial.                                                                      </t>
  </si>
  <si>
    <t>a Secretaría de Familia diseño e implemento instrumento de caracterización MIPG.</t>
  </si>
  <si>
    <t xml:space="preserve">La Secretaria de familia a través de la Jefatura de la mujer y la equidad, asistió técnicamente en la conformación y consolidación de espacios de participación de la población sexualmente diversa en los municipios de Pijao y Génova. 
 </t>
  </si>
  <si>
    <t xml:space="preserve">La Secretaria del Interior Departamental señala que los comités territoriales de paz, reconciliación y convivencia garantiza la representatividad de población LGBTI, conforme al PAT. </t>
  </si>
  <si>
    <t>Desde la Secretaría de Familia a través de la Dirección de Desarrollo Humano y Familia se Incluyó a la población sexualmente diversa en la Implementación de módulos formativos de base comunitaria para la prevención, atención y mitigación del consumo de SPA.</t>
  </si>
  <si>
    <t>En el marco de la realización de mesas técnicas con el sector salud se promociona con las EPS Medimás, Asmetsalud, Nueva EPS la garantía de la adecuación de los servicios en salud con perspectiva de Género.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</si>
  <si>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t>
  </si>
  <si>
    <t>Desde la Secretaria de Familia, a través de la  Jefatura de la Mujer y la Equidad, se encuentra en etapa de diseño de la estrategia de seguimiento a casos urgentes de discriminación y vulneración de derechos con componentes de atención, prevención y sensibilización, para su revisión, aprobación y puesta en marcha, donde se articulan acciones con los demás actores responsables.
Sin embargo, La policía nacional cuenta con la D.O.T 025 DIPON-INSGE “Parámetros de Actuación Policial para el despliegue de la Estrategia de Atención a Poblaciones en Situación de Vulnerabilidad-ESPOV”,  la cual se despliega bajo el liderazgo de la coordinación de derechos humanos desarrollando una serie de componentes de sensibilización, prevención y  atención  ante posible casos de discriminación  de la población OSIGD.</t>
  </si>
  <si>
    <t xml:space="preserve">Según el plan decenal la meta esta programada para ejecutarse a partir del año 2025, sin embargo, en la vigencia 2022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t>
  </si>
  <si>
    <t>La jefatura de la mujer y equidad diseño la estrategia de sensibilización familiar anual que fortalezca los lazos familiares con entornos de personas sexualmente diversas de acuerdo a MIPG formalizada con el código PR-FAM-05 de fecha 06 de febrero de 2023, la cual fue implementada en el municipio de Armenia.</t>
  </si>
  <si>
    <t>Desde la vigencia 2021, la Secretaria de Familia a través de la Dirección de Desarrollo Humano y Familia se Incluyó a la población sexualmente diversa en la Implementación de módulos formativos de base comunitaria para la prevención, atención y mitigación del consumo de SPA.</t>
  </si>
  <si>
    <t>Según el plan decenal esta meta esta proyectada para ejecutarse a partir de la vigencia 2024, sin embargo, en la vigencia 2023, desde la Secretaria de Educación departamental aduce que  las instituciones educativas I.E Instituto Calarcá y Antonio Nariño el I.E del Municipio de Filandia Francisco Miranda en la actualidad cuentan con planes de convivencia  con el enfoque de Género y diversidad.</t>
  </si>
  <si>
    <t>Desde la Secretaría de Familia se brindó asistencia técnica en la conformación y consolidación de espacios de participación de la población sexualmente diversa a  los municipios de Salento, Génova, Montenegro (2) y Buenavista.</t>
  </si>
  <si>
    <t>Desde la Secretaria de Salud Departamental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t>
  </si>
  <si>
    <t xml:space="preserve">La Secretaria de Educación Departamental señala que durante la vigencia 2023 las 54 I.E realizaron la actualización del manual de convivencia.     </t>
  </si>
  <si>
    <t xml:space="preserve">Desde la SecretarÍa de Familia de realizó proceso de contratación de mínima cuantía MC071-FAM3205-CPS-2022 con la finalidad de realizar diplomado en liderazgo colectivo e incidencia política de la población sexualmente diversa del departamento.
Desde la Alcaldía de Circasia  se  realizó capacitación sobre el liderazgo con integrantes del Colectivo Libre Diverso del municipio, además  se cuenta con la estrategia  participación ciudadana, en donde se hace énfasis en el desarrollo del liderazgo colectivo y en alianza con la fundación Para el emprendimiento social Transformando destinos, quien por medio de la consejería de la presidencia de la republica implemento la escuela de liderazgo en el Municipio de Circasia donde se han desarrollado dos sesiones con la población OSIGD.
Desde la Alcaldía de Córdoba se realizó un taller de liderazgo y derechos humanos de la población sexualmente diversa, en el cual se hizo entrega de una dotación de máquinas profesionales de corte de cabello contribuyendo a la generación de empleo indirecto en el municipio.
</t>
  </si>
  <si>
    <t xml:space="preserve">La Secretaría del Interior Departamental señala que los programas y proyectos de postconflicto se encuentran armonizados según PAT. </t>
  </si>
  <si>
    <t xml:space="preserve">La Secretaría del Interior Departamental señala que el 100% de los planes de acción municpales de Derechos Humanos y Convivencia escolar se encuentran armonizados según PAT. </t>
  </si>
  <si>
    <t xml:space="preserve">La Secretaría del Interior Departamental señala que el 100% de los comités territoriales de paz, reconciliación y convivencia garantizan la representatividad de pobación LGBTI, conforme al PAT. </t>
  </si>
  <si>
    <t xml:space="preserve"> la Secretaría de Familia diseñara e implementara estrategia de seguimiento a casos urgentes de discriminación y vulneración de derechos con componentes de atención, prevención y sensibilización, en coordinacion con los actores responsables la cual se implementara en la vigencia 2023
A través de la coordinación de derechos humanos del Departamento de policía Quindío se desarrolla el despliegue de la D.O.T 25 DIPON -INSGE  "PARÁMETROS DE ACTUACIÓN POLICIAL PARA EL DESPLIEGUE DE LA ESTRATEGIA DE ATENCION PARA PERSONAS EN SITUACION DE VULNERABILIDAD - ESPOV  ", la cual se operacionaliza mediante Orden de Servicios 018 del 28/01/2022. donde se imparten de manera específica a cada dependencia de la institución responsabilidades en el ámbito, preventivo, operativo y disuasivo ante posibles casos de Vulneración de derechos humanos de poblaciones vulnerables, así como las respectivas rutas de atención.  
 </t>
  </si>
  <si>
    <t xml:space="preserve">La Jefatura de la Mujer y Equidad diseño la estrategia de sensibilización familiar anual que fortalezca los lazos familiares con entornos de personas sexualmente diversas para implementarla en cada municipio del Departamento, la cual será implementada en la vigencia 2023 en coordinacion con  los actores resposables
En el municipio de salento se implementó la estrategia de sensibilización familiar denominada ¨familias entornos seguros¨ con padres de familia de la I.E Liceo Quindío en la cual se buscó promover el respeto por la diferencia y protección de los derechos de la población OSIGD.
Para el mes de octubre de 2022 la comisaria de familia de córdoba desarrollo una estrategia de sensibilización familiar con entornos sexualmente diversas en el municipio,  con el fin de apoyar la construcción de entornos familiares con los grupos en mención a través de una estrategia de información, educación y comunicación.
</t>
  </si>
  <si>
    <r>
      <t xml:space="preserve">Se participa de forma activa en el Comité Departamental de Convivencia Escolar donde se fortalecen los aspectos relacionados con la ruta de atención y manuales de convivencia desde el enfoque de los Derechos Humanos.
Se participa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dl embarazo y del consumo de sustancias psicoactivas, educación sexual. 
</t>
    </r>
    <r>
      <rPr>
        <b/>
        <sz val="20"/>
        <rFont val="Calibri"/>
        <family val="2"/>
      </rPr>
      <t>SIN EMBARGO; ES IMPORTANTE ACLARAR QUE LA SECRETARÍA DE EDUCACIÓN NO HACE PARTE, NI EJECUTA PROCESOS INTERNOS DE LAS ALCALDIAS DE LOS ONCE MUNICIPIOS NO CERTIFICADOS EN EDUCACIÓN.</t>
    </r>
  </si>
  <si>
    <t xml:space="preserve">Desde la Dimensión de Sexualidad salud  Sexual y Reproductiva, se realizó asistencia técnica respecto la salud sexual y Reproductiva en los municipios de Salento, Calarcá, Montenegro, Circasia, Buenavista y La Tebaida.
</t>
  </si>
  <si>
    <r>
      <t>Desde la Secretaría de Salud Departamental se trabaja de manera continua en el fortalecimiento del modelo de atención en salud mental  el cual se denomina "</t>
    </r>
    <r>
      <rPr>
        <b/>
        <sz val="20"/>
        <rFont val="Calibri"/>
        <family val="2"/>
        <scheme val="minor"/>
      </rPr>
      <t>Modelo de atención en salud mental se encuentra fortalecido y se denomina Gestión del riesgo de Eventos de Interes en Salud Mental</t>
    </r>
    <r>
      <rPr>
        <sz val="20"/>
        <rFont val="Calibri"/>
        <family val="2"/>
        <scheme val="minor"/>
      </rPr>
      <t xml:space="preserve">"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(LÍNEA DE APOYO PSICOLÓGICO) donde la población sexualmente diversa tengan.
</t>
    </r>
  </si>
  <si>
    <t>Desde la Secretaria de Familia se brindo asistencia técnica en ley 1620 del 2013 y sentencia T-478 del 2015, en diversidad sexual e identidad de género a integrantes de la comunidad educativa de los municipios de Circasia con los orientadores de las instituciones  y Quimbaya  con padres de familia de la IE Mercadotecnia y a los orientadores de las instituciones educativas de los doce municipios del Departamento.
Desde la Secretaría de Educación Departamental participan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del embarazo y del consumo de sustancias psicoactivas, educación sexual.</t>
  </si>
  <si>
    <t>Según el plan decenal, esta meta se tiene programada para ejecutar a partir del año 2026, razón por la cual no presenta avance.</t>
  </si>
  <si>
    <t>La Secretaría del Interior Departamental señala que el 100% de los planes de acción municpales de Derechos Humanos y Convivencia escolar se encuentran armonizados según PAT.</t>
  </si>
  <si>
    <t>Durante el período informado no se tenian programas  acciones para dar cumplimiento a la meta e indicador en el año 2023.</t>
  </si>
  <si>
    <t xml:space="preserve">
La Universidad del Quindío promovió espacios de reflexión académica en torno a la cultura ciudadana y el cuidado integral en derechos sexuales "Reconocimiento de la diversidad UQ"</t>
  </si>
  <si>
    <t>Según el plan decenal esta meta esta proyectada para ejecutarse a partir de la vigencia 2024, sin embargo, en la vigencia 2020, desde la Oficina de comunicaciones se implemento la estrategia cuidarte es amarte con el fin de realizar prevención y atención del acoso escolar y otras problemáticas del sector educativo.</t>
  </si>
  <si>
    <t>Para la vigencia 2022 no se tienen programadas acciones para dar cumplimiento a la meta conforme a lo establecido en el plan decenal.</t>
  </si>
  <si>
    <t>1'00%</t>
  </si>
  <si>
    <t>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del municipio de Armenia.
Desde la Alcaldía de Filandia se realizó campaña virtual dirigida a toda la población del municipio, que estuvo enfocada en el respeto en medio del día internacional de la visibilidad trans. 
Desde la Alcaldía de Circasia se reazlizo campaña  con incidencia municipal de promoción del respeto por la diferencia e instalación de territorios libres de discriminación en la institución educativa IMET     
La Alcadldía de Montenegro realizó campaña de prevención de la homofobia, transfobia y bifobia en espacios públicos del Municipio, como también a través de redes sociales de la Administración. Además de realizar campaña de prevención de la homofobia con funcionarios públicos.
La Alcaldía de Salento desarrolló campaña denominada ¨En salento todos son bienvenidos¨ que promovió espacios libres de discriminación en establecimientos comerciales
La Alcaldía de Quimbaya realizó una campaña  de promoción del respeto por la diferencia e instalación de territorios libres de discriminación en entidades públicas y privadas</t>
  </si>
  <si>
    <t>Desde la Secretaría de Familia se diseñó e implementó la campaña EMPODERATE POR LA DIVERSDIAD en instituciones educativas de los municipios de La Tebaida, Pijao,Calarcá, Buenavista, Filandia, Armenia, Montenegro, Quimbaya.
La Alcaldía de Montenegro realizacampaña denominada "Y qué importa" en instituciones educativas del Municipio orientada a la prevención de la homofobía, el respeto por la diversidad y ressaltar el orgullo gay. 
La Alcaldíia de Quimbaya realizó una campaña en  instituciones educativas de promoción del respeto por la diferencia e instalación de territorios libres de discriminación.
La Alcaldía de Circasia realizo campaña  con incidencia municipal de promoción del respeto por la diferencia e instalación de territorios libres de discriminación en la institución educativa IMET</t>
  </si>
  <si>
    <t>Desde la Secretaría de Familia, a través de la  Jefatura de la Mujer y la Equidad, se encuentra en etapa de diseño de la estrategia de seguimiento a casos urgentes de discriminación y vulneración de derechos con componentes de atención, prevención y sensibilización.
La Alcaldía de Circasia desarrollo una estrategia  de seguimiento a casos urgentes de discriminación y vulneración de derechos con componentes de atención, prevención y sensibilización. Denominada "Circasia libre y Diversa"</t>
  </si>
  <si>
    <t xml:space="preserve">La Secretaria de Salud Departamental reporta que se realizo campaña mediante la socialización en deberes y derechos en salud  a la población  LGTBI y rutas de atención en el Municipio de Génova.
Durante el tercer trimestre se realizó  1  socialización de la ruta de atención  con perspexctiva de Género y prevención de violencias desde las nuevas masculinidades y femenididades con funcionarios del SENA, personería de armenia, sistema educativo.                                                            2 actividades de Eliminación de Barreras de Acceso en la prestación de servicios de Salud a la poblacion LGTBI del municipio de Circasia
</t>
  </si>
  <si>
    <t>Desde la Secretaria de Salud Departamental reportan que ya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
Para el tercer semestre  en el marco de la realización de mesas tecnicas con el sector salud se promociona con las EPS Medimás, Asmetsalud, Nueva EPS la garantía de la adecuación de los servicios en salud con perspectiva de Género</t>
  </si>
  <si>
    <t xml:space="preserve">Desde Secretaría de Salud Departamental se realiza 1 campaña en deberes y derechos en salud y promocion y prevencion en población LGTBI en los municipios de Circasia, Calarcá, Pijao, Quimbaya, Filandia y la Tebaida
</t>
  </si>
  <si>
    <t>La Secretaria de Salud Departamental reporta que se implemento capacitación en deberes y derechos en salud para la población LGTBI Municipio de Filandia.
En el marco  de la campaña preventiva y de sensibilización sobre los riesgos de hormonización desregularizada se realizó 1 socialización a funcionarios públicos de Salud Mental de la Secretaria de Salud Departamental en Derechos sexuales y reproductivos LGBTI, procesos de feminización y masculinización normativa y jurisprudencia colombiana en salud LGBTI,  rutas y protocolos de atención en salud</t>
  </si>
  <si>
    <t xml:space="preserve">La Secretaría del Interior Departamental señala que el 100% de los planes de acción municpales de Derechos Humanos y Convivencia escolar se encuentran armonizados según PAT. 
La Secretaría de Educación  realizó apoyo en la operatividad de los comites de conviviencia escolar de los 11 municipios de competencia departamental. 
</t>
  </si>
  <si>
    <t xml:space="preserve">Desde la Secretaría de Familia se adoptó e implementó la ruta antidiscriminación, en el periodo informado en los municipios de  Armenia, La Tebaida, Quimbaya y Pijao, Montenegro, Calarcá, Estación de Policía Filandia. </t>
  </si>
  <si>
    <t xml:space="preserve">Desde la Secretaría de Familia se realizó campaña basada en una capacitación en atención en enfoque diferencial e interseccionalidad a funcionarios de la policía en el municipio de Calarcá y a funcionarios de la policía cívica juvenil del municipio de la Tebaida.
Desde 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 los municipios de Córdoba, Montenegro, Pijao,Armenia, La Tebaida y Salento, Institución Educativa Gabriela Mistral La Tebaida, Institución Educativa Rio Verde Buenavista, Instituto Pijao
Por otro lado la jefatura de la mujer y la diversidad se apoya con piezas publicitarias y videos con actores de la población OSIGD para la implementación de la campaña, la cual se pública en la página oficial de la Secretaría de Familia Departamental.
La alcaldía de salento realizó una campaña denominada ¨Salento territorio libre de discriminación¨ en la cuál a través de la conmemoración del día del orgullo LGBTIQ se promovió a través de diferentes actividades la instalación de espacios libres de discriminación en el municipio.
Se implementó la campaña tu y yo respetamos las diferencias en el sector comercio en el municipio de Quimbaya y Buenavista, población OSIGD del municipio de Calarcá, fenasco armenia y población OSIGD del municipio de la 
</t>
  </si>
  <si>
    <t xml:space="preserve">Desde la Secretaría de familia a través de la jefatura de la mujer y la equidad, se ha diseñado e implementado el observatorio de diversidad sexual del Departamento. 
</t>
  </si>
  <si>
    <t xml:space="preserve">
Desde la jefatura de la mujer y la equidad se se inició la Caracterización de la población sexualmente Diversa previa aprobación de la Secretaría de Planeación Departamental 
</t>
  </si>
  <si>
    <t>Se implemento proceso formativo anualizado para el desarrollo del liderazgo colectivo y la incidencia política de la población sexualmente diversa del departamento en las vigencias 2020 y 2022,</t>
  </si>
  <si>
    <t xml:space="preserve">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</si>
  <si>
    <t>La Secretaría de salud  Departamental realizó durante el tercer trimestre en el marco del modelo de atención se realizó    1 apoyo en actividad  del Dia Internacional de la Visibilidad Trans con acciones de promoción  y prevención encaminada a la población LGTBI en el municipio de Salento.                                                                                                       -Se ha trabajado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t>
  </si>
  <si>
    <t xml:space="preserve">
Desde la Secretaría de Aguas e Infraestructura - Gobierno Departamental, aunando esfuerzos con el Municipio de la Tebaida, Montenegro y la Empresa para el Desarrollo Territorial - PROYECTA, aportaron los recursos para la materialización de obras para el mejoramiento de viviendas de interés social urbanas para la ejecución del proyecto adscrito a la Secretaría de Aguas e Infraestructura "Mejoramiento de Vivienda de Interés Social en el Departamento del Quindío" codigo BPIN 2020003630057; el proceso de selección de los beneficiarios se realizó teniendo en cuenta la caracterización de la población postulada a lo mejoramientos, según el enfoque diferencial y de interseccionalidad dentro de los cuales se encuentra población sexualmente diversa que hace parte del grupo poblacional LGTBI, se relaciona a continuación la información de los convenios que se encuentran en ejecución: 
1. Inició ejecución el 07 de julio de 2023 el convenio interadministrativo No. 038 DE 2023 “AUNAR ESFUERZOS ENTRE EL MUNICIPIO DE MONTENEGRO, DEPARTAMENTO DEL QUINDIO Y PROYECTA PARA EL MEJORAMIENTO DE VIVIENDAS EN EL MUNICIPIO DE MONTENEGRO” con un presupuesto de $ 469.843.699, su ejecución finaliza el 23 de diciembre de 2023. 
2. Inició ejecución el 04 de julio de 2023 el convenio interadministrativo No. 039 DE 2023 “AUNAR ESFUERZOS ENTRE EL MUNICIPIO DE LA TEBAIDA, EL DEPARTAMENTO DEL QUINDIO Y LA EMPRESA PARA EL DESARROLLO TERRITORIAL PROYECTA PARA EL MEJORAMIENTO DE VIVIENDAS URBANAS EN EL MUNICIPIO DE LA TEBAIDA” con un presupuesto de $ 681.633.567, su ejecución finaliza el 23 de diciembre de 2023. 
La Alcaldía de Quimbaya realizó asignación de cupos específicos para la población sexualmente diversa en el proyecto de mejoramiento de vivienda.</t>
  </si>
  <si>
    <t xml:space="preserve">Desde la jefatura de la mujer y la equidad se diseñó el sistema de información tendiente a caracterizar de manera periódica la situación de derechos de la población y en la actualidad se esta implementando
</t>
  </si>
  <si>
    <t>La Secretaria de Salud Departamental en la vigencia 2022 reporto que el modelo de atención en salud mental se encuentra fortalecido y se denomina Gestión del riesgo de Eventos de Interés en Salud Mental, el cual continúa vigente para el 2023</t>
  </si>
  <si>
    <t>Desde la Jefatura de la Mujer y la Equidad se estructuró el observatorio de la Población Sexualmente Diversa del Departamento el cual se encuentra en  la página web de la Secretaría de Familia 
https://quindio.gov.co/observatorio-de-la-mujer-y-la-familia/observatorio-equidad-de-genero-y-mujer/presentacion</t>
  </si>
  <si>
    <t xml:space="preserve"> La secretaría de Cultura Departamental garantiza el acceso y representatividad de la población sexualmente diversa a la oferta cultural y artística del departamento.</t>
  </si>
  <si>
    <t xml:space="preserve">En la vigencia 2023 Desde la jefatura de la mujer y la equidad se diseñó el sistema de información tendiente a caracterizar de manera periódica la situación de derechos de la población y en la actualidad se esta implementando
</t>
  </si>
  <si>
    <t>La Secretaría de Familia Departamental llevó a cabo actividad donde se socializó campaña "Empoderate por la diversidad" en diferentes instituciones educativas del Departamento, tratando temas de trato igualitario y el respeto por el nombre identitario</t>
  </si>
  <si>
    <t>La Secretaría de Familia  Departamental brindó capacitaciones en la Ley 1620 de 2013 y sentencia T-478 del 2015a la comunidad educativa en los doce (12) municipios por medio de contratistas adscritos a la Jefatura de la mujer y la Equidad</t>
  </si>
  <si>
    <t>Se realizó presentación del reporte del seguimiento e implementación de la política pública en el marco de la rendición pública de cuentas institucional de la vigencia 2022
En la rencición de cuentas de la administración municipal de 2023 se realizó un reporte del seguimiento e implementación de la política pública, en el municipio de Salento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</si>
  <si>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 Filandia reporta que se creo el consejo municipal para la inclusión de personas OSIGD, dentro del cual se cuenta con una mesa técnica  para la atención a estos casos (acuerdo 016 octubre 2021).
La Secretaria de Salud Departamental aduce que participaron de la mesa técnica con los diversas secretarías para la construcción de una ruta integral y protocolo para la población LGTBI.      -La Alcaldía de Cicasia cuenta con mesa permanente de seguimiento a casos de vulneración de derechos a población sexualmente diversa en el marco del COMOSIGD para el abordaje integral de la violencia de género. 
La Alcaldía de Salento refiere que el comité municipal OSIGD que se reúne trimestralmente, cuenta con un espacio para la exposición de casos de discriminación, para el periodo informado no se presentaron casos de vulneraicón de derechos
La Alcaldía de Circasia cuenta con mesa permanente de seguimiento a casos de vulneración de derechos a población sexualmente diversa en el marco del COMOSIGD para el abordaje integral de la violencia de género. 
En el municipio de Salento el comité municipal OSIGD que s ereune trimestralmente cuenta con un espacio para la exposición de casos de discriminación, para el periodo informado no se presentaron casos de vulneraicón de derechos</t>
  </si>
  <si>
    <t>Indeportes Quindío señala que  los 12 Municipios durante los 9 meses del año con programa implementado de recreación, actividad física y deporte social comunitario, con oferta inclusiva y Garantizar el acceso y representatividad de la población sexualmente diversa.
La alcaldía de Circasia garantiza el acceso a la  oferta recreativa y deportiva a la población sexualmente diversa.
La alcaldía de Córdoba señala que se garantizó el acceso y representatividad de la población sexualmente diversa a la oferta recreativa y deportiva del municipio en las escuelas de formación: de natación, patinaje y acondicionamiento físico, se han adelantado procesos de contratación para las escuelas de formación en baloncesto, futbol, microfutbol y ciclismo.  
La alcaldía de Filandia reporta que la oferta deportiva se da de manera incluyente, cabe destacar que dentro de las escuelas formativas hay presencia de esta población.
La alcaldía de Montenegro reporta que se da cumplimiento a través de las escuelas deportivas con convocatoria abierta.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Deportivas.
La alcaldía de Génova señala que se garantiza el acceso de la población género diversa en los procesos recreativos y deportivos del municipio.
La alcaldía de Salento cuenta con accesibilidad, cobertura y participación de la población OSIGD en las escuelas de formación deportiva,
En el municipio de Buenavista la oferta cultural y artistica se maneja de manera inclusiva para toda la polación, no se manejan programas exclusivos, dado que la población que se autoreconoce como LGBTIQ+ es muy poca.</t>
  </si>
  <si>
    <t>La universidad del Quindío desarrolló una estrategia para promover espacios de reflexión académica en torno a la cultura ciudadana, inclusión laboral sencibilzación, familia y diversidad sexual y de género para lo cual se adelantaron las siguientes acciones: 
1. Curso desde la dirección de Bienestar Institucional Reconocimiento de la Diversidad UQ: este curso está dirigido a la comunidad Universitaria, con el fin de promover el goce efectivo de derecho de personas OSIGD-LGBTI, en el campus Universitario. 
2. Campañas de sensibilización y alfabetización en diversidad: la cuales tienen como objetivo principal, enseñar el cuidado integral en derechos sexuales, reproductivos, normativa y jurisprudencia con enfoque diferencial, dirigido a las Instituciones escolares del Departamento del Quindío
3. Aplicación del violentometro a todos los estamentos universitarios, con el fin de sensibilizar a la comunidad universitaria sobre las diferentes violencias. 
4. Armonización del Protocolo para la prevención, detección y atención de violencias o cualquier tipo de discriminación basada en género en la Universidad del Quindío, co-construcción de la ruta de atención, divulgación y acciones pedagógicas con el fin de realizar el acompañamiento integral desde la dirección  de Bienestar Institucional a través de  espacios de intervención pedagógica  a fin de promover en los estudiantes, profesores, administrativos y comunidad  en general actitudes   para el diálogo, para la reflexión respecto de los hechos de violencia o cualquier tipo de discriminación basados en género   apuntando  a  la transformación de imaginarios y estereotipos de género, con el   fin de generar  compromisos de reparación del daño causado, la cesación de la violencia, la discriminación  y la no repetición.
5. Socialización y divulgación de las rutas existentes y articulación con secretaria de salud y policía nacional con la ruta de violencia sexual y la patrulla purpura, así mismo:
1. “Ruta de   atención para la prevención, detección y atención de violencias y cualquier tipo de discriminación basada en género en la Universidad del Quindío”
2. “Programa para el reconocimiento de la diversidad desde un enfoque inclusivo”
La Institución Universitaria EAM, comprometida con la creación de espacios seguros en la educación, durante el semestre 2023-2 ha desarrollado campañas para la atención, promoción y apropiación de politicas para la prevención de violencias basadas en género, inclusión, diversidad y salud mental.  En este sentido, se han desarrollado campañas denominadas: 
- Identificación Tipos de Violencias
- Micromachismos (comportamientos)
- Prevención de Situaciones de Violencia
- Rutas de Ayuda (Internas y Externas)
- Signos de Ansiedad
- Mascotas como ayuda personal
- Ejercicios para la Salud Mental
- Consejos para una mejor concentración
- Técnicas para el manejo de la Ansiedad
- Inclusión
- Aliados para la Inclusión
La Universidad Gran Colombia reportó que promovió espacios de reflexión respecto al a la prevención del acoso, violencia de género u otras expresiones de violencia y  exclusión.</t>
  </si>
  <si>
    <t xml:space="preserve">Para la vigencia 2023 no se tienen programadas acciones para dar cumplimiento a la meta conforme a lo establecido en el plan decenal. 
La Alcaldía de Montenegro realiza campaña articulada con la gobernación en capacitación en actualización a funcionarios públicos de la Administración Municipal en mecanismmos de género y transversalización del enfoque de género diverso y parámetros no sexistas.
La Alcaldía de Circasia desarrollo una campaña referente a la adopcion de mecanismos de género y Transversalización del enfoque genero diverso con funcionarios publicos he individuos de la poblacion OSIGD
La Alcaldía de Calarcá realiza campaña articulada con la gobernación en capacitación en actualización a funcionarios públicos de la Administración Municipal en mecanismmos de género y transversalización del enfoque de género diverso y parámetros no sexistas. 
La Alcaldía de Pijao realiza campaña articulada con la gobernación en capacitación en actualización a funcionarios públicos de la Administración Municipal en mecanismmos de género y transversalización del enfoque de género diverso y parámetros no sexistas.
</t>
  </si>
  <si>
    <t>Desde la Secretaria de Familia se realizaron capacitaciones anualizadas en ley 1620 del 2013 y sentencia T-478 del 2015, en diversidad sexual e identidad de género a integrantes de la comunidad educativa de los municipios de Quimbaya (1), Calarcá(2), La Tebaida(2), Pijao(1) Buenavista(1), Filandia (2), Armenia (2), Circasia (1),  Génova (2), Córdoba (1), Salento (1), Montenegro (1)</t>
  </si>
  <si>
    <t xml:space="preserve">Según el plan decenal esta meta esta proyectada para ejecutarse a partir de la vigencia 2024,la Secretaria de Turismo, industria y comercio en las vigencias 2020,2021,2022 realizo asistencia técnica Departamental enfocada al fortalecimiento empresarial, acceso a nuevos mercados y emprendimientos.
</t>
  </si>
  <si>
    <t xml:space="preserve">La Secretaria de Cultura Departamental manifiesta que dentro de la implementación de los programas de lectura y escritura y formación informal en artes plásticas, danza, música, teatro  en los diferentes municipios del departamento  se  ha contado con 63 personas de la comunidad LGTBI, 102 personas son inscritas en la plataforma de soy cultura, así mismo, se dio apertura a  la convocatoria de concertación y estímulos, cual da paso para la presentación de proyectos y propuestas culturales y desarrollarlas en todo el territorio Quindiano. Durante el tercer trimestre Dentro  de la implementación de los programas de lectura y escritura y formacion informal en artes plasticas, danza, musica, teatro  en los diferentes municipios del departamento  se  ha contado con 56  personas  de esta comunidad LGTBI.
La alcaldía de Circasia garantiza el acceso a la  oferta cultural y artística a la población sexualmente diversa.
La alcaldía de Córdoba señala que se garantizó el acceso y representatividad de la población sexualmente diversa a la oferta cultural y artística del municipio en las escuelas de formación: Danza folclórica, danza moderna, banda musical, chirimía, iniciación musical, banda musico marcial, club de lectura, Grupo amigos de la Biblioteca, tertulias, préstamo externo de libros, alfabetización digital.
La alcaldía de Filandia reporta que la oferta cultural y artística se da de manera incluyente, cabe destacar que dentro de las escuelas formativas hay presencia de esta población.
La alcaldía de Montenegro señala que se da cumplimiento a través de las escuelas de formación con convocatoria abierta a todos los programas culturales y artísticos como también  visita a colegios informando de las diferentes ofertas.   
                                                                                                                                 La administracion municpal de Circasia garantiza el acceso a la  oferta cultural y artistica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cultural.
La alcaldía de Génova señala que se garantiza el acceso de la población género diversa en los procesos culturales y artísticos del municipio.
La Alcaldía de Salento cuenta con accesibilidad, cobertura y participación de la población OSIGD en los grupos culturales existentes en la Administración (banda, chirimia, danza) 
La Alcaldía de Circasia  garantiza el acceso a la  oferta cultural y artistica
NOTA: El presupuesto que se reporta por parte de Secretaría de Cultura compete al proceso de concertación y estimulos en su totalidad.
los programas desarrollados en la secretaria en  educacion no formal y lecto escritura se beneficiaron 8, En las convocatorias de concertacion se impacto  a 2030 personas. La beca de cracion ganada por Sara Maria   Sanchez    impacto a 80 personas de esta poblacion para un total de 2129 personas impactadas en el ejecucion de concertacion y estimulos. (Reporte de Cultura)
</t>
  </si>
  <si>
    <t>La Secretaria de Educación Departamental aduce que  las instituciones educativas I.E Instituto Calarcá y Antonio Nariño el I.E del Municipio de Filandia Francisco Miranda en la actualidad cuentan con planes de convivencia  con el enfoque de Genero y diversidad.
El plan de acción de convivencia escolar del municipio de Buenavista tiene enfoque de genero y dicersidad, se abordan rutas de atención y campañas para el fortalecmiento familiar.</t>
  </si>
  <si>
    <t>Se ha realizado presentación de reporte del seguimiento e implementación de la política publica en el marco de la rendición pública de cuentas institucional en las vigencias 2020, 2021, 2022 y 2023</t>
  </si>
  <si>
    <r>
      <t xml:space="preserve">Desde la Dimensión de Sexualidad salud  Sexual y Reproductiva en la vigencia 2022, se realizó asistencia técnica respecto la salud sexual y Reproductiva para el curso de vida adultez  y vejez, asistencia técnica respecto ITS VIH, Sífilis, hepatitis B -C con el personal del hospital mental de Filandia para la certificación en toma de pruebas rápidas de ITS. 
</t>
    </r>
    <r>
      <rPr>
        <b/>
        <sz val="20"/>
        <rFont val="Calibri"/>
        <family val="2"/>
        <scheme val="minor"/>
      </rPr>
      <t xml:space="preserve">
Nota: Es preciso aclarar el indicador se encuntra programado para el año 2024, sin embargo se han adelantado las acciones mencionadas anteriormente y el presupuesto registrado corresponde a ellas.
</t>
    </r>
  </si>
  <si>
    <t>Durante el periodo informado no se tenian programadas acciones para dar cumplimiento a la meta e indicador en el año 2023</t>
  </si>
  <si>
    <t>Desde la jefatura de la mujer y la equidad se brindó asistencia técnica en la ley 1620 y sentencia 478 a los orientadores de las instituciones educativas de los 12 municipios del Departamento en la vigencia 2022 y 2023</t>
  </si>
  <si>
    <t xml:space="preserve">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 llevada a cabo en la vigencia 2022.
La Secretaría de Familia Departamental llevó a cabo actividad donde se socializó campaña "Empoderate por la diversidad" en diferentes instituciones educativas del Departamento, tratando temas de trato igualitario y el respeto por el nombre identitario en la vigencia 2023.
</t>
  </si>
  <si>
    <t>2024 I TRIMESTRE</t>
  </si>
  <si>
    <t xml:space="preserve">Según el plan decenal no se tiene programada acciones para esta vigencia
</t>
  </si>
  <si>
    <t xml:space="preserve">Desde la Secretaría de Familia se adoptó e implementó la ruta antidiscriminación la cual se está socializando en los barrios popular y vera cruz del municipio de armenia </t>
  </si>
  <si>
    <t>4 asistencias técnicas realziadas en los municipios de LaTebaida (1), Montenegro (1), Filandia (1), Salento (1)</t>
  </si>
  <si>
    <t>Desde la Jefatura de Mujer y Equidad se adelantaron dos (2) campañas en instituciones educativas siendo estas en la I.E Francisco Londoño de Circasia y la I.E Tecnolócico de Calarcá</t>
  </si>
  <si>
    <t>Durante el período informado no se tenian programas  acciones para dar cumplimiento a la meta e indicador en el año 2024.</t>
  </si>
  <si>
    <t>La Alcaldía de Armenia refiere que, realizo una jornada de "capacitación a los(as/es) servidores públicos de la administración municipal, para atender de manera diferencial y con enfoque de género a las personas de esta población"en el primer comité docentes y orientadores escolares de instituciones educativas publicas y privadas de Armenia, se socializa las acciones de fortalecimiento para revisar planes de convivencia escolar.</t>
  </si>
  <si>
    <t xml:space="preserve">En el municipio de filandia se llevo a cabo la inscripcion de una de las candidatas de la poblacion OSIGD  al concejo municipal del municipio de filandia por parte del partido MAIS. </t>
  </si>
  <si>
    <t>El municipio de Filandia infieque que, existe el comité de paz donde dentro de su plan de acción esta incluido el componente de género,</t>
  </si>
  <si>
    <t xml:space="preserve">La jefatura de la mujer y equidad diseño la estrategia de sensibilización familiar anual que fortalece  los lazos familiares con entornos de personas sexualmente diversas de acuerdo a MIPG formalizada con el código PR-FAM-05 de fecha 06 de febrero de 2023.
la cual fue implementada en la Institución Educativa Rio Verde Buenavista por la comisaría el 15 de marzo 2024 por la comisaría de familia de Buenavista
La Alcaldía de Filandia infiere que, en el mes de marzo se llevaron a cabo dos  visitas domiciliarias en  nucleos familiares donde hacen parte la poblacion OSIGD (Orientacion Sexual e Identidad de Genero Diverso) ya que por falta de informacion se estaban presentanto inconvenientes de caracter familiar y falta de comprension por parte de sus familiares.
La Alcaldía de Montenegro reporque que para implementar la estrategia de sensibilización familiar anual se realiza un banner con una imagen alusiva al tema y con la siguiente información "El apoyo familiar, al amor, el respeto y la aceptación son fundamentales para nuestro libre desarrollo de la personalidad"; el cual fue  publicado en las diferentes redes sociales de la administración municipal y personales, generando con ello poder llegar a un gran numero de la población. También lo imprimimos a color con el fin de pegarlo en los sitios públicos de mayor afluencia y compartirlo con la población a  la cual abordamos para compartirle la información.
</t>
  </si>
  <si>
    <t xml:space="preserve">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trimestre se desarrolló la socialización en espacios públicos del municipio de Armenia. en I.E Francisco Londoño de Circasia y Tecnológico Calarcá
La Alcaldía de Salento reportó que realizó campaña para la promoción del respeto por la diferencua e instalación de territorios libres de discriminación en el marco de la conmemoración de la visibilidad trans, con el encuentro departamental para la visibilidad trans   </t>
  </si>
  <si>
    <t xml:space="preserve">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deArmenia refiere que, realizó 1 Mesa Municipal de Cocnertación OSIGD - LGBTI de Arnenia, la cual  se realiza 4 veces al año, adicionalmente se realiza seguimiento a casos de vulneracion de derechos a poblacion sexualmente diversa.
La Alcaldía de Filandia requiere que, creó el consejo municipal para la inclusión de personas OSIGD, dentro del cual se cuenta con una mesa tecnica  para la atención a estos casos (acuerdo 016 octubre 21 2021)
La Alcaldía de Salento reportó que el comité municipal OSIGD que se reune trimestralmente cuenta con un espacio para la exposición de casos de discriminación, para el periodo informado se realizó un comité incluyendo la mesa de seguimeinto a casos de vulneración de derechos en el orden del día, para el cuál no se presentaron casos de vulneraicón de derechos
</t>
  </si>
  <si>
    <t xml:space="preserve">Para la vigencia 2024 no se tienen programadas acciones para dar cumplimiento a la meta conforme a lo establecido en el plan decenal. 
Nota: sin embargo, La Jefatura de la Mujer y Equidad realizó la actualización a funcionarios públicos en la adopción de mecanismos de género y Transversalización del enfoque genero diverso y parámetros no sexistas según ley 1752 del 2015 (ley antidiscriminación) en la alcaldía de Salento y Córdoba 
La Alcaldía de Salento reporta que realiza proceso formativo con funcionarios de la administracion municipal de la secretaria de servicos cosiales para la actualizacion en la adopción de mecanismos de género y transversalización del enfoque de género.
</t>
  </si>
  <si>
    <t xml:space="preserve">
La secretaría de Cultura Departametnal refiere que, en este momento se dio  apertura a las convocatorias de concertación resolución 1831/ 21 de marzo y estímulos resolución 1832/ 21 de marzo de 2024, este genera un estímulo de 5 puntos adicionales para los proyectos que se ejecuten con población LGTBI, como incentivo a la participación  
NOTA: El presupuesto que se reporta por parte de Secretaría de Cultura compete al proceso de concertación y estimulos en su totalidad.
La Scretaría de Familia en articulación con la Alcaldía de armenia realizó la conmemoracióno fechas representativas personas OSIGD – LGBTI " Dia de la visibilidad Trans 31  de marzo de 2024"
La Alcaldía de Filandia menciona que los procesos formativos de arte y cultura son manera incluyente ya que nuestro lider de la población LGBT Cristian Camilo Hoyos Bermudez  hace parte de el grupo de teatro del municipio ademas tambien ha pertenecido a grupos tales como:  danzas, chirimia y la banda del municipio de filandia. Ademas de mas poblacion que hace parte de los mismos procesos formativos.
La alcaldía de Salento reporta que cuenta con accesibilidad, cobertura y participación de la población OSIGD en los grupos culturales existentes en la Administraicón (banda, chirimia, danza)
</t>
  </si>
  <si>
    <t xml:space="preserve">La alcaldía de Filandia reporta que la oferta deportiva se da de manera incluyente, cabe destacar que dentro de las escuelas formativas hay presencia de esta población.
INDEPORTES REPORTA QUE EN EL PRIMER TRIMESTRE DEL 2024 QUE CONSTA DESDE EL 1 DE ENRO AL 31 DE MARZO EN EL QUE  SE HAN IMPLEMENTADO PROGRAMAS DE ESCUELAS DEPORTIVAS, ADULTO MAYOR Y HABITOS Y ESTILOS DE VIDA SALUDABLE (HEVS) LOS CUÁLES SON ABIERTOS AL PÚBLICO DE FORMA INCLUSIVA
La Alcaldía de Salento reporta que cuenta con accesibilidad, cobertura y participación de la población OSIGD en las escuelas de formación deportiva (fútbol, voleibol, baloncesto)
</t>
  </si>
  <si>
    <t xml:space="preserve">Desde la Secretaría de Familia, a través de la  Jefatura de la Mujer y la Equidad, se encuentra en etapa de diseño de la estrategia de seguimiento a casos urgentes de discriminación y vulneración de derechos con componentes de atención, prevención y sensibilización.
El Municipio de Filandia cuenta con ruta de atención modificada y aprobada en el mes de febrero, en la cual se le hace seguimiento en cada reunión del Consejo para la Inclusión de personas OSIGD. 
La Policia reporta que el grupo de derechos se articula con la mesa de reacción rápida de la secretaria del interior, con el fin de abordar temas en materia de prevención y seguimiento a casos urgentes de discriminación y vulneración de derechos e implementación de medidas preventivas, con el fin se garantizar la vida, integridad, seguridad y libertad de esta población. </t>
  </si>
  <si>
    <t>Durante el periodo informado no se tenian programadas acciones para dar cumplimiento a la meta e indicador en el año 2024</t>
  </si>
  <si>
    <t>Desde la jefatura de la mujer y equidad se realizó una capacitación de la Ley 1620 del 2013 y T-478 del 2015 en la I.E Marcelino Champagnat de Armenia el 29 de febrero</t>
  </si>
  <si>
    <t xml:space="preserve">Según el plan decenal, esta meta se  programo para ejecutar a partir del año 2022.
En el año 2022 se desarrollaron 20 jornadas, al cuarto trimestre de 2023, 17 jornadas.
En el año 2023 desde la Secretaria de Familia se realizaron capacitaciones anualizadas en ley 1620 del 2013 y sentencia T-478 del 2015, en diversidad sexual e identidad de género a integrantes de la comunidad educativa de los municipios de Quimbaya (1), Calarcá(2), La Tebaida(2), Pijao(1) Buenavista(1), Filandia (2), Armenia (2), Circasia (1),  Génova (2), Córdoba (1), Salento (1), Montenegro (1)
En el año 2024 desde la jefatura de la mujer y equidad se realizó una capacitación de la Ley 1620 del 2013 y T-478 del 2015 en la I.E Marcelino Champagnat de Armenia el 29 de febrero
</t>
  </si>
  <si>
    <t>Para la vigencia 2024 no se tienen programadas acciones para dar cumplimiento a la meta conforme a lo establecido en el plan decenal. NO HAY META PROGRAMDA</t>
  </si>
  <si>
    <t xml:space="preserve">El observatorio se encuentra diseñado e implementado, el cual se encuentra actualmente en  el mejoramiento de la página web para facilitar el acceso de la población a la información allí consignada HABLAR SOBRE EL LINK
</t>
  </si>
  <si>
    <t>Se han desarrollado las asistencias técnicas en la conformación y consolidación de espacios de participación de la población OSIGD así: 2020 (12), 2021 (2), 2022 (2),2023 (5), 2024 (4)</t>
  </si>
  <si>
    <t>Se ha implementado la campaña anualizada con incidencia municipal de promoción del respeto por la diferencia e instalación de territorios libres de discriminación en entidades públicas y privadas, y espacios públicos en las vigencias 2020, 2022, 2023 y 2024</t>
  </si>
  <si>
    <t>Desde el 2020 la Secretaría de Familia incorporo en los instrumentos de caracterización de usuarios variables para monitorear la atención a la población sexualmente diversa de acuerdo a lo establecido en MIPG a través del formato F-FAM-04 del 19 de noviembre de 2020, el cual se continua implementanfo po parte de la Secretaría de Familia Departamental</t>
  </si>
  <si>
    <t>Se ha implementado la campaña anualizada con incidencia en las instituciones educativa de promoción del respeto por la diferencia e instalación de territorios libres de discriminación en las vigencias 2022, 2023 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</si>
</sst>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quot;$&quot;\ #,##0"/>
  </numFmts>
  <fonts count="33" x14ac:knownFonts="1">
    <font>
      <sz val="11"/>
      <color theme="1"/>
      <name val="Calibri"/>
      <family val="2"/>
      <scheme val="minor"/>
    </font>
    <font>
      <u/>
      <sz val="11"/>
      <color theme="10"/>
      <name val="Calibri"/>
      <family val="2"/>
      <scheme val="minor"/>
    </font>
    <font>
      <b/>
      <sz val="20"/>
      <name val="Arial"/>
      <family val="2"/>
    </font>
    <font>
      <sz val="20"/>
      <name val="Arial"/>
      <family val="2"/>
    </font>
    <font>
      <b/>
      <sz val="10"/>
      <name val="Calibri"/>
      <family val="2"/>
      <scheme val="minor"/>
    </font>
    <font>
      <sz val="20"/>
      <name val="Calibri"/>
      <family val="2"/>
      <scheme val="minor"/>
    </font>
    <font>
      <b/>
      <sz val="36"/>
      <name val="Arial"/>
      <family val="2"/>
    </font>
    <font>
      <b/>
      <sz val="11"/>
      <color rgb="FF000000"/>
      <name val="Calibri"/>
      <family val="2"/>
      <scheme val="minor"/>
    </font>
    <font>
      <sz val="11"/>
      <color rgb="FF000000"/>
      <name val="Calibri"/>
      <family val="2"/>
      <scheme val="minor"/>
    </font>
    <font>
      <b/>
      <sz val="26"/>
      <name val="Arial"/>
      <family val="2"/>
    </font>
    <font>
      <b/>
      <sz val="10"/>
      <name val="Arial Narrow"/>
      <family val="2"/>
    </font>
    <font>
      <sz val="10"/>
      <name val="Arial Narrow"/>
      <family val="2"/>
    </font>
    <font>
      <sz val="11"/>
      <name val="Calibri"/>
      <family val="2"/>
      <scheme val="minor"/>
    </font>
    <font>
      <b/>
      <u/>
      <sz val="20"/>
      <name val="Arial"/>
      <family val="2"/>
    </font>
    <font>
      <u/>
      <sz val="20"/>
      <name val="Arial"/>
      <family val="2"/>
    </font>
    <font>
      <b/>
      <i/>
      <sz val="36"/>
      <name val="Arial"/>
      <family val="2"/>
    </font>
    <font>
      <sz val="36"/>
      <name val="Calibri"/>
      <family val="2"/>
      <scheme val="minor"/>
    </font>
    <font>
      <sz val="11"/>
      <color theme="1"/>
      <name val="Calibri"/>
      <family val="2"/>
      <scheme val="minor"/>
    </font>
    <font>
      <b/>
      <sz val="36"/>
      <color theme="1"/>
      <name val="Arial"/>
      <family val="2"/>
    </font>
    <font>
      <b/>
      <sz val="20"/>
      <color theme="1"/>
      <name val="Arial"/>
      <family val="2"/>
    </font>
    <font>
      <sz val="20"/>
      <color theme="1"/>
      <name val="Arial"/>
      <family val="2"/>
    </font>
    <font>
      <sz val="36"/>
      <color theme="1"/>
      <name val="Calibri"/>
      <family val="2"/>
      <scheme val="minor"/>
    </font>
    <font>
      <sz val="20"/>
      <color theme="1"/>
      <name val="Calibri"/>
      <family val="2"/>
      <scheme val="minor"/>
    </font>
    <font>
      <b/>
      <sz val="20"/>
      <color theme="1"/>
      <name val="Calibri"/>
      <family val="2"/>
      <scheme val="minor"/>
    </font>
    <font>
      <sz val="20"/>
      <color theme="1"/>
      <name val="Calibri"/>
      <family val="2"/>
    </font>
    <font>
      <sz val="20"/>
      <name val="Calibri"/>
      <family val="2"/>
    </font>
    <font>
      <b/>
      <sz val="20"/>
      <name val="Calibri"/>
      <family val="2"/>
    </font>
    <font>
      <b/>
      <sz val="20"/>
      <name val="Calibri"/>
      <family val="2"/>
      <scheme val="minor"/>
    </font>
    <font>
      <sz val="18"/>
      <color theme="1"/>
      <name val="Calibri"/>
      <family val="2"/>
      <scheme val="minor"/>
    </font>
    <font>
      <b/>
      <sz val="22"/>
      <color indexed="81"/>
      <name val="Tahoma"/>
      <family val="2"/>
    </font>
    <font>
      <sz val="22"/>
      <color indexed="81"/>
      <name val="Tahoma"/>
      <family val="2"/>
    </font>
    <font>
      <b/>
      <sz val="20"/>
      <color indexed="81"/>
      <name val="Tahoma"/>
      <family val="2"/>
    </font>
    <font>
      <sz val="20"/>
      <color indexed="81"/>
      <name val="Tahoma"/>
      <family val="2"/>
    </font>
  </fonts>
  <fills count="2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A9D08E"/>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7030A0"/>
        <bgColor indexed="64"/>
      </patternFill>
    </fill>
    <fill>
      <patternFill patternType="solid">
        <fgColor rgb="FFFF3300"/>
        <bgColor indexed="64"/>
      </patternFill>
    </fill>
    <fill>
      <patternFill patternType="solid">
        <fgColor rgb="FFCC00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indexed="64"/>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applyNumberForma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cellStyleXfs>
  <cellXfs count="171">
    <xf numFmtId="0" fontId="0" fillId="0" borderId="0" xfId="0"/>
    <xf numFmtId="0" fontId="0" fillId="0" borderId="0" xfId="0"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8" fillId="5" borderId="16" xfId="0" applyFont="1" applyFill="1" applyBorder="1" applyAlignment="1">
      <alignment horizontal="center" vertical="center"/>
    </xf>
    <xf numFmtId="0" fontId="8" fillId="0" borderId="17" xfId="0" applyFont="1" applyBorder="1" applyAlignment="1">
      <alignment horizontal="center" vertical="center"/>
    </xf>
    <xf numFmtId="0" fontId="8" fillId="8" borderId="16" xfId="0" applyFont="1" applyFill="1" applyBorder="1" applyAlignment="1">
      <alignment horizontal="center" vertical="center"/>
    </xf>
    <xf numFmtId="0" fontId="8" fillId="3" borderId="16" xfId="0" applyFont="1" applyFill="1" applyBorder="1" applyAlignment="1">
      <alignment horizontal="center" vertical="center"/>
    </xf>
    <xf numFmtId="0" fontId="8" fillId="11" borderId="16" xfId="0" applyFont="1" applyFill="1" applyBorder="1" applyAlignment="1">
      <alignment horizontal="center" vertical="center"/>
    </xf>
    <xf numFmtId="0" fontId="8" fillId="4" borderId="16" xfId="0" applyFont="1" applyFill="1" applyBorder="1" applyAlignment="1">
      <alignment horizontal="center" vertical="center"/>
    </xf>
    <xf numFmtId="0" fontId="11" fillId="7" borderId="17"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9" xfId="0" applyFont="1" applyBorder="1" applyAlignment="1">
      <alignment horizontal="center" vertical="center" wrapText="1"/>
    </xf>
    <xf numFmtId="0" fontId="10" fillId="0" borderId="17" xfId="0" applyFont="1" applyBorder="1" applyAlignment="1">
      <alignment horizontal="center" vertical="center"/>
    </xf>
    <xf numFmtId="0" fontId="10" fillId="5" borderId="10" xfId="0" applyFont="1" applyFill="1" applyBorder="1" applyAlignment="1">
      <alignment horizontal="center" vertical="center"/>
    </xf>
    <xf numFmtId="0" fontId="10" fillId="8" borderId="10" xfId="0" applyFont="1" applyFill="1" applyBorder="1" applyAlignment="1">
      <alignment horizontal="center" vertical="center"/>
    </xf>
    <xf numFmtId="0" fontId="10" fillId="9"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10" borderId="17" xfId="0" applyFont="1" applyFill="1" applyBorder="1" applyAlignment="1">
      <alignment horizontal="center" vertical="center"/>
    </xf>
    <xf numFmtId="0" fontId="10" fillId="5" borderId="16"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2" fillId="0" borderId="0" xfId="0" applyFont="1" applyAlignment="1">
      <alignment wrapText="1"/>
    </xf>
    <xf numFmtId="0" fontId="13" fillId="0" borderId="0" xfId="1" applyFont="1" applyFill="1" applyAlignment="1">
      <alignment horizontal="left" vertical="center" wrapText="1"/>
    </xf>
    <xf numFmtId="0" fontId="14" fillId="0" borderId="0" xfId="1" applyFont="1" applyFill="1" applyAlignment="1">
      <alignment vertical="center" wrapText="1"/>
    </xf>
    <xf numFmtId="0" fontId="14" fillId="0" borderId="0" xfId="1" applyFont="1" applyFill="1" applyAlignment="1">
      <alignment horizontal="left" vertical="center" wrapText="1"/>
    </xf>
    <xf numFmtId="0" fontId="2" fillId="0" borderId="1" xfId="0" applyFont="1" applyBorder="1" applyAlignment="1">
      <alignment horizontal="center" vertical="center"/>
    </xf>
    <xf numFmtId="0" fontId="4" fillId="3" borderId="10"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xf>
    <xf numFmtId="0" fontId="6" fillId="0" borderId="0" xfId="0" applyFont="1" applyAlignment="1">
      <alignment horizontal="center" vertical="center" wrapText="1"/>
    </xf>
    <xf numFmtId="0" fontId="3" fillId="0" borderId="1"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wrapText="1"/>
    </xf>
    <xf numFmtId="0" fontId="2" fillId="2" borderId="1" xfId="0" applyFont="1" applyFill="1" applyBorder="1" applyAlignment="1">
      <alignment vertical="center" wrapText="1"/>
    </xf>
    <xf numFmtId="0" fontId="5" fillId="9" borderId="1" xfId="0"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9" fontId="5" fillId="9" borderId="1" xfId="2" applyFont="1" applyFill="1" applyBorder="1" applyAlignment="1">
      <alignment horizontal="center" vertical="center" wrapText="1"/>
    </xf>
    <xf numFmtId="9" fontId="5" fillId="0" borderId="1" xfId="2" applyFont="1" applyFill="1" applyBorder="1" applyAlignment="1">
      <alignment horizontal="center" vertical="center" wrapText="1"/>
    </xf>
    <xf numFmtId="9" fontId="5" fillId="5" borderId="1" xfId="2" applyFont="1" applyFill="1" applyBorder="1" applyAlignment="1">
      <alignment horizontal="center" vertical="center" wrapText="1"/>
    </xf>
    <xf numFmtId="9" fontId="5" fillId="3" borderId="1" xfId="2" applyFont="1" applyFill="1" applyBorder="1" applyAlignment="1">
      <alignment horizontal="center" vertical="center" wrapText="1"/>
    </xf>
    <xf numFmtId="0" fontId="11" fillId="0" borderId="19" xfId="0" applyFont="1" applyBorder="1" applyAlignment="1">
      <alignment horizontal="center" vertical="center" wrapText="1"/>
    </xf>
    <xf numFmtId="0" fontId="5" fillId="14" borderId="1"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19" fillId="12" borderId="1" xfId="0" applyFont="1" applyFill="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left" vertical="center" wrapText="1"/>
    </xf>
    <xf numFmtId="9" fontId="5" fillId="0" borderId="1" xfId="2" applyFont="1" applyBorder="1" applyAlignment="1">
      <alignment horizontal="center" vertical="center" wrapText="1"/>
    </xf>
    <xf numFmtId="9" fontId="2" fillId="12" borderId="1" xfId="2" applyFont="1" applyFill="1" applyBorder="1" applyAlignment="1">
      <alignment horizontal="center" vertical="center" wrapText="1"/>
    </xf>
    <xf numFmtId="9" fontId="5" fillId="0" borderId="1" xfId="2" applyFont="1" applyBorder="1" applyAlignment="1" applyProtection="1">
      <alignment horizontal="center" vertical="center" wrapText="1"/>
      <protection locked="0"/>
    </xf>
    <xf numFmtId="9" fontId="2" fillId="12" borderId="1" xfId="3" applyNumberFormat="1" applyFont="1" applyFill="1" applyBorder="1" applyAlignment="1">
      <alignment horizontal="center" vertical="center" wrapText="1"/>
    </xf>
    <xf numFmtId="9" fontId="5" fillId="9"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 fillId="16" borderId="4" xfId="0" applyFont="1" applyFill="1" applyBorder="1" applyAlignment="1">
      <alignment horizontal="center" vertical="center" wrapText="1"/>
    </xf>
    <xf numFmtId="9" fontId="5" fillId="13" borderId="1" xfId="2" applyFont="1" applyFill="1" applyBorder="1" applyAlignment="1">
      <alignment horizontal="center" vertical="center" wrapText="1"/>
    </xf>
    <xf numFmtId="44" fontId="2" fillId="12" borderId="1" xfId="4" applyFont="1" applyFill="1" applyBorder="1" applyAlignment="1">
      <alignment horizontal="center" vertical="center" wrapText="1"/>
    </xf>
    <xf numFmtId="44" fontId="5" fillId="0" borderId="1" xfId="4" applyFont="1" applyBorder="1" applyAlignment="1">
      <alignment horizontal="center" vertical="center" wrapText="1"/>
    </xf>
    <xf numFmtId="44" fontId="3" fillId="0" borderId="1" xfId="4" applyFont="1" applyBorder="1" applyAlignment="1">
      <alignment horizontal="center" vertical="center" wrapText="1"/>
    </xf>
    <xf numFmtId="44" fontId="24" fillId="0" borderId="1" xfId="4" applyFont="1" applyBorder="1" applyAlignment="1">
      <alignment horizontal="center" vertical="center" wrapText="1"/>
    </xf>
    <xf numFmtId="10" fontId="5" fillId="0" borderId="1" xfId="0" applyNumberFormat="1" applyFont="1" applyBorder="1" applyAlignment="1">
      <alignment horizontal="center" vertical="center" wrapText="1"/>
    </xf>
    <xf numFmtId="9" fontId="2" fillId="16" borderId="4" xfId="2" applyFont="1" applyFill="1" applyBorder="1" applyAlignment="1">
      <alignment horizontal="center" vertical="center" wrapText="1"/>
    </xf>
    <xf numFmtId="0" fontId="19" fillId="2" borderId="0" xfId="0" applyFont="1" applyFill="1" applyAlignment="1">
      <alignment horizontal="center" vertical="center" wrapText="1"/>
    </xf>
    <xf numFmtId="0" fontId="20" fillId="0" borderId="2"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4" xfId="0" applyFont="1" applyBorder="1" applyAlignment="1">
      <alignment horizontal="justify" vertical="center" wrapText="1"/>
    </xf>
    <xf numFmtId="9" fontId="5" fillId="18" borderId="1" xfId="2" applyFont="1" applyFill="1" applyBorder="1" applyAlignment="1">
      <alignment horizontal="center" vertical="center" wrapText="1"/>
    </xf>
    <xf numFmtId="9" fontId="5" fillId="19" borderId="1" xfId="2" applyFont="1" applyFill="1" applyBorder="1" applyAlignment="1">
      <alignment horizontal="center" vertical="center" wrapText="1"/>
    </xf>
    <xf numFmtId="0" fontId="2" fillId="14" borderId="1" xfId="0" applyFont="1" applyFill="1" applyBorder="1" applyAlignment="1">
      <alignment horizontal="center" vertical="center" wrapText="1"/>
    </xf>
    <xf numFmtId="0" fontId="3" fillId="14" borderId="1" xfId="0" applyFont="1" applyFill="1" applyBorder="1" applyAlignment="1">
      <alignment horizontal="justify" vertical="center" wrapText="1"/>
    </xf>
    <xf numFmtId="0" fontId="20" fillId="14" borderId="1" xfId="0" applyFont="1" applyFill="1" applyBorder="1" applyAlignment="1">
      <alignment horizontal="justify" vertical="center" wrapText="1"/>
    </xf>
    <xf numFmtId="0" fontId="20" fillId="14" borderId="1" xfId="0" applyFont="1" applyFill="1" applyBorder="1" applyAlignment="1">
      <alignment horizontal="center" vertical="center" wrapText="1"/>
    </xf>
    <xf numFmtId="9" fontId="5" fillId="14" borderId="1" xfId="2" applyFont="1" applyFill="1" applyBorder="1" applyAlignment="1">
      <alignment horizontal="center" vertical="center" wrapText="1"/>
    </xf>
    <xf numFmtId="0" fontId="22" fillId="14" borderId="1" xfId="0" applyFont="1" applyFill="1" applyBorder="1" applyAlignment="1">
      <alignment vertical="center" wrapText="1"/>
    </xf>
    <xf numFmtId="2" fontId="5" fillId="14" borderId="1" xfId="0" applyNumberFormat="1" applyFont="1" applyFill="1" applyBorder="1" applyAlignment="1">
      <alignment horizontal="center" vertical="center" wrapText="1"/>
    </xf>
    <xf numFmtId="164" fontId="5" fillId="14" borderId="1" xfId="0" applyNumberFormat="1" applyFont="1" applyFill="1" applyBorder="1" applyAlignment="1">
      <alignment horizontal="center" vertical="center" wrapText="1"/>
    </xf>
    <xf numFmtId="0" fontId="22" fillId="14" borderId="1" xfId="0" applyFont="1" applyFill="1" applyBorder="1" applyAlignment="1">
      <alignment horizontal="left" vertical="center" wrapText="1"/>
    </xf>
    <xf numFmtId="9" fontId="5" fillId="14" borderId="1" xfId="3" applyNumberFormat="1" applyFont="1" applyFill="1" applyBorder="1" applyAlignment="1">
      <alignment horizontal="center" vertical="center" wrapText="1"/>
    </xf>
    <xf numFmtId="164" fontId="3" fillId="14" borderId="1" xfId="0" applyNumberFormat="1" applyFont="1" applyFill="1" applyBorder="1" applyAlignment="1">
      <alignment horizontal="center" vertical="center" wrapText="1"/>
    </xf>
    <xf numFmtId="44" fontId="5" fillId="14" borderId="1" xfId="4" applyFont="1" applyFill="1" applyBorder="1" applyAlignment="1">
      <alignment horizontal="center" vertical="center" wrapText="1"/>
    </xf>
    <xf numFmtId="0" fontId="5" fillId="14" borderId="0" xfId="0" applyFont="1" applyFill="1" applyAlignment="1">
      <alignment wrapText="1"/>
    </xf>
    <xf numFmtId="0" fontId="2" fillId="1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4" borderId="1" xfId="0" applyFont="1" applyFill="1" applyBorder="1" applyAlignment="1">
      <alignment horizontal="justify" vertical="center" wrapText="1"/>
    </xf>
    <xf numFmtId="0" fontId="24"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24" fillId="14" borderId="1" xfId="0" applyFont="1" applyFill="1" applyBorder="1" applyAlignment="1">
      <alignment horizontal="center" vertical="center" wrapText="1"/>
    </xf>
    <xf numFmtId="0" fontId="0" fillId="0" borderId="0" xfId="0" applyAlignment="1">
      <alignment wrapText="1"/>
    </xf>
    <xf numFmtId="0" fontId="20" fillId="0" borderId="0" xfId="0" applyFont="1" applyAlignment="1">
      <alignment horizontal="center" vertical="center" wrapText="1"/>
    </xf>
    <xf numFmtId="9" fontId="12" fillId="0" borderId="0" xfId="3" applyNumberFormat="1" applyFont="1" applyFill="1" applyAlignment="1">
      <alignment wrapText="1"/>
    </xf>
    <xf numFmtId="164" fontId="12" fillId="0" borderId="0" xfId="0" applyNumberFormat="1" applyFont="1" applyAlignment="1">
      <alignment wrapText="1"/>
    </xf>
    <xf numFmtId="9" fontId="12" fillId="0" borderId="0" xfId="2" applyFont="1" applyFill="1" applyAlignment="1">
      <alignment wrapText="1"/>
    </xf>
    <xf numFmtId="44" fontId="12" fillId="0" borderId="0" xfId="4" applyFont="1" applyFill="1" applyAlignment="1">
      <alignment wrapText="1"/>
    </xf>
    <xf numFmtId="0" fontId="12" fillId="0" borderId="0" xfId="0" applyFont="1" applyAlignment="1">
      <alignment horizontal="justify" vertical="center" wrapText="1"/>
    </xf>
    <xf numFmtId="10" fontId="12" fillId="0" borderId="0" xfId="0" applyNumberFormat="1" applyFont="1" applyAlignment="1">
      <alignment horizontal="justify" wrapText="1"/>
    </xf>
    <xf numFmtId="0" fontId="6" fillId="0" borderId="0" xfId="0" applyFont="1" applyAlignment="1">
      <alignment vertical="center"/>
    </xf>
    <xf numFmtId="0" fontId="18" fillId="0" borderId="0" xfId="0" applyFont="1" applyAlignment="1">
      <alignment vertical="center"/>
    </xf>
    <xf numFmtId="0" fontId="16" fillId="0" borderId="0" xfId="0" applyFont="1"/>
    <xf numFmtId="0" fontId="21" fillId="0" borderId="0" xfId="0" applyFont="1"/>
    <xf numFmtId="9" fontId="16" fillId="0" borderId="0" xfId="3" applyNumberFormat="1" applyFont="1" applyFill="1" applyAlignment="1"/>
    <xf numFmtId="164" fontId="16" fillId="0" borderId="0" xfId="0" applyNumberFormat="1" applyFont="1"/>
    <xf numFmtId="9" fontId="16" fillId="0" borderId="0" xfId="2" applyFont="1" applyFill="1" applyAlignment="1"/>
    <xf numFmtId="44" fontId="16" fillId="0" borderId="0" xfId="4" applyFont="1" applyFill="1"/>
    <xf numFmtId="0" fontId="16" fillId="0" borderId="0" xfId="0" applyFont="1" applyAlignment="1">
      <alignment horizontal="justify" vertical="center"/>
    </xf>
    <xf numFmtId="9" fontId="16" fillId="0" borderId="0" xfId="2" applyFont="1" applyFill="1"/>
    <xf numFmtId="10" fontId="16" fillId="0" borderId="0" xfId="0" applyNumberFormat="1" applyFont="1" applyAlignment="1">
      <alignment horizontal="justify" wrapText="1"/>
    </xf>
    <xf numFmtId="0" fontId="24" fillId="14" borderId="1" xfId="0" applyFont="1" applyFill="1" applyBorder="1" applyAlignment="1">
      <alignment horizontal="justify" vertical="center" wrapText="1"/>
    </xf>
    <xf numFmtId="164" fontId="2" fillId="12" borderId="1" xfId="0" applyNumberFormat="1" applyFont="1" applyFill="1" applyBorder="1" applyAlignment="1">
      <alignment horizontal="center" vertical="center" wrapText="1"/>
    </xf>
    <xf numFmtId="3" fontId="28" fillId="0" borderId="1" xfId="0" applyNumberFormat="1" applyFont="1" applyBorder="1" applyAlignment="1">
      <alignment horizontal="center" vertical="center" wrapText="1"/>
    </xf>
    <xf numFmtId="9" fontId="5" fillId="4" borderId="1" xfId="2"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9" fontId="5" fillId="20"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16" fillId="0" borderId="0" xfId="0" applyFont="1" applyAlignment="1">
      <alignment horizontal="justify"/>
    </xf>
    <xf numFmtId="0" fontId="2" fillId="12" borderId="1" xfId="0" applyFont="1" applyFill="1" applyBorder="1" applyAlignment="1">
      <alignment horizontal="justify" vertical="center" wrapText="1"/>
    </xf>
    <xf numFmtId="0" fontId="25" fillId="14" borderId="22" xfId="0" applyFont="1" applyFill="1" applyBorder="1" applyAlignment="1">
      <alignment horizontal="justify" vertical="center" wrapText="1"/>
    </xf>
    <xf numFmtId="0" fontId="12" fillId="0" borderId="0" xfId="0" applyFont="1" applyAlignment="1">
      <alignment horizontal="justify" wrapText="1"/>
    </xf>
    <xf numFmtId="0" fontId="5" fillId="14" borderId="20" xfId="0" applyFont="1" applyFill="1" applyBorder="1" applyAlignment="1">
      <alignment horizontal="justify" vertical="center" wrapText="1"/>
    </xf>
    <xf numFmtId="0" fontId="5" fillId="0" borderId="1" xfId="0" applyFont="1" applyFill="1" applyBorder="1" applyAlignment="1">
      <alignment horizontal="justify" vertical="center" wrapText="1"/>
    </xf>
    <xf numFmtId="2" fontId="5" fillId="4" borderId="1" xfId="2" applyNumberFormat="1" applyFont="1" applyFill="1" applyBorder="1" applyAlignment="1">
      <alignment horizontal="center" vertical="center" wrapText="1"/>
    </xf>
    <xf numFmtId="2" fontId="5" fillId="13" borderId="1" xfId="2" applyNumberFormat="1" applyFont="1" applyFill="1" applyBorder="1" applyAlignment="1">
      <alignment horizontal="center" vertical="center" wrapText="1"/>
    </xf>
    <xf numFmtId="44" fontId="5" fillId="0" borderId="1" xfId="4"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9" fontId="5" fillId="5" borderId="1" xfId="0" applyNumberFormat="1" applyFont="1" applyFill="1" applyBorder="1" applyAlignment="1">
      <alignment horizontal="center" vertical="center" wrapText="1"/>
    </xf>
    <xf numFmtId="0" fontId="9" fillId="1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9" fillId="17" borderId="21" xfId="0" applyFont="1" applyFill="1" applyBorder="1" applyAlignment="1">
      <alignment horizontal="center" vertical="center" wrapText="1"/>
    </xf>
    <xf numFmtId="0" fontId="9" fillId="17" borderId="0" xfId="0" applyFont="1" applyFill="1" applyAlignment="1">
      <alignment horizontal="center" vertical="center" wrapText="1"/>
    </xf>
    <xf numFmtId="0" fontId="3" fillId="0" borderId="1" xfId="0" applyFont="1" applyBorder="1" applyAlignment="1">
      <alignment horizontal="justify" vertical="center" wrapText="1"/>
    </xf>
    <xf numFmtId="0" fontId="10" fillId="15" borderId="13" xfId="0" applyFont="1" applyFill="1" applyBorder="1" applyAlignment="1">
      <alignment horizontal="center" vertical="center"/>
    </xf>
    <xf numFmtId="0" fontId="10" fillId="15" borderId="14" xfId="0" applyFont="1" applyFill="1" applyBorder="1" applyAlignment="1">
      <alignment horizontal="center" vertical="center"/>
    </xf>
    <xf numFmtId="0" fontId="10" fillId="15" borderId="15" xfId="0" applyFont="1" applyFill="1" applyBorder="1" applyAlignment="1">
      <alignment horizontal="center" vertical="center"/>
    </xf>
    <xf numFmtId="0" fontId="0" fillId="0" borderId="0" xfId="0" applyAlignment="1">
      <alignment horizontal="center"/>
    </xf>
    <xf numFmtId="0" fontId="10" fillId="6" borderId="12"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22" fillId="14" borderId="1" xfId="0" applyFont="1" applyFill="1" applyBorder="1" applyAlignment="1">
      <alignment horizontal="justify" vertical="center" wrapText="1"/>
    </xf>
    <xf numFmtId="9" fontId="5" fillId="14" borderId="1" xfId="0" applyNumberFormat="1" applyFont="1" applyFill="1" applyBorder="1" applyAlignment="1">
      <alignment horizontal="center" vertical="center" wrapText="1"/>
    </xf>
  </cellXfs>
  <cellStyles count="5">
    <cellStyle name="Hipervínculo" xfId="1" builtinId="8"/>
    <cellStyle name="Millares" xfId="3" builtinId="3"/>
    <cellStyle name="Moneda" xfId="4" builtinId="4"/>
    <cellStyle name="Normal" xfId="0" builtinId="0"/>
    <cellStyle name="Porcentaje" xfId="2" builtinId="5"/>
  </cellStyles>
  <dxfs count="4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C000"/>
        </patternFill>
      </fill>
    </dxf>
    <dxf>
      <numFmt numFmtId="2" formatCode="0.00"/>
      <fill>
        <patternFill>
          <bgColor rgb="FFFF0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s>
  <tableStyles count="0" defaultTableStyle="TableStyleMedium2" defaultPivotStyle="PivotStyleLight16"/>
  <colors>
    <mruColors>
      <color rgb="FFEC94FE"/>
      <color rgb="FFCC00FF"/>
      <color rgb="FFFF3300"/>
      <color rgb="FFFA800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GRAFICOS!$J$16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GRAFICOS!$K$15:$O$15</c:f>
              <c:strCache>
                <c:ptCount val="5"/>
                <c:pt idx="0">
                  <c:v>CRITICO</c:v>
                </c:pt>
                <c:pt idx="1">
                  <c:v>BAJO</c:v>
                </c:pt>
                <c:pt idx="2">
                  <c:v>MEDIO</c:v>
                </c:pt>
                <c:pt idx="3">
                  <c:v>SATISFACTORIO</c:v>
                </c:pt>
                <c:pt idx="4">
                  <c:v>SOBRESALIENTE</c:v>
                </c:pt>
              </c:strCache>
            </c:strRef>
          </c:cat>
          <c:val>
            <c:numRef>
              <c:f>GRAFICOS!$K$16:$O$16</c:f>
              <c:numCache>
                <c:formatCode>General</c:formatCode>
                <c:ptCount val="5"/>
                <c:pt idx="0">
                  <c:v>4</c:v>
                </c:pt>
                <c:pt idx="1">
                  <c:v>2</c:v>
                </c:pt>
                <c:pt idx="2">
                  <c:v>0</c:v>
                </c:pt>
                <c:pt idx="3">
                  <c:v>0</c:v>
                </c:pt>
                <c:pt idx="4">
                  <c:v>5</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Pt>
            <c:idx val="5"/>
            <c:bubble3D val="0"/>
            <c:spPr>
              <a:solidFill>
                <a:srgbClr val="00B050"/>
              </a:solidFill>
            </c:spPr>
            <c:extLst>
              <c:ext xmlns:c16="http://schemas.microsoft.com/office/drawing/2014/chart" uri="{C3380CC4-5D6E-409C-BE32-E72D297353CC}">
                <c16:uniqueId val="{00000008-2664-40E1-9B84-67165F17003E}"/>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14-A889-4F41-9EFF-F3D6D5B07B01}"/>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12-2664-40E1-9B84-67165F1700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GRAFICOS!$J$27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GRAFICOS!$K$26:$O$26</c:f>
              <c:strCache>
                <c:ptCount val="5"/>
                <c:pt idx="0">
                  <c:v>CRITICO</c:v>
                </c:pt>
                <c:pt idx="1">
                  <c:v>BAJO</c:v>
                </c:pt>
                <c:pt idx="2">
                  <c:v>MEDIO</c:v>
                </c:pt>
                <c:pt idx="3">
                  <c:v>SATISFACTORIO</c:v>
                </c:pt>
                <c:pt idx="4">
                  <c:v>SOBRESALIENTE</c:v>
                </c:pt>
              </c:strCache>
            </c:strRef>
          </c:cat>
          <c:val>
            <c:numRef>
              <c:f>GRAFICOS!$K$27:$O$27</c:f>
              <c:numCache>
                <c:formatCode>General</c:formatCode>
                <c:ptCount val="5"/>
                <c:pt idx="0">
                  <c:v>6</c:v>
                </c:pt>
                <c:pt idx="1">
                  <c:v>0</c:v>
                </c:pt>
                <c:pt idx="2">
                  <c:v>0</c:v>
                </c:pt>
                <c:pt idx="3">
                  <c:v>0</c:v>
                </c:pt>
                <c:pt idx="4">
                  <c:v>8</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4</c:v>
                </c:pt>
                <c:pt idx="1">
                  <c:v>0</c:v>
                </c:pt>
                <c:pt idx="2">
                  <c:v>0</c:v>
                </c:pt>
                <c:pt idx="3">
                  <c:v>0</c:v>
                </c:pt>
                <c:pt idx="4">
                  <c:v>1</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2023</a:t>
            </a:r>
          </a:p>
        </c:rich>
      </c:tx>
      <c:overlay val="0"/>
      <c:spPr>
        <a:noFill/>
        <a:ln>
          <a:noFill/>
        </a:ln>
        <a:effectLst/>
      </c:spPr>
    </c:title>
    <c:autoTitleDeleted val="0"/>
    <c:plotArea>
      <c:layout/>
      <c:doughnutChart>
        <c:varyColors val="1"/>
        <c:ser>
          <c:idx val="0"/>
          <c:order val="0"/>
          <c:tx>
            <c:strRef>
              <c:f>GRAFICOS!$O$2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GRAFICOS!$N$3:$N$7</c:f>
              <c:strCache>
                <c:ptCount val="5"/>
                <c:pt idx="0">
                  <c:v>CRÍTICO</c:v>
                </c:pt>
                <c:pt idx="1">
                  <c:v>BAJO</c:v>
                </c:pt>
                <c:pt idx="2">
                  <c:v>MEDIO</c:v>
                </c:pt>
                <c:pt idx="3">
                  <c:v>SATISFACTORIO</c:v>
                </c:pt>
                <c:pt idx="4">
                  <c:v>SOBRESALIENTE</c:v>
                </c:pt>
              </c:strCache>
            </c:strRef>
          </c:cat>
          <c:val>
            <c:numRef>
              <c:f>GRAFICOS!$O$3:$O$7</c:f>
              <c:numCache>
                <c:formatCode>General</c:formatCode>
                <c:ptCount val="5"/>
                <c:pt idx="0">
                  <c:v>18</c:v>
                </c:pt>
                <c:pt idx="1">
                  <c:v>4</c:v>
                </c:pt>
                <c:pt idx="2">
                  <c:v>0</c:v>
                </c:pt>
                <c:pt idx="3">
                  <c:v>1</c:v>
                </c:pt>
                <c:pt idx="4">
                  <c:v>16</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54EA-4DE9-93CF-5698910E689D}"/>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8-54EA-4DE9-93CF-5698910E689D}"/>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9-54EA-4DE9-93CF-5698910E689D}"/>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E-54EA-4DE9-93CF-5698910E689D}"/>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0-54EA-4DE9-93CF-5698910E689D}"/>
              </c:ext>
            </c:extLst>
          </c:dPt>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1</c:v>
                </c:pt>
                <c:pt idx="1">
                  <c:v>0</c:v>
                </c:pt>
                <c:pt idx="2">
                  <c:v>0</c:v>
                </c:pt>
                <c:pt idx="3">
                  <c:v>0</c:v>
                </c:pt>
                <c:pt idx="4">
                  <c:v>1</c:v>
                </c:pt>
              </c:numCache>
            </c:numRef>
          </c:val>
          <c:extLst>
            <c:ext xmlns:c16="http://schemas.microsoft.com/office/drawing/2014/chart" uri="{C3380CC4-5D6E-409C-BE32-E72D297353CC}">
              <c16:uniqueId val="{00000000-54EA-4DE9-93CF-5698910E689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450892</xdr:colOff>
      <xdr:row>17</xdr:row>
      <xdr:rowOff>142195</xdr:rowOff>
    </xdr:from>
    <xdr:to>
      <xdr:col>14</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593344</xdr:colOff>
      <xdr:row>27</xdr:row>
      <xdr:rowOff>300908</xdr:rowOff>
    </xdr:from>
    <xdr:to>
      <xdr:col>7</xdr:col>
      <xdr:colOff>0</xdr:colOff>
      <xdr:row>40</xdr:row>
      <xdr:rowOff>166199</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129766</xdr:colOff>
      <xdr:row>27</xdr:row>
      <xdr:rowOff>292131</xdr:rowOff>
    </xdr:from>
    <xdr:to>
      <xdr:col>14</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352011</xdr:colOff>
      <xdr:row>48</xdr:row>
      <xdr:rowOff>69865</xdr:rowOff>
    </xdr:from>
    <xdr:to>
      <xdr:col>6</xdr:col>
      <xdr:colOff>1066387</xdr:colOff>
      <xdr:row>67</xdr:row>
      <xdr:rowOff>8412</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423637</xdr:colOff>
      <xdr:row>0</xdr:row>
      <xdr:rowOff>113762</xdr:rowOff>
    </xdr:from>
    <xdr:to>
      <xdr:col>22</xdr:col>
      <xdr:colOff>734213</xdr:colOff>
      <xdr:row>7</xdr:row>
      <xdr:rowOff>124650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1394115</xdr:colOff>
      <xdr:row>17</xdr:row>
      <xdr:rowOff>154563</xdr:rowOff>
    </xdr:from>
    <xdr:to>
      <xdr:col>6</xdr:col>
      <xdr:colOff>995795</xdr:colOff>
      <xdr:row>24</xdr:row>
      <xdr:rowOff>432955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76"/>
  <sheetViews>
    <sheetView tabSelected="1" topLeftCell="G2" zoomScale="40" zoomScaleNormal="40" zoomScaleSheetLayoutView="50" workbookViewId="0">
      <pane xSplit="6084" ySplit="1236" topLeftCell="AL1" activePane="bottomRight"/>
      <selection activeCell="AO35" sqref="AO35"/>
      <selection pane="topRight" activeCell="AR3" sqref="AR3"/>
      <selection pane="bottomLeft" activeCell="G5" sqref="G5"/>
      <selection pane="bottomRight" activeCell="AR4" sqref="AR4"/>
    </sheetView>
  </sheetViews>
  <sheetFormatPr baseColWidth="10" defaultColWidth="11.44140625" defaultRowHeight="102.75" customHeight="1" x14ac:dyDescent="0.3"/>
  <cols>
    <col min="1" max="1" width="6" style="25" hidden="1" customWidth="1"/>
    <col min="2" max="2" width="43" style="25" hidden="1" customWidth="1"/>
    <col min="3" max="3" width="8.109375" style="25" hidden="1" customWidth="1"/>
    <col min="4" max="4" width="41.44140625" style="25" hidden="1" customWidth="1"/>
    <col min="5" max="5" width="10.33203125" style="25" hidden="1" customWidth="1"/>
    <col min="6" max="6" width="49" style="25" hidden="1" customWidth="1"/>
    <col min="7" max="7" width="19" style="25" customWidth="1"/>
    <col min="8" max="8" width="27.44140625" style="25" customWidth="1"/>
    <col min="9" max="9" width="35" style="100" customWidth="1"/>
    <col min="10" max="10" width="27.88671875" style="101" customWidth="1"/>
    <col min="11" max="11" width="31.44140625" style="101" bestFit="1" customWidth="1"/>
    <col min="12" max="12" width="33.5546875" style="25" customWidth="1"/>
    <col min="13" max="13" width="18.33203125" style="25" customWidth="1"/>
    <col min="14" max="14" width="15.109375" style="25" customWidth="1"/>
    <col min="15" max="15" width="30.109375" style="25" customWidth="1"/>
    <col min="16" max="16" width="43.6640625" style="25" customWidth="1"/>
    <col min="17" max="17" width="106" style="25" customWidth="1"/>
    <col min="18" max="18" width="31.88671875" style="25" customWidth="1"/>
    <col min="19" max="19" width="29.44140625" style="25" customWidth="1"/>
    <col min="20" max="20" width="26.5546875" style="25" customWidth="1"/>
    <col min="21" max="21" width="35.44140625" style="25" customWidth="1"/>
    <col min="22" max="22" width="48.109375" style="25" customWidth="1"/>
    <col min="23" max="23" width="129.44140625" style="100" customWidth="1"/>
    <col min="24" max="24" width="16.109375" style="25" customWidth="1"/>
    <col min="25" max="25" width="17.6640625" style="25" customWidth="1"/>
    <col min="26" max="26" width="34.88671875" style="102" customWidth="1"/>
    <col min="27" max="27" width="39.109375" style="103" customWidth="1"/>
    <col min="28" max="28" width="35.88671875" style="103" customWidth="1"/>
    <col min="29" max="29" width="44.44140625" style="104" customWidth="1"/>
    <col min="30" max="30" width="84.5546875" style="131" customWidth="1"/>
    <col min="31" max="31" width="14.6640625" style="25" customWidth="1"/>
    <col min="32" max="32" width="14.109375" style="25" customWidth="1"/>
    <col min="33" max="33" width="19.5546875" style="102" customWidth="1"/>
    <col min="34" max="34" width="35.6640625" style="105" customWidth="1"/>
    <col min="35" max="35" width="35.109375" style="105" customWidth="1"/>
    <col min="36" max="36" width="17.5546875" style="104" customWidth="1"/>
    <col min="37" max="37" width="61.44140625" style="106" customWidth="1"/>
    <col min="38" max="38" width="14.6640625" style="25" customWidth="1"/>
    <col min="39" max="39" width="14.109375" style="25" customWidth="1"/>
    <col min="40" max="40" width="19.5546875" style="102" customWidth="1"/>
    <col min="41" max="41" width="42.5546875" style="105" customWidth="1"/>
    <col min="42" max="42" width="35.109375" style="105" customWidth="1"/>
    <col min="43" max="43" width="17.5546875" style="104" customWidth="1"/>
    <col min="44" max="44" width="61.44140625" style="106" customWidth="1"/>
    <col min="45" max="45" width="16.88671875" style="25" customWidth="1"/>
    <col min="46" max="46" width="17" style="25" customWidth="1"/>
    <col min="47" max="47" width="21.88671875" style="104" customWidth="1"/>
    <col min="48" max="48" width="61.109375" style="107" customWidth="1"/>
    <col min="49" max="16384" width="11.44140625" style="25"/>
  </cols>
  <sheetData>
    <row r="1" spans="1:48" s="110" customFormat="1" ht="50.25" customHeight="1" x14ac:dyDescent="0.85">
      <c r="A1" s="108" t="s">
        <v>251</v>
      </c>
      <c r="B1" s="108"/>
      <c r="C1" s="108"/>
      <c r="D1" s="108"/>
      <c r="E1" s="108"/>
      <c r="F1" s="108"/>
      <c r="G1" s="108"/>
      <c r="H1" s="108"/>
      <c r="I1" s="109"/>
      <c r="J1" s="109"/>
      <c r="K1" s="109"/>
      <c r="W1" s="111"/>
      <c r="Z1" s="112"/>
      <c r="AA1" s="113"/>
      <c r="AB1" s="113"/>
      <c r="AC1" s="114"/>
      <c r="AD1" s="128"/>
      <c r="AG1" s="112"/>
      <c r="AH1" s="115"/>
      <c r="AI1" s="115"/>
      <c r="AJ1" s="114"/>
      <c r="AK1" s="116"/>
      <c r="AN1" s="112"/>
      <c r="AO1" s="115"/>
      <c r="AP1" s="115"/>
      <c r="AQ1" s="114"/>
      <c r="AR1" s="116"/>
      <c r="AU1" s="117"/>
      <c r="AV1" s="118"/>
    </row>
    <row r="2" spans="1:48" ht="36.75" customHeight="1" x14ac:dyDescent="0.3">
      <c r="A2" s="33"/>
      <c r="B2" s="33"/>
      <c r="C2" s="33"/>
      <c r="D2" s="33"/>
      <c r="E2" s="33"/>
      <c r="F2" s="33"/>
      <c r="G2" s="33"/>
      <c r="H2" s="143"/>
      <c r="I2" s="143"/>
      <c r="J2" s="143"/>
      <c r="K2" s="144"/>
      <c r="L2" s="141">
        <v>2020</v>
      </c>
      <c r="M2" s="141"/>
      <c r="N2" s="141"/>
      <c r="O2" s="141"/>
      <c r="P2" s="141"/>
      <c r="Q2" s="141"/>
      <c r="R2" s="141">
        <v>2021</v>
      </c>
      <c r="S2" s="141"/>
      <c r="T2" s="141"/>
      <c r="U2" s="141"/>
      <c r="V2" s="141"/>
      <c r="W2" s="141"/>
      <c r="X2" s="141">
        <v>2022</v>
      </c>
      <c r="Y2" s="141"/>
      <c r="Z2" s="141"/>
      <c r="AA2" s="141"/>
      <c r="AB2" s="141"/>
      <c r="AC2" s="141"/>
      <c r="AD2" s="141"/>
      <c r="AE2" s="141">
        <v>2023</v>
      </c>
      <c r="AF2" s="141"/>
      <c r="AG2" s="141"/>
      <c r="AH2" s="141"/>
      <c r="AI2" s="141"/>
      <c r="AJ2" s="141"/>
      <c r="AK2" s="141"/>
      <c r="AL2" s="141" t="s">
        <v>407</v>
      </c>
      <c r="AM2" s="141"/>
      <c r="AN2" s="141"/>
      <c r="AO2" s="141"/>
      <c r="AP2" s="141"/>
      <c r="AQ2" s="141"/>
      <c r="AR2" s="141"/>
      <c r="AS2" s="155" t="s">
        <v>325</v>
      </c>
      <c r="AT2" s="156"/>
      <c r="AU2" s="156"/>
      <c r="AV2" s="156"/>
    </row>
    <row r="3" spans="1:48" s="42" customFormat="1" ht="102.75" customHeight="1" x14ac:dyDescent="0.5">
      <c r="B3" s="43" t="s">
        <v>4</v>
      </c>
      <c r="C3" s="142" t="s">
        <v>0</v>
      </c>
      <c r="D3" s="142"/>
      <c r="E3" s="142" t="s">
        <v>5</v>
      </c>
      <c r="F3" s="142"/>
      <c r="G3" s="145" t="s">
        <v>1</v>
      </c>
      <c r="H3" s="145"/>
      <c r="I3" s="75" t="s">
        <v>6</v>
      </c>
      <c r="J3" s="75" t="s">
        <v>2</v>
      </c>
      <c r="K3" s="75" t="s">
        <v>3</v>
      </c>
      <c r="L3" s="40" t="s">
        <v>253</v>
      </c>
      <c r="M3" s="40" t="s">
        <v>254</v>
      </c>
      <c r="N3" s="40" t="s">
        <v>255</v>
      </c>
      <c r="O3" s="40" t="s">
        <v>273</v>
      </c>
      <c r="P3" s="40" t="s">
        <v>274</v>
      </c>
      <c r="Q3" s="40" t="s">
        <v>256</v>
      </c>
      <c r="R3" s="40" t="s">
        <v>253</v>
      </c>
      <c r="S3" s="40" t="s">
        <v>254</v>
      </c>
      <c r="T3" s="40" t="s">
        <v>255</v>
      </c>
      <c r="U3" s="40" t="s">
        <v>273</v>
      </c>
      <c r="V3" s="40" t="s">
        <v>274</v>
      </c>
      <c r="W3" s="56" t="s">
        <v>256</v>
      </c>
      <c r="X3" s="40" t="s">
        <v>253</v>
      </c>
      <c r="Y3" s="40" t="s">
        <v>254</v>
      </c>
      <c r="Z3" s="62" t="s">
        <v>255</v>
      </c>
      <c r="AA3" s="120" t="s">
        <v>273</v>
      </c>
      <c r="AB3" s="120" t="s">
        <v>274</v>
      </c>
      <c r="AC3" s="60" t="s">
        <v>303</v>
      </c>
      <c r="AD3" s="129" t="s">
        <v>256</v>
      </c>
      <c r="AE3" s="40" t="s">
        <v>253</v>
      </c>
      <c r="AF3" s="40" t="s">
        <v>254</v>
      </c>
      <c r="AG3" s="62" t="s">
        <v>255</v>
      </c>
      <c r="AH3" s="69" t="s">
        <v>273</v>
      </c>
      <c r="AI3" s="69" t="s">
        <v>274</v>
      </c>
      <c r="AJ3" s="60" t="s">
        <v>303</v>
      </c>
      <c r="AK3" s="94" t="s">
        <v>256</v>
      </c>
      <c r="AL3" s="40" t="s">
        <v>253</v>
      </c>
      <c r="AM3" s="40" t="s">
        <v>254</v>
      </c>
      <c r="AN3" s="62" t="s">
        <v>255</v>
      </c>
      <c r="AO3" s="69" t="s">
        <v>273</v>
      </c>
      <c r="AP3" s="69" t="s">
        <v>274</v>
      </c>
      <c r="AQ3" s="60" t="s">
        <v>303</v>
      </c>
      <c r="AR3" s="94" t="s">
        <v>256</v>
      </c>
      <c r="AS3" s="67" t="s">
        <v>322</v>
      </c>
      <c r="AT3" s="67" t="s">
        <v>323</v>
      </c>
      <c r="AU3" s="74" t="s">
        <v>257</v>
      </c>
      <c r="AV3" s="94" t="s">
        <v>324</v>
      </c>
    </row>
    <row r="4" spans="1:48" s="42" customFormat="1" ht="241.5" customHeight="1" x14ac:dyDescent="0.5">
      <c r="A4" s="147" t="s">
        <v>7</v>
      </c>
      <c r="B4" s="149" t="s">
        <v>8</v>
      </c>
      <c r="C4" s="147" t="s">
        <v>144</v>
      </c>
      <c r="D4" s="147" t="s">
        <v>9</v>
      </c>
      <c r="E4" s="39" t="s">
        <v>155</v>
      </c>
      <c r="F4" s="36" t="s">
        <v>10</v>
      </c>
      <c r="G4" s="32" t="s">
        <v>11</v>
      </c>
      <c r="H4" s="36" t="s">
        <v>140</v>
      </c>
      <c r="I4" s="76" t="s">
        <v>217</v>
      </c>
      <c r="J4" s="53" t="s">
        <v>73</v>
      </c>
      <c r="K4" s="53" t="s">
        <v>75</v>
      </c>
      <c r="L4" s="41">
        <v>1</v>
      </c>
      <c r="M4" s="41">
        <v>1</v>
      </c>
      <c r="N4" s="47">
        <f>(M4/L4)*100</f>
        <v>100</v>
      </c>
      <c r="O4" s="41"/>
      <c r="P4" s="41"/>
      <c r="Q4" s="57" t="s">
        <v>259</v>
      </c>
      <c r="R4" s="41">
        <v>1</v>
      </c>
      <c r="S4" s="41">
        <v>0</v>
      </c>
      <c r="T4" s="44">
        <f>(S4/R4)*100</f>
        <v>0</v>
      </c>
      <c r="U4" s="41"/>
      <c r="V4" s="46"/>
      <c r="W4" s="57" t="s">
        <v>260</v>
      </c>
      <c r="X4" s="41">
        <v>1</v>
      </c>
      <c r="Y4" s="41">
        <v>0.5</v>
      </c>
      <c r="Z4" s="63">
        <f>(Y4/X4)*100</f>
        <v>50</v>
      </c>
      <c r="AA4" s="65">
        <v>525000</v>
      </c>
      <c r="AB4" s="46">
        <v>525000</v>
      </c>
      <c r="AC4" s="59">
        <v>1</v>
      </c>
      <c r="AD4" s="96" t="s">
        <v>381</v>
      </c>
      <c r="AE4" s="41">
        <v>1</v>
      </c>
      <c r="AF4" s="41">
        <v>1</v>
      </c>
      <c r="AG4" s="63">
        <f>(AF4/AE4)*100</f>
        <v>100</v>
      </c>
      <c r="AH4" s="70">
        <v>0</v>
      </c>
      <c r="AI4" s="70">
        <v>0</v>
      </c>
      <c r="AJ4" s="59">
        <v>0</v>
      </c>
      <c r="AK4" s="133" t="s">
        <v>386</v>
      </c>
      <c r="AL4" s="41">
        <v>0</v>
      </c>
      <c r="AM4" s="41">
        <v>0</v>
      </c>
      <c r="AN4" s="63" t="e">
        <f>(AM4/AL4)*100</f>
        <v>#DIV/0!</v>
      </c>
      <c r="AO4" s="70">
        <v>0</v>
      </c>
      <c r="AP4" s="70">
        <v>0</v>
      </c>
      <c r="AQ4" s="59">
        <v>0</v>
      </c>
      <c r="AR4" s="96" t="s">
        <v>408</v>
      </c>
      <c r="AS4" s="41">
        <v>1</v>
      </c>
      <c r="AT4" s="126">
        <v>1</v>
      </c>
      <c r="AU4" s="68">
        <v>100</v>
      </c>
      <c r="AV4" s="133" t="s">
        <v>390</v>
      </c>
    </row>
    <row r="5" spans="1:48" s="42" customFormat="1" ht="249.75" customHeight="1" x14ac:dyDescent="0.5">
      <c r="A5" s="147"/>
      <c r="B5" s="149"/>
      <c r="C5" s="147"/>
      <c r="D5" s="147"/>
      <c r="E5" s="39" t="s">
        <v>156</v>
      </c>
      <c r="F5" s="34" t="s">
        <v>12</v>
      </c>
      <c r="G5" s="29" t="s">
        <v>141</v>
      </c>
      <c r="H5" s="34" t="s">
        <v>41</v>
      </c>
      <c r="I5" s="77" t="s">
        <v>218</v>
      </c>
      <c r="J5" s="54" t="s">
        <v>74</v>
      </c>
      <c r="K5" s="54" t="s">
        <v>75</v>
      </c>
      <c r="L5" s="41">
        <v>1</v>
      </c>
      <c r="M5" s="41">
        <v>0</v>
      </c>
      <c r="N5" s="48">
        <f t="shared" ref="N5:N42" si="0">(M5/L5)*100</f>
        <v>0</v>
      </c>
      <c r="O5" s="41"/>
      <c r="P5" s="41"/>
      <c r="Q5" s="57" t="s">
        <v>260</v>
      </c>
      <c r="R5" s="41">
        <v>1</v>
      </c>
      <c r="S5" s="41">
        <v>0</v>
      </c>
      <c r="T5" s="41">
        <f t="shared" ref="T5:T42" si="1">(S5/R5)*100</f>
        <v>0</v>
      </c>
      <c r="U5" s="41"/>
      <c r="V5" s="46">
        <v>0</v>
      </c>
      <c r="W5" s="57" t="s">
        <v>260</v>
      </c>
      <c r="X5" s="41">
        <v>1</v>
      </c>
      <c r="Y5" s="41">
        <v>1</v>
      </c>
      <c r="Z5" s="63">
        <f>(Y5/X5)*100</f>
        <v>100</v>
      </c>
      <c r="AA5" s="65">
        <v>1320000</v>
      </c>
      <c r="AB5" s="46">
        <v>1320000</v>
      </c>
      <c r="AC5" s="59">
        <f>AA5/AB5</f>
        <v>1</v>
      </c>
      <c r="AD5" s="96" t="s">
        <v>380</v>
      </c>
      <c r="AE5" s="41">
        <v>1</v>
      </c>
      <c r="AF5" s="126">
        <v>1</v>
      </c>
      <c r="AG5" s="63">
        <f>(AF5/AE5)*100</f>
        <v>100</v>
      </c>
      <c r="AH5" s="70">
        <f>360000+360000+360000+360000</f>
        <v>1440000</v>
      </c>
      <c r="AI5" s="70">
        <f>360000+360000+360000+360000</f>
        <v>1440000</v>
      </c>
      <c r="AJ5" s="59">
        <f t="shared" ref="AJ5:AJ36" si="2">+(AI5/AH5)</f>
        <v>1</v>
      </c>
      <c r="AK5" s="133" t="s">
        <v>388</v>
      </c>
      <c r="AL5" s="41">
        <v>1</v>
      </c>
      <c r="AM5" s="126">
        <v>1</v>
      </c>
      <c r="AN5" s="63">
        <f>(AM5/AL5)*100</f>
        <v>100</v>
      </c>
      <c r="AO5" s="70">
        <v>1200000</v>
      </c>
      <c r="AP5" s="70">
        <v>1200000</v>
      </c>
      <c r="AQ5" s="59">
        <f t="shared" ref="AQ5:AQ6" si="3">+(AP5/AO5)</f>
        <v>1</v>
      </c>
      <c r="AR5" s="96" t="s">
        <v>427</v>
      </c>
      <c r="AS5" s="41">
        <v>1</v>
      </c>
      <c r="AT5" s="126">
        <v>1</v>
      </c>
      <c r="AU5" s="134">
        <v>100</v>
      </c>
      <c r="AV5" s="133" t="s">
        <v>388</v>
      </c>
    </row>
    <row r="6" spans="1:48" s="42" customFormat="1" ht="409.6" customHeight="1" x14ac:dyDescent="0.5">
      <c r="A6" s="147" t="s">
        <v>13</v>
      </c>
      <c r="B6" s="150" t="s">
        <v>14</v>
      </c>
      <c r="C6" s="151" t="s">
        <v>145</v>
      </c>
      <c r="D6" s="151" t="s">
        <v>15</v>
      </c>
      <c r="E6" s="151" t="s">
        <v>157</v>
      </c>
      <c r="F6" s="154" t="s">
        <v>16</v>
      </c>
      <c r="G6" s="37" t="s">
        <v>142</v>
      </c>
      <c r="H6" s="35" t="s">
        <v>51</v>
      </c>
      <c r="I6" s="78" t="s">
        <v>67</v>
      </c>
      <c r="J6" s="55" t="s">
        <v>76</v>
      </c>
      <c r="K6" s="55" t="s">
        <v>77</v>
      </c>
      <c r="L6" s="41">
        <v>24</v>
      </c>
      <c r="M6" s="41">
        <v>0</v>
      </c>
      <c r="N6" s="49">
        <f t="shared" si="0"/>
        <v>0</v>
      </c>
      <c r="O6" s="41"/>
      <c r="P6" s="41"/>
      <c r="Q6" s="57" t="s">
        <v>260</v>
      </c>
      <c r="R6" s="41">
        <v>24</v>
      </c>
      <c r="S6" s="41">
        <v>0</v>
      </c>
      <c r="T6" s="44">
        <f t="shared" si="1"/>
        <v>0</v>
      </c>
      <c r="U6" s="41"/>
      <c r="V6" s="46">
        <v>463750</v>
      </c>
      <c r="W6" s="57" t="s">
        <v>260</v>
      </c>
      <c r="X6" s="41">
        <v>24</v>
      </c>
      <c r="Y6" s="41">
        <v>20</v>
      </c>
      <c r="Z6" s="63">
        <f>(Y6/X6)*100</f>
        <v>83.333333333333343</v>
      </c>
      <c r="AA6" s="65">
        <f>4861983+1100000+865500+463750</f>
        <v>7291233</v>
      </c>
      <c r="AB6" s="46">
        <f>655166+1100000+865500+463750</f>
        <v>3084416</v>
      </c>
      <c r="AC6" s="59">
        <f>AB6/AA6</f>
        <v>0.42303078231075597</v>
      </c>
      <c r="AD6" s="96" t="s">
        <v>316</v>
      </c>
      <c r="AE6" s="41">
        <v>24</v>
      </c>
      <c r="AF6" s="41">
        <v>17</v>
      </c>
      <c r="AG6" s="63">
        <f>(AF6/AE6)*100</f>
        <v>70.833333333333343</v>
      </c>
      <c r="AH6" s="70">
        <f>360000+320000+320000+233333</f>
        <v>1233333</v>
      </c>
      <c r="AI6" s="70">
        <f>360000+320000+320000+233333</f>
        <v>1233333</v>
      </c>
      <c r="AJ6" s="59">
        <f t="shared" si="2"/>
        <v>1</v>
      </c>
      <c r="AK6" s="133" t="s">
        <v>398</v>
      </c>
      <c r="AL6" s="41">
        <v>24</v>
      </c>
      <c r="AM6" s="41">
        <v>1</v>
      </c>
      <c r="AN6" s="63">
        <f>(AM6/AL6)*100</f>
        <v>4.1666666666666661</v>
      </c>
      <c r="AO6" s="70">
        <v>600000</v>
      </c>
      <c r="AP6" s="70">
        <v>600000</v>
      </c>
      <c r="AQ6" s="59">
        <f t="shared" si="3"/>
        <v>1</v>
      </c>
      <c r="AR6" s="133" t="s">
        <v>424</v>
      </c>
      <c r="AS6" s="52">
        <v>24</v>
      </c>
      <c r="AT6" s="52">
        <f>(Y6+AF6+M6+S6+AM6)/5</f>
        <v>7.6</v>
      </c>
      <c r="AU6" s="68">
        <f>AT6/AS6*100</f>
        <v>31.666666666666664</v>
      </c>
      <c r="AV6" s="96" t="s">
        <v>425</v>
      </c>
    </row>
    <row r="7" spans="1:48" s="42" customFormat="1" ht="259.5" customHeight="1" x14ac:dyDescent="0.5">
      <c r="A7" s="147"/>
      <c r="B7" s="149"/>
      <c r="C7" s="147"/>
      <c r="D7" s="147"/>
      <c r="E7" s="147"/>
      <c r="F7" s="157"/>
      <c r="G7" s="39" t="s">
        <v>143</v>
      </c>
      <c r="H7" s="34" t="s">
        <v>52</v>
      </c>
      <c r="I7" s="77" t="s">
        <v>219</v>
      </c>
      <c r="J7" s="54" t="s">
        <v>78</v>
      </c>
      <c r="K7" s="54" t="s">
        <v>79</v>
      </c>
      <c r="L7" s="41">
        <v>0</v>
      </c>
      <c r="M7" s="41">
        <v>0</v>
      </c>
      <c r="N7" s="47">
        <v>0</v>
      </c>
      <c r="O7" s="41"/>
      <c r="P7" s="41"/>
      <c r="Q7" s="57" t="s">
        <v>260</v>
      </c>
      <c r="R7" s="41">
        <v>1</v>
      </c>
      <c r="S7" s="41">
        <v>0</v>
      </c>
      <c r="T7" s="44">
        <f t="shared" si="1"/>
        <v>0</v>
      </c>
      <c r="U7" s="41"/>
      <c r="V7" s="46">
        <v>0</v>
      </c>
      <c r="W7" s="57" t="s">
        <v>260</v>
      </c>
      <c r="X7" s="41">
        <v>1</v>
      </c>
      <c r="Y7" s="41">
        <v>0</v>
      </c>
      <c r="Z7" s="63">
        <v>0</v>
      </c>
      <c r="AA7" s="65">
        <v>0</v>
      </c>
      <c r="AB7" s="46">
        <v>0</v>
      </c>
      <c r="AC7" s="59">
        <v>0</v>
      </c>
      <c r="AD7" s="96" t="s">
        <v>368</v>
      </c>
      <c r="AE7" s="52">
        <v>0</v>
      </c>
      <c r="AF7" s="41">
        <v>0</v>
      </c>
      <c r="AG7" s="63">
        <v>0</v>
      </c>
      <c r="AH7" s="70">
        <v>0</v>
      </c>
      <c r="AI7" s="70">
        <v>0</v>
      </c>
      <c r="AJ7" s="59">
        <v>0</v>
      </c>
      <c r="AK7" s="96" t="s">
        <v>321</v>
      </c>
      <c r="AL7" s="52">
        <v>0</v>
      </c>
      <c r="AM7" s="41">
        <v>0</v>
      </c>
      <c r="AN7" s="63">
        <v>0</v>
      </c>
      <c r="AO7" s="70">
        <v>0</v>
      </c>
      <c r="AP7" s="70">
        <v>0</v>
      </c>
      <c r="AQ7" s="59">
        <v>0</v>
      </c>
      <c r="AR7" s="96" t="s">
        <v>426</v>
      </c>
      <c r="AS7" s="41">
        <v>1</v>
      </c>
      <c r="AT7" s="41">
        <v>0</v>
      </c>
      <c r="AU7" s="68">
        <v>0</v>
      </c>
      <c r="AV7" s="96" t="s">
        <v>363</v>
      </c>
    </row>
    <row r="8" spans="1:48" s="42" customFormat="1" ht="393.75" customHeight="1" x14ac:dyDescent="0.5">
      <c r="A8" s="147"/>
      <c r="B8" s="149"/>
      <c r="C8" s="147"/>
      <c r="D8" s="147"/>
      <c r="E8" s="147" t="s">
        <v>158</v>
      </c>
      <c r="F8" s="157" t="s">
        <v>42</v>
      </c>
      <c r="G8" s="39" t="s">
        <v>171</v>
      </c>
      <c r="H8" s="34" t="s">
        <v>43</v>
      </c>
      <c r="I8" s="77" t="s">
        <v>220</v>
      </c>
      <c r="J8" s="54" t="s">
        <v>80</v>
      </c>
      <c r="K8" s="54" t="s">
        <v>79</v>
      </c>
      <c r="L8" s="41">
        <v>1</v>
      </c>
      <c r="M8" s="41">
        <v>1</v>
      </c>
      <c r="N8" s="47">
        <f t="shared" si="0"/>
        <v>100</v>
      </c>
      <c r="O8" s="41"/>
      <c r="P8" s="41"/>
      <c r="Q8" s="57" t="s">
        <v>261</v>
      </c>
      <c r="R8" s="41">
        <v>1</v>
      </c>
      <c r="S8" s="41">
        <v>1</v>
      </c>
      <c r="T8" s="44">
        <f t="shared" si="1"/>
        <v>100</v>
      </c>
      <c r="U8" s="41"/>
      <c r="V8" s="46">
        <v>1889580</v>
      </c>
      <c r="W8" s="58" t="s">
        <v>267</v>
      </c>
      <c r="X8" s="41">
        <v>1</v>
      </c>
      <c r="Y8" s="41">
        <v>1</v>
      </c>
      <c r="Z8" s="63">
        <v>100</v>
      </c>
      <c r="AA8" s="65">
        <f>4403400+733333+ 865500+463750</f>
        <v>6465983</v>
      </c>
      <c r="AB8" s="46">
        <f>1742277+733333+ 865500+463750</f>
        <v>3804860</v>
      </c>
      <c r="AC8" s="61">
        <v>0.4</v>
      </c>
      <c r="AD8" s="96" t="s">
        <v>309</v>
      </c>
      <c r="AE8" s="41">
        <v>1</v>
      </c>
      <c r="AF8" s="41">
        <v>1</v>
      </c>
      <c r="AG8" s="63">
        <f t="shared" ref="AG8:AG40" si="4">(AF8/AE8)*100</f>
        <v>100</v>
      </c>
      <c r="AH8" s="70">
        <v>1313333</v>
      </c>
      <c r="AI8" s="70">
        <v>1313333</v>
      </c>
      <c r="AJ8" s="59">
        <f t="shared" si="2"/>
        <v>1</v>
      </c>
      <c r="AK8" s="95" t="s">
        <v>378</v>
      </c>
      <c r="AL8" s="41">
        <v>1</v>
      </c>
      <c r="AM8" s="41">
        <v>1</v>
      </c>
      <c r="AN8" s="63">
        <f t="shared" ref="AN8:AN9" si="5">(AM8/AL8)*100</f>
        <v>100</v>
      </c>
      <c r="AO8" s="70">
        <v>1200000</v>
      </c>
      <c r="AP8" s="70">
        <v>1200000</v>
      </c>
      <c r="AQ8" s="59">
        <f t="shared" ref="AQ8" si="6">+(AP8/AO8)</f>
        <v>1</v>
      </c>
      <c r="AR8" s="96" t="s">
        <v>409</v>
      </c>
      <c r="AS8" s="41">
        <v>1</v>
      </c>
      <c r="AT8" s="41">
        <v>1</v>
      </c>
      <c r="AU8" s="68">
        <f>(N8+T8+Z8+AG8)/4</f>
        <v>100</v>
      </c>
      <c r="AV8" s="95" t="s">
        <v>327</v>
      </c>
    </row>
    <row r="9" spans="1:48" s="42" customFormat="1" ht="213" customHeight="1" x14ac:dyDescent="0.5">
      <c r="A9" s="147"/>
      <c r="B9" s="149"/>
      <c r="C9" s="147"/>
      <c r="D9" s="147"/>
      <c r="E9" s="147"/>
      <c r="F9" s="157"/>
      <c r="G9" s="39" t="s">
        <v>172</v>
      </c>
      <c r="H9" s="34" t="s">
        <v>44</v>
      </c>
      <c r="I9" s="77" t="s">
        <v>221</v>
      </c>
      <c r="J9" s="54" t="s">
        <v>81</v>
      </c>
      <c r="K9" s="54" t="s">
        <v>79</v>
      </c>
      <c r="L9" s="41">
        <v>1</v>
      </c>
      <c r="M9" s="41">
        <v>1</v>
      </c>
      <c r="N9" s="47">
        <f t="shared" si="0"/>
        <v>100</v>
      </c>
      <c r="O9" s="41"/>
      <c r="P9" s="41"/>
      <c r="Q9" s="57" t="s">
        <v>338</v>
      </c>
      <c r="R9" s="41">
        <v>1</v>
      </c>
      <c r="S9" s="41">
        <v>1</v>
      </c>
      <c r="T9" s="44">
        <f t="shared" si="1"/>
        <v>100</v>
      </c>
      <c r="U9" s="41"/>
      <c r="V9" s="46">
        <v>1803117</v>
      </c>
      <c r="W9" s="58" t="s">
        <v>339</v>
      </c>
      <c r="X9" s="41">
        <v>1</v>
      </c>
      <c r="Y9" s="41">
        <v>1</v>
      </c>
      <c r="Z9" s="63">
        <f t="shared" ref="Z9:Z41" si="7">(Y9/X9)*100</f>
        <v>100</v>
      </c>
      <c r="AA9" s="65">
        <v>0</v>
      </c>
      <c r="AB9" s="46">
        <v>0</v>
      </c>
      <c r="AC9" s="59">
        <v>0</v>
      </c>
      <c r="AD9" s="82" t="s">
        <v>298</v>
      </c>
      <c r="AE9" s="31">
        <v>1</v>
      </c>
      <c r="AF9" s="31">
        <v>1</v>
      </c>
      <c r="AG9" s="63">
        <f t="shared" si="4"/>
        <v>100</v>
      </c>
      <c r="AH9" s="71">
        <v>0</v>
      </c>
      <c r="AI9" s="71">
        <v>0</v>
      </c>
      <c r="AJ9" s="59">
        <v>0</v>
      </c>
      <c r="AK9" s="124" t="s">
        <v>298</v>
      </c>
      <c r="AL9" s="31">
        <v>1</v>
      </c>
      <c r="AM9" s="31">
        <v>1</v>
      </c>
      <c r="AN9" s="63">
        <f t="shared" si="5"/>
        <v>100</v>
      </c>
      <c r="AO9" s="71">
        <v>0</v>
      </c>
      <c r="AP9" s="71">
        <v>0</v>
      </c>
      <c r="AQ9" s="59">
        <v>0</v>
      </c>
      <c r="AR9" s="95" t="s">
        <v>430</v>
      </c>
      <c r="AS9" s="31">
        <v>1</v>
      </c>
      <c r="AT9" s="31">
        <v>1</v>
      </c>
      <c r="AU9" s="68">
        <f>(N9+T9+Z9+AG9)/4</f>
        <v>100</v>
      </c>
      <c r="AV9" s="95" t="s">
        <v>328</v>
      </c>
    </row>
    <row r="10" spans="1:48" s="93" customFormat="1" ht="246" x14ac:dyDescent="0.5">
      <c r="A10" s="147"/>
      <c r="B10" s="149"/>
      <c r="C10" s="147" t="s">
        <v>146</v>
      </c>
      <c r="D10" s="147" t="s">
        <v>17</v>
      </c>
      <c r="E10" s="147" t="s">
        <v>159</v>
      </c>
      <c r="F10" s="157" t="s">
        <v>18</v>
      </c>
      <c r="G10" s="81" t="s">
        <v>173</v>
      </c>
      <c r="H10" s="82" t="s">
        <v>53</v>
      </c>
      <c r="I10" s="83" t="s">
        <v>47</v>
      </c>
      <c r="J10" s="84" t="s">
        <v>82</v>
      </c>
      <c r="K10" s="84" t="s">
        <v>95</v>
      </c>
      <c r="L10" s="52">
        <v>12</v>
      </c>
      <c r="M10" s="52">
        <v>12</v>
      </c>
      <c r="N10" s="85">
        <f t="shared" si="0"/>
        <v>100</v>
      </c>
      <c r="O10" s="52"/>
      <c r="P10" s="52"/>
      <c r="Q10" s="86" t="s">
        <v>275</v>
      </c>
      <c r="R10" s="52">
        <v>12</v>
      </c>
      <c r="S10" s="52">
        <v>2</v>
      </c>
      <c r="T10" s="87">
        <f t="shared" si="1"/>
        <v>16.666666666666664</v>
      </c>
      <c r="U10" s="52"/>
      <c r="V10" s="88">
        <v>5539767</v>
      </c>
      <c r="W10" s="89" t="s">
        <v>340</v>
      </c>
      <c r="X10" s="52">
        <v>2</v>
      </c>
      <c r="Y10" s="52">
        <v>10</v>
      </c>
      <c r="Z10" s="90">
        <v>100</v>
      </c>
      <c r="AA10" s="91">
        <v>2536457</v>
      </c>
      <c r="AB10" s="88">
        <v>2169791</v>
      </c>
      <c r="AC10" s="85">
        <f t="shared" ref="AC10:AC39" si="8">AB10/AA10</f>
        <v>0.85544166528350374</v>
      </c>
      <c r="AD10" s="96" t="s">
        <v>317</v>
      </c>
      <c r="AE10" s="52">
        <v>12</v>
      </c>
      <c r="AF10" s="52">
        <v>5</v>
      </c>
      <c r="AG10" s="63">
        <f>(AF10/AE10)*100</f>
        <v>41.666666666666671</v>
      </c>
      <c r="AH10" s="92">
        <f>360000+360000</f>
        <v>720000</v>
      </c>
      <c r="AI10" s="92">
        <f>360000+360000</f>
        <v>720000</v>
      </c>
      <c r="AJ10" s="59">
        <f t="shared" si="2"/>
        <v>1</v>
      </c>
      <c r="AK10" s="133" t="s">
        <v>350</v>
      </c>
      <c r="AL10" s="52">
        <v>12</v>
      </c>
      <c r="AM10" s="52">
        <v>4</v>
      </c>
      <c r="AN10" s="63">
        <f>(AM10/AL10)*100</f>
        <v>33.333333333333329</v>
      </c>
      <c r="AO10" s="92">
        <v>1387500</v>
      </c>
      <c r="AP10" s="92">
        <v>1387500</v>
      </c>
      <c r="AQ10" s="59">
        <f t="shared" ref="AQ10" si="9">+(AP10/AO10)</f>
        <v>1</v>
      </c>
      <c r="AR10" s="139" t="s">
        <v>410</v>
      </c>
      <c r="AS10" s="52">
        <v>12</v>
      </c>
      <c r="AT10" s="52">
        <f>(AF10+Y10+M10+S10+AM10)/5</f>
        <v>6.6</v>
      </c>
      <c r="AU10" s="85">
        <f>+(AT10/AS10)*100</f>
        <v>54.999999999999993</v>
      </c>
      <c r="AV10" s="96" t="s">
        <v>428</v>
      </c>
    </row>
    <row r="11" spans="1:48" s="42" customFormat="1" ht="408.75" customHeight="1" x14ac:dyDescent="0.5">
      <c r="A11" s="147"/>
      <c r="B11" s="149"/>
      <c r="C11" s="147"/>
      <c r="D11" s="147"/>
      <c r="E11" s="147"/>
      <c r="F11" s="157"/>
      <c r="G11" s="39" t="s">
        <v>174</v>
      </c>
      <c r="H11" s="34" t="s">
        <v>202</v>
      </c>
      <c r="I11" s="77" t="s">
        <v>54</v>
      </c>
      <c r="J11" s="54" t="s">
        <v>84</v>
      </c>
      <c r="K11" s="54" t="s">
        <v>97</v>
      </c>
      <c r="L11" s="41">
        <v>1</v>
      </c>
      <c r="M11" s="41">
        <v>1</v>
      </c>
      <c r="N11" s="47">
        <f t="shared" si="0"/>
        <v>100</v>
      </c>
      <c r="O11" s="41"/>
      <c r="P11" s="41"/>
      <c r="Q11" s="57" t="s">
        <v>262</v>
      </c>
      <c r="R11" s="41">
        <v>1</v>
      </c>
      <c r="S11" s="41">
        <v>0</v>
      </c>
      <c r="T11" s="44">
        <v>0</v>
      </c>
      <c r="U11" s="41"/>
      <c r="V11" s="46">
        <v>7253333</v>
      </c>
      <c r="W11" s="57" t="s">
        <v>260</v>
      </c>
      <c r="X11" s="41">
        <v>1</v>
      </c>
      <c r="Y11" s="41">
        <v>1</v>
      </c>
      <c r="Z11" s="63">
        <f t="shared" si="7"/>
        <v>100</v>
      </c>
      <c r="AA11" s="65">
        <f>500000+8100000</f>
        <v>8600000</v>
      </c>
      <c r="AB11" s="65">
        <f>500000+1250000</f>
        <v>1750000</v>
      </c>
      <c r="AC11" s="59">
        <f t="shared" si="8"/>
        <v>0.20348837209302326</v>
      </c>
      <c r="AD11" s="96" t="s">
        <v>353</v>
      </c>
      <c r="AE11" s="41">
        <v>1</v>
      </c>
      <c r="AF11" s="126">
        <v>0</v>
      </c>
      <c r="AG11" s="63">
        <f t="shared" si="4"/>
        <v>0</v>
      </c>
      <c r="AH11" s="70">
        <v>0</v>
      </c>
      <c r="AI11" s="92">
        <v>0</v>
      </c>
      <c r="AJ11" s="59">
        <v>0</v>
      </c>
      <c r="AK11" s="133" t="s">
        <v>304</v>
      </c>
      <c r="AL11" s="41">
        <v>1</v>
      </c>
      <c r="AM11" s="126">
        <v>0</v>
      </c>
      <c r="AN11" s="63">
        <f t="shared" ref="AN11:AN22" si="10">(AM11/AL11)*100</f>
        <v>0</v>
      </c>
      <c r="AO11" s="70">
        <v>0</v>
      </c>
      <c r="AP11" s="92">
        <v>0</v>
      </c>
      <c r="AQ11" s="59">
        <v>0</v>
      </c>
      <c r="AR11" s="96" t="s">
        <v>414</v>
      </c>
      <c r="AS11" s="52">
        <v>1</v>
      </c>
      <c r="AT11" s="52">
        <f>(M11+S11+Y11+AF11)/4</f>
        <v>0.5</v>
      </c>
      <c r="AU11" s="80">
        <f>(N11+T11+Z11+AG11)/4</f>
        <v>50</v>
      </c>
      <c r="AV11" s="95" t="s">
        <v>382</v>
      </c>
    </row>
    <row r="12" spans="1:48" s="42" customFormat="1" ht="216.75" customHeight="1" x14ac:dyDescent="0.5">
      <c r="A12" s="147"/>
      <c r="B12" s="149"/>
      <c r="C12" s="147"/>
      <c r="D12" s="147"/>
      <c r="E12" s="147" t="s">
        <v>160</v>
      </c>
      <c r="F12" s="157" t="s">
        <v>19</v>
      </c>
      <c r="G12" s="148" t="s">
        <v>175</v>
      </c>
      <c r="H12" s="152" t="s">
        <v>45</v>
      </c>
      <c r="I12" s="76" t="s">
        <v>55</v>
      </c>
      <c r="J12" s="54" t="s">
        <v>85</v>
      </c>
      <c r="K12" s="54" t="s">
        <v>83</v>
      </c>
      <c r="L12" s="41">
        <v>1</v>
      </c>
      <c r="M12" s="41">
        <v>1</v>
      </c>
      <c r="N12" s="47">
        <f t="shared" si="0"/>
        <v>100</v>
      </c>
      <c r="O12" s="41"/>
      <c r="P12" s="41"/>
      <c r="Q12" s="58" t="s">
        <v>252</v>
      </c>
      <c r="R12" s="41">
        <v>1</v>
      </c>
      <c r="S12" s="41">
        <v>1</v>
      </c>
      <c r="T12" s="44">
        <f t="shared" si="1"/>
        <v>100</v>
      </c>
      <c r="U12" s="41"/>
      <c r="V12" s="46">
        <v>0</v>
      </c>
      <c r="W12" s="58" t="s">
        <v>252</v>
      </c>
      <c r="X12" s="41">
        <v>1</v>
      </c>
      <c r="Y12" s="41">
        <v>1</v>
      </c>
      <c r="Z12" s="63">
        <f t="shared" si="7"/>
        <v>100</v>
      </c>
      <c r="AA12" s="65">
        <v>0</v>
      </c>
      <c r="AB12" s="46">
        <v>0</v>
      </c>
      <c r="AC12" s="59">
        <v>0</v>
      </c>
      <c r="AD12" s="96" t="s">
        <v>252</v>
      </c>
      <c r="AE12" s="41">
        <v>1</v>
      </c>
      <c r="AF12" s="41">
        <v>1</v>
      </c>
      <c r="AG12" s="63">
        <f t="shared" si="4"/>
        <v>100</v>
      </c>
      <c r="AH12" s="70">
        <v>0</v>
      </c>
      <c r="AI12" s="70">
        <v>0</v>
      </c>
      <c r="AJ12" s="59">
        <v>0</v>
      </c>
      <c r="AK12" s="95" t="s">
        <v>252</v>
      </c>
      <c r="AL12" s="41">
        <v>1</v>
      </c>
      <c r="AM12" s="41">
        <v>1</v>
      </c>
      <c r="AN12" s="63">
        <f t="shared" si="10"/>
        <v>100</v>
      </c>
      <c r="AO12" s="70">
        <v>0</v>
      </c>
      <c r="AP12" s="70">
        <v>0</v>
      </c>
      <c r="AQ12" s="59">
        <v>0</v>
      </c>
      <c r="AR12" s="95" t="s">
        <v>252</v>
      </c>
      <c r="AS12" s="41">
        <v>1</v>
      </c>
      <c r="AT12" s="41">
        <v>1</v>
      </c>
      <c r="AU12" s="68">
        <f>(N12+T12+Z12+AG12)/4</f>
        <v>100</v>
      </c>
      <c r="AV12" s="95" t="s">
        <v>329</v>
      </c>
    </row>
    <row r="13" spans="1:48" s="42" customFormat="1" ht="267.75" customHeight="1" x14ac:dyDescent="0.5">
      <c r="A13" s="147"/>
      <c r="B13" s="149"/>
      <c r="C13" s="147"/>
      <c r="D13" s="147"/>
      <c r="E13" s="147"/>
      <c r="F13" s="157"/>
      <c r="G13" s="151"/>
      <c r="H13" s="154"/>
      <c r="I13" s="77" t="s">
        <v>222</v>
      </c>
      <c r="J13" s="54" t="s">
        <v>86</v>
      </c>
      <c r="K13" s="54" t="s">
        <v>95</v>
      </c>
      <c r="L13" s="41">
        <v>1</v>
      </c>
      <c r="M13" s="41">
        <v>1</v>
      </c>
      <c r="N13" s="47">
        <f t="shared" si="0"/>
        <v>100</v>
      </c>
      <c r="O13" s="41"/>
      <c r="P13" s="41"/>
      <c r="Q13" s="57" t="s">
        <v>276</v>
      </c>
      <c r="R13" s="41">
        <v>1</v>
      </c>
      <c r="S13" s="41">
        <v>1</v>
      </c>
      <c r="T13" s="44">
        <f t="shared" si="1"/>
        <v>100</v>
      </c>
      <c r="U13" s="41"/>
      <c r="V13" s="46">
        <v>280000</v>
      </c>
      <c r="W13" s="58" t="s">
        <v>268</v>
      </c>
      <c r="X13" s="41">
        <v>1</v>
      </c>
      <c r="Y13" s="41">
        <v>1</v>
      </c>
      <c r="Z13" s="63">
        <f t="shared" si="7"/>
        <v>100</v>
      </c>
      <c r="AA13" s="65">
        <v>0</v>
      </c>
      <c r="AB13" s="46">
        <v>0</v>
      </c>
      <c r="AC13" s="59">
        <v>0</v>
      </c>
      <c r="AD13" s="96" t="s">
        <v>308</v>
      </c>
      <c r="AE13" s="41">
        <v>1</v>
      </c>
      <c r="AF13" s="52">
        <v>1</v>
      </c>
      <c r="AG13" s="63">
        <f t="shared" si="4"/>
        <v>100</v>
      </c>
      <c r="AH13" s="70">
        <v>0</v>
      </c>
      <c r="AI13" s="70">
        <v>0</v>
      </c>
      <c r="AJ13" s="59">
        <v>0</v>
      </c>
      <c r="AK13" s="132" t="s">
        <v>393</v>
      </c>
      <c r="AL13" s="41">
        <v>1</v>
      </c>
      <c r="AM13" s="52">
        <v>0</v>
      </c>
      <c r="AN13" s="63">
        <f t="shared" si="10"/>
        <v>0</v>
      </c>
      <c r="AO13" s="70">
        <v>0</v>
      </c>
      <c r="AP13" s="70">
        <v>0</v>
      </c>
      <c r="AQ13" s="59">
        <v>0</v>
      </c>
      <c r="AR13" s="132" t="s">
        <v>304</v>
      </c>
      <c r="AS13" s="52">
        <v>1</v>
      </c>
      <c r="AT13" s="52">
        <f>(M13+S13+Y13+AF13)/4</f>
        <v>1</v>
      </c>
      <c r="AU13" s="68">
        <f>AT13/AS13*100</f>
        <v>100</v>
      </c>
      <c r="AV13" s="96" t="s">
        <v>402</v>
      </c>
    </row>
    <row r="14" spans="1:48" s="42" customFormat="1" ht="348.75" customHeight="1" x14ac:dyDescent="0.5">
      <c r="A14" s="147"/>
      <c r="B14" s="149"/>
      <c r="C14" s="147" t="s">
        <v>147</v>
      </c>
      <c r="D14" s="147" t="s">
        <v>20</v>
      </c>
      <c r="E14" s="147" t="s">
        <v>161</v>
      </c>
      <c r="F14" s="157" t="s">
        <v>21</v>
      </c>
      <c r="G14" s="39" t="s">
        <v>176</v>
      </c>
      <c r="H14" s="34" t="s">
        <v>128</v>
      </c>
      <c r="I14" s="77" t="s">
        <v>129</v>
      </c>
      <c r="J14" s="54" t="s">
        <v>87</v>
      </c>
      <c r="K14" s="54" t="s">
        <v>88</v>
      </c>
      <c r="L14" s="41">
        <v>1</v>
      </c>
      <c r="M14" s="41">
        <v>0</v>
      </c>
      <c r="N14" s="47">
        <f t="shared" si="0"/>
        <v>0</v>
      </c>
      <c r="O14" s="41"/>
      <c r="P14" s="41"/>
      <c r="Q14" s="57" t="s">
        <v>263</v>
      </c>
      <c r="R14" s="41">
        <v>1</v>
      </c>
      <c r="S14" s="41">
        <v>0</v>
      </c>
      <c r="T14" s="44">
        <f t="shared" si="1"/>
        <v>0</v>
      </c>
      <c r="U14" s="41"/>
      <c r="V14" s="46">
        <v>143000000</v>
      </c>
      <c r="W14" s="57" t="s">
        <v>260</v>
      </c>
      <c r="X14" s="41">
        <v>100</v>
      </c>
      <c r="Y14" s="41">
        <v>100</v>
      </c>
      <c r="Z14" s="63">
        <f t="shared" si="7"/>
        <v>100</v>
      </c>
      <c r="AA14" s="65">
        <v>7000000</v>
      </c>
      <c r="AB14" s="46">
        <v>7000000</v>
      </c>
      <c r="AC14" s="59">
        <f>AB14/AA14</f>
        <v>1</v>
      </c>
      <c r="AD14" s="96" t="s">
        <v>354</v>
      </c>
      <c r="AE14" s="64">
        <v>1</v>
      </c>
      <c r="AF14" s="64">
        <v>1</v>
      </c>
      <c r="AG14" s="63">
        <f t="shared" si="4"/>
        <v>100</v>
      </c>
      <c r="AH14" s="70">
        <f>9600000</f>
        <v>9600000</v>
      </c>
      <c r="AI14" s="70">
        <f>3200000</f>
        <v>3200000</v>
      </c>
      <c r="AJ14" s="59">
        <f t="shared" si="2"/>
        <v>0.33333333333333331</v>
      </c>
      <c r="AK14" s="96" t="s">
        <v>313</v>
      </c>
      <c r="AL14" s="64">
        <v>1</v>
      </c>
      <c r="AM14" s="64">
        <v>1</v>
      </c>
      <c r="AN14" s="63">
        <f t="shared" si="10"/>
        <v>100</v>
      </c>
      <c r="AO14" s="70">
        <v>0</v>
      </c>
      <c r="AP14" s="70">
        <v>0</v>
      </c>
      <c r="AQ14" s="59" t="e">
        <f t="shared" ref="AQ14:AQ20" si="11">+(AP14/AO14)</f>
        <v>#DIV/0!</v>
      </c>
      <c r="AR14" s="96" t="s">
        <v>330</v>
      </c>
      <c r="AS14" s="64">
        <v>1</v>
      </c>
      <c r="AT14" s="64">
        <v>1</v>
      </c>
      <c r="AU14" s="68">
        <f>AT14/AS14*100</f>
        <v>100</v>
      </c>
      <c r="AV14" s="95" t="s">
        <v>330</v>
      </c>
    </row>
    <row r="15" spans="1:48" s="42" customFormat="1" ht="266.25" customHeight="1" x14ac:dyDescent="0.5">
      <c r="A15" s="147"/>
      <c r="B15" s="149"/>
      <c r="C15" s="147"/>
      <c r="D15" s="147"/>
      <c r="E15" s="147"/>
      <c r="F15" s="157"/>
      <c r="G15" s="39" t="s">
        <v>177</v>
      </c>
      <c r="H15" s="34" t="s">
        <v>46</v>
      </c>
      <c r="I15" s="77" t="s">
        <v>130</v>
      </c>
      <c r="J15" s="54" t="s">
        <v>89</v>
      </c>
      <c r="K15" s="54" t="s">
        <v>96</v>
      </c>
      <c r="L15" s="41">
        <v>1</v>
      </c>
      <c r="M15" s="41">
        <v>0</v>
      </c>
      <c r="N15" s="47">
        <f t="shared" si="0"/>
        <v>0</v>
      </c>
      <c r="O15" s="41"/>
      <c r="P15" s="41"/>
      <c r="Q15" s="57" t="s">
        <v>260</v>
      </c>
      <c r="R15" s="41">
        <v>12</v>
      </c>
      <c r="S15" s="41">
        <v>2</v>
      </c>
      <c r="T15" s="45">
        <f t="shared" si="1"/>
        <v>16.666666666666664</v>
      </c>
      <c r="U15" s="41"/>
      <c r="V15" s="46">
        <v>5164321</v>
      </c>
      <c r="W15" s="58" t="s">
        <v>286</v>
      </c>
      <c r="X15" s="64">
        <v>1</v>
      </c>
      <c r="Y15" s="64">
        <v>1</v>
      </c>
      <c r="Z15" s="63">
        <f>(Y15/X15)*100</f>
        <v>100</v>
      </c>
      <c r="AA15" s="65">
        <v>7000000</v>
      </c>
      <c r="AB15" s="46">
        <v>7000000</v>
      </c>
      <c r="AC15" s="59">
        <f>AB15/AA15</f>
        <v>1</v>
      </c>
      <c r="AD15" s="96" t="s">
        <v>355</v>
      </c>
      <c r="AE15" s="64">
        <v>1</v>
      </c>
      <c r="AF15" s="64">
        <v>1</v>
      </c>
      <c r="AG15" s="63">
        <f t="shared" si="4"/>
        <v>100</v>
      </c>
      <c r="AH15" s="70">
        <v>1800000</v>
      </c>
      <c r="AI15" s="70">
        <v>1775000</v>
      </c>
      <c r="AJ15" s="59">
        <f t="shared" si="2"/>
        <v>0.98611111111111116</v>
      </c>
      <c r="AK15" s="96" t="s">
        <v>377</v>
      </c>
      <c r="AL15" s="64">
        <v>1</v>
      </c>
      <c r="AM15" s="170">
        <v>0.1</v>
      </c>
      <c r="AN15" s="63">
        <f t="shared" si="10"/>
        <v>10</v>
      </c>
      <c r="AO15" s="70">
        <v>0</v>
      </c>
      <c r="AP15" s="70">
        <v>0</v>
      </c>
      <c r="AQ15" s="47" t="e">
        <f t="shared" si="11"/>
        <v>#DIV/0!</v>
      </c>
      <c r="AR15" s="96" t="s">
        <v>415</v>
      </c>
      <c r="AS15" s="64">
        <v>1</v>
      </c>
      <c r="AT15" s="73">
        <f>(AF15+Y15+S15+M15)/4</f>
        <v>1</v>
      </c>
      <c r="AU15" s="68">
        <f>AT15/AS15*100</f>
        <v>100</v>
      </c>
      <c r="AV15" s="96" t="s">
        <v>364</v>
      </c>
    </row>
    <row r="16" spans="1:48" s="42" customFormat="1" ht="204.75" customHeight="1" x14ac:dyDescent="0.5">
      <c r="A16" s="147"/>
      <c r="B16" s="149"/>
      <c r="C16" s="147"/>
      <c r="D16" s="147"/>
      <c r="E16" s="39" t="s">
        <v>162</v>
      </c>
      <c r="F16" s="36" t="s">
        <v>22</v>
      </c>
      <c r="G16" s="38" t="s">
        <v>178</v>
      </c>
      <c r="H16" s="36" t="s">
        <v>203</v>
      </c>
      <c r="I16" s="76" t="s">
        <v>223</v>
      </c>
      <c r="J16" s="54" t="s">
        <v>90</v>
      </c>
      <c r="K16" s="54" t="s">
        <v>91</v>
      </c>
      <c r="L16" s="41">
        <v>0</v>
      </c>
      <c r="M16" s="41">
        <v>0</v>
      </c>
      <c r="N16" s="50">
        <v>0</v>
      </c>
      <c r="O16" s="41"/>
      <c r="P16" s="41"/>
      <c r="Q16" s="57" t="s">
        <v>277</v>
      </c>
      <c r="R16" s="41">
        <v>12</v>
      </c>
      <c r="S16" s="41">
        <v>0</v>
      </c>
      <c r="T16" s="44">
        <f t="shared" si="1"/>
        <v>0</v>
      </c>
      <c r="U16" s="41"/>
      <c r="V16" s="46">
        <v>3000000</v>
      </c>
      <c r="W16" s="58" t="s">
        <v>260</v>
      </c>
      <c r="X16" s="64">
        <v>1</v>
      </c>
      <c r="Y16" s="64">
        <v>1</v>
      </c>
      <c r="Z16" s="63">
        <f>(Y16/X16)*100</f>
        <v>100</v>
      </c>
      <c r="AA16" s="65">
        <v>7000000</v>
      </c>
      <c r="AB16" s="65">
        <v>7000000</v>
      </c>
      <c r="AC16" s="59">
        <f t="shared" si="8"/>
        <v>1</v>
      </c>
      <c r="AD16" s="96" t="s">
        <v>356</v>
      </c>
      <c r="AE16" s="64">
        <v>1</v>
      </c>
      <c r="AF16" s="64">
        <v>1</v>
      </c>
      <c r="AG16" s="63">
        <f t="shared" si="4"/>
        <v>100</v>
      </c>
      <c r="AH16" s="70">
        <f>9600000</f>
        <v>9600000</v>
      </c>
      <c r="AI16" s="70">
        <f>3200000</f>
        <v>3200000</v>
      </c>
      <c r="AJ16" s="59">
        <f t="shared" si="2"/>
        <v>0.33333333333333331</v>
      </c>
      <c r="AK16" s="95" t="s">
        <v>341</v>
      </c>
      <c r="AL16" s="64">
        <v>1</v>
      </c>
      <c r="AM16" s="64">
        <v>0</v>
      </c>
      <c r="AN16" s="63">
        <f t="shared" si="10"/>
        <v>0</v>
      </c>
      <c r="AO16" s="70">
        <v>0</v>
      </c>
      <c r="AP16" s="70">
        <v>0</v>
      </c>
      <c r="AQ16" s="59" t="e">
        <f t="shared" si="11"/>
        <v>#DIV/0!</v>
      </c>
      <c r="AR16" s="132" t="s">
        <v>304</v>
      </c>
      <c r="AS16" s="64">
        <v>1</v>
      </c>
      <c r="AT16" s="64">
        <v>1</v>
      </c>
      <c r="AU16" s="68">
        <f>AT16/AS16*100</f>
        <v>100</v>
      </c>
      <c r="AV16" s="95" t="s">
        <v>341</v>
      </c>
    </row>
    <row r="17" spans="1:48" s="93" customFormat="1" ht="409.5" customHeight="1" x14ac:dyDescent="0.5">
      <c r="A17" s="148" t="s">
        <v>23</v>
      </c>
      <c r="B17" s="148" t="s">
        <v>24</v>
      </c>
      <c r="C17" s="147" t="s">
        <v>148</v>
      </c>
      <c r="D17" s="148" t="s">
        <v>25</v>
      </c>
      <c r="E17" s="147" t="s">
        <v>163</v>
      </c>
      <c r="F17" s="152" t="s">
        <v>26</v>
      </c>
      <c r="G17" s="148" t="s">
        <v>179</v>
      </c>
      <c r="H17" s="157" t="s">
        <v>57</v>
      </c>
      <c r="I17" s="83" t="s">
        <v>58</v>
      </c>
      <c r="J17" s="84" t="s">
        <v>92</v>
      </c>
      <c r="K17" s="84" t="s">
        <v>95</v>
      </c>
      <c r="L17" s="52">
        <v>1</v>
      </c>
      <c r="M17" s="52">
        <v>1</v>
      </c>
      <c r="N17" s="85">
        <f t="shared" si="0"/>
        <v>100</v>
      </c>
      <c r="O17" s="52"/>
      <c r="P17" s="52"/>
      <c r="Q17" s="86" t="s">
        <v>278</v>
      </c>
      <c r="R17" s="52">
        <v>1</v>
      </c>
      <c r="S17" s="52">
        <v>0</v>
      </c>
      <c r="T17" s="52">
        <f t="shared" si="1"/>
        <v>0</v>
      </c>
      <c r="U17" s="52"/>
      <c r="V17" s="127">
        <v>5739187</v>
      </c>
      <c r="W17" s="89" t="s">
        <v>260</v>
      </c>
      <c r="X17" s="52">
        <v>1</v>
      </c>
      <c r="Y17" s="52">
        <v>1</v>
      </c>
      <c r="Z17" s="90">
        <f t="shared" si="7"/>
        <v>100</v>
      </c>
      <c r="AA17" s="91">
        <v>5238569</v>
      </c>
      <c r="AB17" s="88">
        <v>3677444</v>
      </c>
      <c r="AC17" s="85">
        <f t="shared" si="8"/>
        <v>0.70199399874278645</v>
      </c>
      <c r="AD17" s="96" t="s">
        <v>379</v>
      </c>
      <c r="AE17" s="52">
        <v>1</v>
      </c>
      <c r="AF17" s="52">
        <v>1</v>
      </c>
      <c r="AG17" s="90">
        <f t="shared" si="4"/>
        <v>100</v>
      </c>
      <c r="AH17" s="92">
        <v>7280000</v>
      </c>
      <c r="AI17" s="92">
        <v>1337040</v>
      </c>
      <c r="AJ17" s="59">
        <f t="shared" si="2"/>
        <v>0.18365934065934067</v>
      </c>
      <c r="AK17" s="96" t="s">
        <v>370</v>
      </c>
      <c r="AL17" s="52">
        <v>1</v>
      </c>
      <c r="AM17" s="52">
        <v>1</v>
      </c>
      <c r="AN17" s="90">
        <f t="shared" si="10"/>
        <v>100</v>
      </c>
      <c r="AO17" s="92">
        <v>2442000</v>
      </c>
      <c r="AP17" s="92">
        <v>2442000</v>
      </c>
      <c r="AQ17" s="59">
        <f t="shared" si="11"/>
        <v>1</v>
      </c>
      <c r="AR17" s="96" t="s">
        <v>417</v>
      </c>
      <c r="AS17" s="52">
        <v>1</v>
      </c>
      <c r="AT17" s="52">
        <f>(M17+S17+Y17+AF17+AM17)/5</f>
        <v>0.8</v>
      </c>
      <c r="AU17" s="68">
        <f>AT17/AS17*100</f>
        <v>80</v>
      </c>
      <c r="AV17" s="96" t="s">
        <v>429</v>
      </c>
    </row>
    <row r="18" spans="1:48" s="42" customFormat="1" ht="276.75" customHeight="1" x14ac:dyDescent="0.5">
      <c r="A18" s="146"/>
      <c r="B18" s="146"/>
      <c r="C18" s="147"/>
      <c r="D18" s="146"/>
      <c r="E18" s="147"/>
      <c r="F18" s="153"/>
      <c r="G18" s="151"/>
      <c r="H18" s="157"/>
      <c r="I18" s="77" t="s">
        <v>56</v>
      </c>
      <c r="J18" s="54" t="s">
        <v>92</v>
      </c>
      <c r="K18" s="54" t="s">
        <v>95</v>
      </c>
      <c r="L18" s="41">
        <v>1</v>
      </c>
      <c r="M18" s="41">
        <v>0</v>
      </c>
      <c r="N18" s="47">
        <f t="shared" si="0"/>
        <v>0</v>
      </c>
      <c r="O18" s="41"/>
      <c r="P18" s="41"/>
      <c r="Q18" s="57" t="s">
        <v>260</v>
      </c>
      <c r="R18" s="126">
        <v>1</v>
      </c>
      <c r="S18" s="41">
        <v>0</v>
      </c>
      <c r="T18" s="44">
        <f t="shared" si="1"/>
        <v>0</v>
      </c>
      <c r="U18" s="41"/>
      <c r="V18" s="46">
        <v>1115357</v>
      </c>
      <c r="W18" s="58" t="s">
        <v>260</v>
      </c>
      <c r="X18" s="41">
        <v>1</v>
      </c>
      <c r="Y18" s="41">
        <v>1</v>
      </c>
      <c r="Z18" s="63">
        <f t="shared" si="7"/>
        <v>100</v>
      </c>
      <c r="AA18" s="65">
        <f>4367372+618333</f>
        <v>4985705</v>
      </c>
      <c r="AB18" s="46">
        <f>2593290+618333</f>
        <v>3211623</v>
      </c>
      <c r="AC18" s="59">
        <v>0.59</v>
      </c>
      <c r="AD18" s="96" t="s">
        <v>318</v>
      </c>
      <c r="AE18" s="41">
        <v>1</v>
      </c>
      <c r="AF18" s="41">
        <v>1</v>
      </c>
      <c r="AG18" s="63">
        <f t="shared" si="4"/>
        <v>100</v>
      </c>
      <c r="AH18" s="70">
        <v>8073000</v>
      </c>
      <c r="AI18" s="70">
        <v>1849000</v>
      </c>
      <c r="AJ18" s="59">
        <f t="shared" si="2"/>
        <v>0.22903505512201164</v>
      </c>
      <c r="AK18" s="96" t="s">
        <v>371</v>
      </c>
      <c r="AL18" s="41">
        <v>1</v>
      </c>
      <c r="AM18" s="41">
        <v>1</v>
      </c>
      <c r="AN18" s="63">
        <f t="shared" si="10"/>
        <v>100</v>
      </c>
      <c r="AO18" s="70">
        <v>1200000</v>
      </c>
      <c r="AP18" s="70">
        <v>1200000</v>
      </c>
      <c r="AQ18" s="59">
        <f t="shared" si="11"/>
        <v>1</v>
      </c>
      <c r="AR18" s="96" t="s">
        <v>411</v>
      </c>
      <c r="AS18" s="52">
        <v>1</v>
      </c>
      <c r="AT18" s="41">
        <f>(M18+S18+Y18+AF18)/4</f>
        <v>0.5</v>
      </c>
      <c r="AU18" s="68">
        <f>+(AT18/AS18)*100</f>
        <v>50</v>
      </c>
      <c r="AV18" s="96" t="s">
        <v>431</v>
      </c>
    </row>
    <row r="19" spans="1:48" s="42" customFormat="1" ht="409.5" customHeight="1" x14ac:dyDescent="0.5">
      <c r="A19" s="146"/>
      <c r="B19" s="146"/>
      <c r="C19" s="147"/>
      <c r="D19" s="146"/>
      <c r="E19" s="147"/>
      <c r="F19" s="153"/>
      <c r="G19" s="39" t="s">
        <v>180</v>
      </c>
      <c r="H19" s="34" t="s">
        <v>131</v>
      </c>
      <c r="I19" s="77" t="s">
        <v>59</v>
      </c>
      <c r="J19" s="54" t="s">
        <v>93</v>
      </c>
      <c r="K19" s="54" t="s">
        <v>94</v>
      </c>
      <c r="L19" s="41">
        <v>1</v>
      </c>
      <c r="M19" s="41">
        <v>1</v>
      </c>
      <c r="N19" s="47">
        <f t="shared" si="0"/>
        <v>100</v>
      </c>
      <c r="O19" s="41"/>
      <c r="P19" s="41"/>
      <c r="Q19" s="57" t="s">
        <v>279</v>
      </c>
      <c r="R19" s="41">
        <v>1</v>
      </c>
      <c r="S19" s="41">
        <v>1</v>
      </c>
      <c r="T19" s="44">
        <f t="shared" si="1"/>
        <v>100</v>
      </c>
      <c r="U19" s="41"/>
      <c r="V19" s="46">
        <v>10624940</v>
      </c>
      <c r="W19" s="58" t="s">
        <v>265</v>
      </c>
      <c r="X19" s="41">
        <v>1</v>
      </c>
      <c r="Y19" s="41">
        <v>1</v>
      </c>
      <c r="Z19" s="63">
        <f t="shared" si="7"/>
        <v>100</v>
      </c>
      <c r="AA19" s="65">
        <v>500000</v>
      </c>
      <c r="AB19" s="65">
        <v>500000</v>
      </c>
      <c r="AC19" s="59">
        <f t="shared" si="8"/>
        <v>1</v>
      </c>
      <c r="AD19" s="96" t="s">
        <v>319</v>
      </c>
      <c r="AE19" s="41">
        <v>1</v>
      </c>
      <c r="AF19" s="41">
        <v>1</v>
      </c>
      <c r="AG19" s="63">
        <f t="shared" si="4"/>
        <v>100</v>
      </c>
      <c r="AH19" s="70">
        <v>31400000</v>
      </c>
      <c r="AI19" s="70">
        <v>6300000</v>
      </c>
      <c r="AJ19" s="59">
        <f t="shared" si="2"/>
        <v>0.20063694267515925</v>
      </c>
      <c r="AK19" s="95" t="s">
        <v>394</v>
      </c>
      <c r="AL19" s="41">
        <v>1</v>
      </c>
      <c r="AM19" s="41">
        <v>1</v>
      </c>
      <c r="AN19" s="63">
        <f t="shared" si="10"/>
        <v>100</v>
      </c>
      <c r="AO19" s="92">
        <v>28314000</v>
      </c>
      <c r="AP19" s="92">
        <v>12714000</v>
      </c>
      <c r="AQ19" s="59">
        <f t="shared" si="11"/>
        <v>0.44903581267217629</v>
      </c>
      <c r="AR19" s="96" t="s">
        <v>418</v>
      </c>
      <c r="AS19" s="41">
        <v>1</v>
      </c>
      <c r="AT19" s="41">
        <v>1</v>
      </c>
      <c r="AU19" s="68">
        <f>(N19+T19+Z19+AG19)/4</f>
        <v>100</v>
      </c>
      <c r="AV19" s="95" t="s">
        <v>344</v>
      </c>
    </row>
    <row r="20" spans="1:48" s="42" customFormat="1" ht="409.5" customHeight="1" x14ac:dyDescent="0.5">
      <c r="A20" s="146"/>
      <c r="B20" s="146"/>
      <c r="C20" s="147"/>
      <c r="D20" s="146"/>
      <c r="E20" s="147"/>
      <c r="F20" s="153"/>
      <c r="G20" s="39" t="s">
        <v>181</v>
      </c>
      <c r="H20" s="34" t="s">
        <v>60</v>
      </c>
      <c r="I20" s="77" t="s">
        <v>132</v>
      </c>
      <c r="J20" s="54" t="s">
        <v>98</v>
      </c>
      <c r="K20" s="54" t="s">
        <v>99</v>
      </c>
      <c r="L20" s="41">
        <v>1</v>
      </c>
      <c r="M20" s="41">
        <v>0</v>
      </c>
      <c r="N20" s="47">
        <f t="shared" si="0"/>
        <v>0</v>
      </c>
      <c r="O20" s="41"/>
      <c r="P20" s="41"/>
      <c r="Q20" s="57" t="s">
        <v>260</v>
      </c>
      <c r="R20" s="41">
        <v>1</v>
      </c>
      <c r="S20" s="41"/>
      <c r="T20" s="44">
        <f t="shared" si="1"/>
        <v>0</v>
      </c>
      <c r="U20" s="41"/>
      <c r="V20" s="46">
        <v>234107</v>
      </c>
      <c r="W20" s="58" t="s">
        <v>260</v>
      </c>
      <c r="X20" s="41">
        <v>1</v>
      </c>
      <c r="Y20" s="41">
        <v>1</v>
      </c>
      <c r="Z20" s="63">
        <f t="shared" si="7"/>
        <v>100</v>
      </c>
      <c r="AA20" s="65">
        <v>0</v>
      </c>
      <c r="AB20" s="46">
        <v>0</v>
      </c>
      <c r="AC20" s="59">
        <v>0</v>
      </c>
      <c r="AD20" s="96" t="s">
        <v>357</v>
      </c>
      <c r="AE20" s="41">
        <v>1</v>
      </c>
      <c r="AF20" s="126">
        <v>0.8</v>
      </c>
      <c r="AG20" s="63">
        <f t="shared" si="4"/>
        <v>80</v>
      </c>
      <c r="AH20" s="70">
        <f>320000</f>
        <v>320000</v>
      </c>
      <c r="AI20" s="70">
        <f>320000</f>
        <v>320000</v>
      </c>
      <c r="AJ20" s="59">
        <f t="shared" si="2"/>
        <v>1</v>
      </c>
      <c r="AK20" s="96" t="s">
        <v>372</v>
      </c>
      <c r="AL20" s="41">
        <v>1</v>
      </c>
      <c r="AM20" s="126">
        <v>0.8</v>
      </c>
      <c r="AN20" s="63">
        <f t="shared" si="10"/>
        <v>80</v>
      </c>
      <c r="AO20" s="70">
        <v>26000000</v>
      </c>
      <c r="AP20" s="70">
        <v>11900000</v>
      </c>
      <c r="AQ20" s="59">
        <f t="shared" si="11"/>
        <v>0.45769230769230768</v>
      </c>
      <c r="AR20" s="96" t="s">
        <v>422</v>
      </c>
      <c r="AS20" s="41">
        <v>1</v>
      </c>
      <c r="AT20" s="41">
        <v>0.8</v>
      </c>
      <c r="AU20" s="68">
        <f>AT20/AS20*100</f>
        <v>80</v>
      </c>
      <c r="AV20" s="95" t="s">
        <v>345</v>
      </c>
    </row>
    <row r="21" spans="1:48" s="42" customFormat="1" ht="408.75" customHeight="1" x14ac:dyDescent="0.5">
      <c r="A21" s="146"/>
      <c r="B21" s="146"/>
      <c r="C21" s="147"/>
      <c r="D21" s="151"/>
      <c r="E21" s="147"/>
      <c r="F21" s="154"/>
      <c r="G21" s="39" t="s">
        <v>182</v>
      </c>
      <c r="H21" s="34" t="s">
        <v>204</v>
      </c>
      <c r="I21" s="77" t="s">
        <v>224</v>
      </c>
      <c r="J21" s="54" t="s">
        <v>84</v>
      </c>
      <c r="K21" s="54" t="s">
        <v>95</v>
      </c>
      <c r="L21" s="41">
        <v>1</v>
      </c>
      <c r="M21" s="41">
        <v>0</v>
      </c>
      <c r="N21" s="47">
        <f t="shared" si="0"/>
        <v>0</v>
      </c>
      <c r="O21" s="41"/>
      <c r="P21" s="41"/>
      <c r="Q21" s="57" t="s">
        <v>280</v>
      </c>
      <c r="R21" s="41">
        <v>1</v>
      </c>
      <c r="S21" s="41">
        <v>0</v>
      </c>
      <c r="T21" s="44">
        <f t="shared" si="1"/>
        <v>0</v>
      </c>
      <c r="U21" s="41"/>
      <c r="V21" s="46">
        <v>1664107</v>
      </c>
      <c r="W21" s="58" t="s">
        <v>258</v>
      </c>
      <c r="X21" s="41">
        <v>1</v>
      </c>
      <c r="Y21" s="41">
        <v>1</v>
      </c>
      <c r="Z21" s="63">
        <f>(Y21/X21)*100</f>
        <v>100</v>
      </c>
      <c r="AA21" s="46">
        <v>733332</v>
      </c>
      <c r="AB21" s="46">
        <v>733332</v>
      </c>
      <c r="AC21" s="59">
        <f t="shared" si="8"/>
        <v>1</v>
      </c>
      <c r="AD21" s="96" t="s">
        <v>310</v>
      </c>
      <c r="AE21" s="52">
        <v>1</v>
      </c>
      <c r="AF21" s="41">
        <v>1</v>
      </c>
      <c r="AG21" s="63">
        <f t="shared" si="4"/>
        <v>100</v>
      </c>
      <c r="AH21" s="121">
        <v>763000</v>
      </c>
      <c r="AI21" s="121">
        <v>763000</v>
      </c>
      <c r="AJ21" s="122" t="s">
        <v>369</v>
      </c>
      <c r="AK21" s="119" t="s">
        <v>397</v>
      </c>
      <c r="AL21" s="52">
        <v>0</v>
      </c>
      <c r="AM21" s="41">
        <v>0</v>
      </c>
      <c r="AN21" s="63" t="e">
        <f t="shared" si="10"/>
        <v>#DIV/0!</v>
      </c>
      <c r="AO21" s="121">
        <v>0</v>
      </c>
      <c r="AP21" s="121">
        <v>0</v>
      </c>
      <c r="AQ21" s="47" t="e">
        <f>+(AP21/AO21)</f>
        <v>#DIV/0!</v>
      </c>
      <c r="AR21" s="119" t="s">
        <v>419</v>
      </c>
      <c r="AS21" s="52">
        <v>1</v>
      </c>
      <c r="AT21" s="41">
        <f>(M21+S21+Y21+AF21)/4</f>
        <v>0.5</v>
      </c>
      <c r="AU21" s="68">
        <f>AT21/AS21*100</f>
        <v>50</v>
      </c>
      <c r="AV21" s="95" t="s">
        <v>346</v>
      </c>
    </row>
    <row r="22" spans="1:48" s="42" customFormat="1" ht="408.75" customHeight="1" x14ac:dyDescent="0.5">
      <c r="A22" s="146"/>
      <c r="B22" s="146"/>
      <c r="C22" s="147" t="s">
        <v>149</v>
      </c>
      <c r="D22" s="147" t="s">
        <v>27</v>
      </c>
      <c r="E22" s="147" t="s">
        <v>164</v>
      </c>
      <c r="F22" s="157" t="s">
        <v>28</v>
      </c>
      <c r="G22" s="39" t="s">
        <v>183</v>
      </c>
      <c r="H22" s="34" t="s">
        <v>49</v>
      </c>
      <c r="I22" s="77" t="s">
        <v>225</v>
      </c>
      <c r="J22" s="54" t="s">
        <v>100</v>
      </c>
      <c r="K22" s="54" t="s">
        <v>101</v>
      </c>
      <c r="L22" s="41">
        <v>1</v>
      </c>
      <c r="M22" s="41">
        <v>0</v>
      </c>
      <c r="N22" s="47">
        <f t="shared" si="0"/>
        <v>0</v>
      </c>
      <c r="O22" s="41"/>
      <c r="P22" s="41"/>
      <c r="Q22" s="57" t="s">
        <v>281</v>
      </c>
      <c r="R22" s="41">
        <v>1</v>
      </c>
      <c r="S22" s="41">
        <v>0</v>
      </c>
      <c r="T22" s="44">
        <f t="shared" si="1"/>
        <v>0</v>
      </c>
      <c r="U22" s="41"/>
      <c r="V22" s="46">
        <v>5023333</v>
      </c>
      <c r="W22" s="58" t="s">
        <v>260</v>
      </c>
      <c r="X22" s="41">
        <v>1</v>
      </c>
      <c r="Y22" s="41">
        <v>1</v>
      </c>
      <c r="Z22" s="63">
        <f>(Y22/X22)*100</f>
        <v>100</v>
      </c>
      <c r="AA22" s="65">
        <f>2434123+214000</f>
        <v>2648123</v>
      </c>
      <c r="AB22" s="46">
        <v>1237041</v>
      </c>
      <c r="AC22" s="59">
        <f t="shared" si="8"/>
        <v>0.4671387998216095</v>
      </c>
      <c r="AD22" s="96" t="s">
        <v>358</v>
      </c>
      <c r="AE22" s="41">
        <v>1</v>
      </c>
      <c r="AF22" s="41">
        <v>1</v>
      </c>
      <c r="AG22" s="63">
        <f t="shared" si="4"/>
        <v>100</v>
      </c>
      <c r="AH22" s="70">
        <v>7566000</v>
      </c>
      <c r="AI22" s="70">
        <v>2189000</v>
      </c>
      <c r="AJ22" s="59">
        <f t="shared" si="2"/>
        <v>0.28932064499074811</v>
      </c>
      <c r="AK22" s="95" t="s">
        <v>383</v>
      </c>
      <c r="AL22" s="41">
        <v>1</v>
      </c>
      <c r="AM22" s="41">
        <v>1</v>
      </c>
      <c r="AN22" s="63">
        <f t="shared" si="10"/>
        <v>100</v>
      </c>
      <c r="AO22" s="70">
        <v>600000</v>
      </c>
      <c r="AP22" s="70">
        <v>600000</v>
      </c>
      <c r="AQ22" s="59">
        <f t="shared" ref="AQ22:AQ28" si="12">+(AP22/AO22)</f>
        <v>1</v>
      </c>
      <c r="AR22" s="96" t="s">
        <v>416</v>
      </c>
      <c r="AS22" s="52">
        <v>1</v>
      </c>
      <c r="AT22" s="41">
        <f>(M22+S22+Y22+AF22)/4</f>
        <v>0.5</v>
      </c>
      <c r="AU22" s="68">
        <f>AT22/AS22*100</f>
        <v>50</v>
      </c>
      <c r="AV22" s="95" t="s">
        <v>347</v>
      </c>
    </row>
    <row r="23" spans="1:48" s="42" customFormat="1" ht="409.5" customHeight="1" x14ac:dyDescent="0.5">
      <c r="A23" s="151"/>
      <c r="B23" s="151"/>
      <c r="C23" s="147"/>
      <c r="D23" s="147"/>
      <c r="E23" s="147"/>
      <c r="F23" s="157"/>
      <c r="G23" s="39" t="s">
        <v>184</v>
      </c>
      <c r="H23" s="34" t="s">
        <v>205</v>
      </c>
      <c r="I23" s="77" t="s">
        <v>226</v>
      </c>
      <c r="J23" s="54" t="s">
        <v>102</v>
      </c>
      <c r="K23" s="54" t="s">
        <v>103</v>
      </c>
      <c r="L23" s="41">
        <v>11</v>
      </c>
      <c r="M23" s="41">
        <v>0</v>
      </c>
      <c r="N23" s="47">
        <f t="shared" si="0"/>
        <v>0</v>
      </c>
      <c r="O23" s="41"/>
      <c r="P23" s="41"/>
      <c r="Q23" s="57" t="s">
        <v>260</v>
      </c>
      <c r="R23" s="41">
        <v>12</v>
      </c>
      <c r="S23" s="41">
        <v>0</v>
      </c>
      <c r="T23" s="44">
        <f t="shared" si="1"/>
        <v>0</v>
      </c>
      <c r="U23" s="41"/>
      <c r="V23" s="46">
        <v>0</v>
      </c>
      <c r="W23" s="58" t="s">
        <v>260</v>
      </c>
      <c r="X23" s="41">
        <v>12</v>
      </c>
      <c r="Y23" s="41">
        <v>0</v>
      </c>
      <c r="Z23" s="63">
        <f t="shared" si="7"/>
        <v>0</v>
      </c>
      <c r="AA23" s="65">
        <v>25770000</v>
      </c>
      <c r="AB23" s="46">
        <v>25676000</v>
      </c>
      <c r="AC23" s="59">
        <f t="shared" si="8"/>
        <v>0.99635234769111369</v>
      </c>
      <c r="AD23" s="130" t="s">
        <v>359</v>
      </c>
      <c r="AE23" s="66">
        <v>12</v>
      </c>
      <c r="AF23" s="66">
        <v>3</v>
      </c>
      <c r="AG23" s="63">
        <f>(AF23/AE23)*100</f>
        <v>25</v>
      </c>
      <c r="AH23" s="72">
        <f>1600000</f>
        <v>1600000</v>
      </c>
      <c r="AI23" s="72">
        <f>800000</f>
        <v>800000</v>
      </c>
      <c r="AJ23" s="59">
        <f t="shared" si="2"/>
        <v>0.5</v>
      </c>
      <c r="AK23" s="97" t="s">
        <v>401</v>
      </c>
      <c r="AL23" s="66">
        <v>2</v>
      </c>
      <c r="AM23" s="66">
        <v>1</v>
      </c>
      <c r="AN23" s="63">
        <f>(AM23/AL23)*100</f>
        <v>50</v>
      </c>
      <c r="AO23" s="72">
        <v>1000000</v>
      </c>
      <c r="AP23" s="72">
        <v>500000</v>
      </c>
      <c r="AQ23" s="59">
        <f t="shared" si="12"/>
        <v>0.5</v>
      </c>
      <c r="AR23" s="119" t="s">
        <v>413</v>
      </c>
      <c r="AS23" s="99">
        <v>12</v>
      </c>
      <c r="AT23" s="66">
        <f>(M23+S23+Y23+AF23)</f>
        <v>3</v>
      </c>
      <c r="AU23" s="68">
        <f>AT23/AS23*100</f>
        <v>25</v>
      </c>
      <c r="AV23" s="95" t="s">
        <v>349</v>
      </c>
    </row>
    <row r="24" spans="1:48" s="42" customFormat="1" ht="408.75" customHeight="1" x14ac:dyDescent="0.5">
      <c r="A24" s="148" t="s">
        <v>29</v>
      </c>
      <c r="B24" s="147" t="s">
        <v>30</v>
      </c>
      <c r="C24" s="147" t="s">
        <v>150</v>
      </c>
      <c r="D24" s="147" t="s">
        <v>31</v>
      </c>
      <c r="E24" s="39" t="s">
        <v>165</v>
      </c>
      <c r="F24" s="34" t="s">
        <v>32</v>
      </c>
      <c r="G24" s="39" t="s">
        <v>185</v>
      </c>
      <c r="H24" s="36" t="s">
        <v>206</v>
      </c>
      <c r="I24" s="77" t="s">
        <v>227</v>
      </c>
      <c r="J24" s="54" t="s">
        <v>104</v>
      </c>
      <c r="K24" s="54" t="s">
        <v>105</v>
      </c>
      <c r="L24" s="41">
        <v>12</v>
      </c>
      <c r="M24" s="41">
        <v>11</v>
      </c>
      <c r="N24" s="47">
        <f t="shared" si="0"/>
        <v>91.666666666666657</v>
      </c>
      <c r="O24" s="41"/>
      <c r="P24" s="41"/>
      <c r="Q24" s="57" t="s">
        <v>282</v>
      </c>
      <c r="R24" s="41">
        <v>12</v>
      </c>
      <c r="S24" s="41">
        <v>12</v>
      </c>
      <c r="T24" s="44">
        <f t="shared" si="1"/>
        <v>100</v>
      </c>
      <c r="U24" s="41"/>
      <c r="V24" s="46">
        <v>13544107</v>
      </c>
      <c r="W24" s="58" t="s">
        <v>269</v>
      </c>
      <c r="X24" s="41">
        <v>12</v>
      </c>
      <c r="Y24" s="41">
        <v>12</v>
      </c>
      <c r="Z24" s="63">
        <f t="shared" si="7"/>
        <v>100</v>
      </c>
      <c r="AA24" s="65">
        <f>10000000+1430000</f>
        <v>11430000</v>
      </c>
      <c r="AB24" s="46">
        <v>6532000</v>
      </c>
      <c r="AC24" s="59">
        <f t="shared" si="8"/>
        <v>0.57147856517935258</v>
      </c>
      <c r="AD24" s="96" t="s">
        <v>314</v>
      </c>
      <c r="AE24" s="41">
        <v>12</v>
      </c>
      <c r="AF24" s="41">
        <v>12</v>
      </c>
      <c r="AG24" s="63">
        <f t="shared" si="4"/>
        <v>100</v>
      </c>
      <c r="AH24" s="70">
        <v>1516000000</v>
      </c>
      <c r="AI24" s="70">
        <v>148889262</v>
      </c>
      <c r="AJ24" s="59">
        <f t="shared" si="2"/>
        <v>9.8211914248021115E-2</v>
      </c>
      <c r="AK24" s="96" t="s">
        <v>400</v>
      </c>
      <c r="AL24" s="41">
        <v>12</v>
      </c>
      <c r="AM24" s="41">
        <v>12</v>
      </c>
      <c r="AN24" s="63">
        <f t="shared" ref="AN24:AN28" si="13">(AM24/AL24)*100</f>
        <v>100</v>
      </c>
      <c r="AO24" s="70">
        <v>2344700000</v>
      </c>
      <c r="AP24" s="70">
        <v>0</v>
      </c>
      <c r="AQ24" s="59">
        <f t="shared" si="12"/>
        <v>0</v>
      </c>
      <c r="AR24" s="96" t="s">
        <v>420</v>
      </c>
      <c r="AS24" s="41">
        <v>12</v>
      </c>
      <c r="AT24" s="52">
        <v>12</v>
      </c>
      <c r="AU24" s="79">
        <v>100</v>
      </c>
      <c r="AV24" s="95" t="s">
        <v>389</v>
      </c>
    </row>
    <row r="25" spans="1:48" s="42" customFormat="1" ht="408.75" customHeight="1" x14ac:dyDescent="0.5">
      <c r="A25" s="146"/>
      <c r="B25" s="147"/>
      <c r="C25" s="147"/>
      <c r="D25" s="147"/>
      <c r="E25" s="39" t="s">
        <v>166</v>
      </c>
      <c r="F25" s="34" t="s">
        <v>133</v>
      </c>
      <c r="G25" s="39" t="s">
        <v>186</v>
      </c>
      <c r="H25" s="36" t="s">
        <v>207</v>
      </c>
      <c r="I25" s="77" t="s">
        <v>228</v>
      </c>
      <c r="J25" s="54" t="s">
        <v>106</v>
      </c>
      <c r="K25" s="54" t="s">
        <v>107</v>
      </c>
      <c r="L25" s="41">
        <v>12</v>
      </c>
      <c r="M25" s="41">
        <v>6</v>
      </c>
      <c r="N25" s="47">
        <f t="shared" si="0"/>
        <v>50</v>
      </c>
      <c r="O25" s="41" t="s">
        <v>283</v>
      </c>
      <c r="P25" s="41" t="s">
        <v>283</v>
      </c>
      <c r="Q25" s="57" t="s">
        <v>284</v>
      </c>
      <c r="R25" s="41">
        <v>12</v>
      </c>
      <c r="S25" s="41">
        <v>12</v>
      </c>
      <c r="T25" s="44">
        <f t="shared" si="1"/>
        <v>100</v>
      </c>
      <c r="U25" s="41"/>
      <c r="V25" s="46">
        <v>801079547</v>
      </c>
      <c r="W25" s="58" t="s">
        <v>270</v>
      </c>
      <c r="X25" s="41">
        <v>12</v>
      </c>
      <c r="Y25" s="41">
        <v>12</v>
      </c>
      <c r="Z25" s="63">
        <f t="shared" si="7"/>
        <v>100</v>
      </c>
      <c r="AA25" s="65">
        <f>302419700+90000000</f>
        <v>392419700</v>
      </c>
      <c r="AB25" s="65">
        <f>302419700+90000000</f>
        <v>392419700</v>
      </c>
      <c r="AC25" s="59">
        <f t="shared" si="8"/>
        <v>1</v>
      </c>
      <c r="AD25" s="96" t="s">
        <v>311</v>
      </c>
      <c r="AE25" s="41">
        <v>12</v>
      </c>
      <c r="AF25" s="41">
        <v>12</v>
      </c>
      <c r="AG25" s="63">
        <f t="shared" si="4"/>
        <v>100</v>
      </c>
      <c r="AH25" s="70">
        <f>563000+130000000+15000000</f>
        <v>145563000</v>
      </c>
      <c r="AI25" s="70">
        <f>563000+130000000+6000000</f>
        <v>136563000</v>
      </c>
      <c r="AJ25" s="59">
        <f t="shared" si="2"/>
        <v>0.93817110117268809</v>
      </c>
      <c r="AK25" s="96" t="s">
        <v>395</v>
      </c>
      <c r="AL25" s="41">
        <v>12</v>
      </c>
      <c r="AM25" s="41">
        <v>3</v>
      </c>
      <c r="AN25" s="63">
        <f t="shared" si="13"/>
        <v>25</v>
      </c>
      <c r="AO25" s="70">
        <v>31000000</v>
      </c>
      <c r="AP25" s="70">
        <v>31000000</v>
      </c>
      <c r="AQ25" s="59">
        <f t="shared" si="12"/>
        <v>1</v>
      </c>
      <c r="AR25" s="96" t="s">
        <v>421</v>
      </c>
      <c r="AS25" s="41">
        <v>12</v>
      </c>
      <c r="AT25" s="126">
        <v>12</v>
      </c>
      <c r="AU25" s="135">
        <v>100</v>
      </c>
      <c r="AV25" s="95" t="s">
        <v>336</v>
      </c>
    </row>
    <row r="26" spans="1:48" s="42" customFormat="1" ht="216" customHeight="1" x14ac:dyDescent="0.5">
      <c r="A26" s="146"/>
      <c r="B26" s="147"/>
      <c r="C26" s="147" t="s">
        <v>151</v>
      </c>
      <c r="D26" s="148" t="s">
        <v>33</v>
      </c>
      <c r="E26" s="147" t="s">
        <v>167</v>
      </c>
      <c r="F26" s="152" t="s">
        <v>34</v>
      </c>
      <c r="G26" s="148" t="s">
        <v>187</v>
      </c>
      <c r="H26" s="152" t="s">
        <v>208</v>
      </c>
      <c r="I26" s="78" t="s">
        <v>134</v>
      </c>
      <c r="J26" s="54" t="s">
        <v>108</v>
      </c>
      <c r="K26" s="54" t="s">
        <v>109</v>
      </c>
      <c r="L26" s="41">
        <v>1</v>
      </c>
      <c r="M26" s="41">
        <v>0</v>
      </c>
      <c r="N26" s="47">
        <f t="shared" si="0"/>
        <v>0</v>
      </c>
      <c r="O26" s="41"/>
      <c r="P26" s="41"/>
      <c r="Q26" s="57" t="s">
        <v>260</v>
      </c>
      <c r="R26" s="41">
        <v>1</v>
      </c>
      <c r="S26" s="41">
        <v>0</v>
      </c>
      <c r="T26" s="44">
        <f t="shared" si="1"/>
        <v>0</v>
      </c>
      <c r="U26" s="41"/>
      <c r="V26" s="46">
        <v>0</v>
      </c>
      <c r="W26" s="58" t="s">
        <v>260</v>
      </c>
      <c r="X26" s="41">
        <v>1</v>
      </c>
      <c r="Y26" s="41">
        <v>1</v>
      </c>
      <c r="Z26" s="63">
        <f t="shared" si="7"/>
        <v>100</v>
      </c>
      <c r="AA26" s="65">
        <v>9600000</v>
      </c>
      <c r="AB26" s="46">
        <v>3300000</v>
      </c>
      <c r="AC26" s="59">
        <f t="shared" si="8"/>
        <v>0.34375</v>
      </c>
      <c r="AD26" s="96" t="s">
        <v>375</v>
      </c>
      <c r="AE26" s="41">
        <v>1</v>
      </c>
      <c r="AF26" s="41">
        <v>1</v>
      </c>
      <c r="AG26" s="63">
        <f t="shared" si="4"/>
        <v>100</v>
      </c>
      <c r="AH26" s="70">
        <v>16800000</v>
      </c>
      <c r="AI26" s="70">
        <v>3633000</v>
      </c>
      <c r="AJ26" s="59">
        <f t="shared" si="2"/>
        <v>0.21625</v>
      </c>
      <c r="AK26" s="95" t="s">
        <v>373</v>
      </c>
      <c r="AL26" s="41">
        <v>1</v>
      </c>
      <c r="AM26" s="41">
        <v>0</v>
      </c>
      <c r="AN26" s="63">
        <f t="shared" si="13"/>
        <v>0</v>
      </c>
      <c r="AO26" s="70">
        <v>0</v>
      </c>
      <c r="AP26" s="70">
        <v>0</v>
      </c>
      <c r="AQ26" s="59" t="e">
        <f t="shared" si="12"/>
        <v>#DIV/0!</v>
      </c>
      <c r="AR26" s="132" t="s">
        <v>304</v>
      </c>
      <c r="AS26" s="52">
        <v>1</v>
      </c>
      <c r="AT26" s="52">
        <f>(M26+S26+Y26+AF26)/4</f>
        <v>0.5</v>
      </c>
      <c r="AU26" s="68">
        <f>AT26/AS26*100</f>
        <v>50</v>
      </c>
      <c r="AV26" s="95" t="s">
        <v>331</v>
      </c>
    </row>
    <row r="27" spans="1:48" s="42" customFormat="1" ht="409.5" customHeight="1" x14ac:dyDescent="0.5">
      <c r="A27" s="146"/>
      <c r="B27" s="147"/>
      <c r="C27" s="147"/>
      <c r="D27" s="146"/>
      <c r="E27" s="147"/>
      <c r="F27" s="153"/>
      <c r="G27" s="151"/>
      <c r="H27" s="154"/>
      <c r="I27" s="77" t="s">
        <v>229</v>
      </c>
      <c r="J27" s="54" t="s">
        <v>110</v>
      </c>
      <c r="K27" s="54" t="s">
        <v>111</v>
      </c>
      <c r="L27" s="41">
        <v>1</v>
      </c>
      <c r="M27" s="41">
        <v>0</v>
      </c>
      <c r="N27" s="47">
        <f t="shared" si="0"/>
        <v>0</v>
      </c>
      <c r="O27" s="41"/>
      <c r="P27" s="41"/>
      <c r="Q27" s="57" t="s">
        <v>260</v>
      </c>
      <c r="R27" s="41">
        <v>1</v>
      </c>
      <c r="S27" s="41">
        <v>1</v>
      </c>
      <c r="T27" s="44">
        <f t="shared" si="1"/>
        <v>100</v>
      </c>
      <c r="U27" s="41"/>
      <c r="V27" s="46">
        <v>1650000</v>
      </c>
      <c r="W27" s="58" t="s">
        <v>287</v>
      </c>
      <c r="X27" s="41">
        <v>1</v>
      </c>
      <c r="Y27" s="41">
        <v>1</v>
      </c>
      <c r="Z27" s="63">
        <f t="shared" si="7"/>
        <v>100</v>
      </c>
      <c r="AA27" s="65">
        <v>0</v>
      </c>
      <c r="AB27" s="46">
        <v>0</v>
      </c>
      <c r="AC27" s="59">
        <v>0</v>
      </c>
      <c r="AD27" s="96" t="s">
        <v>320</v>
      </c>
      <c r="AE27" s="41">
        <v>1</v>
      </c>
      <c r="AF27" s="41">
        <v>1</v>
      </c>
      <c r="AG27" s="63">
        <f t="shared" si="4"/>
        <v>100</v>
      </c>
      <c r="AH27" s="70">
        <v>16800000</v>
      </c>
      <c r="AI27" s="70">
        <v>3633000</v>
      </c>
      <c r="AJ27" s="59">
        <f t="shared" si="2"/>
        <v>0.21625</v>
      </c>
      <c r="AK27" s="95" t="s">
        <v>376</v>
      </c>
      <c r="AL27" s="41">
        <v>1</v>
      </c>
      <c r="AM27" s="41">
        <v>0</v>
      </c>
      <c r="AN27" s="63">
        <f t="shared" si="13"/>
        <v>0</v>
      </c>
      <c r="AO27" s="92">
        <v>0</v>
      </c>
      <c r="AP27" s="92">
        <v>0</v>
      </c>
      <c r="AQ27" s="59" t="e">
        <f t="shared" si="12"/>
        <v>#DIV/0!</v>
      </c>
      <c r="AR27" s="132" t="s">
        <v>304</v>
      </c>
      <c r="AS27" s="52">
        <v>1</v>
      </c>
      <c r="AT27" s="41">
        <f>(M27+S27+Y27+AF27)/4</f>
        <v>0.75</v>
      </c>
      <c r="AU27" s="68">
        <f>AT27/AS27*100</f>
        <v>75</v>
      </c>
      <c r="AV27" s="95" t="s">
        <v>332</v>
      </c>
    </row>
    <row r="28" spans="1:48" s="42" customFormat="1" ht="218.25" customHeight="1" x14ac:dyDescent="0.5">
      <c r="A28" s="146"/>
      <c r="B28" s="147"/>
      <c r="C28" s="147"/>
      <c r="D28" s="146"/>
      <c r="E28" s="147"/>
      <c r="F28" s="153"/>
      <c r="G28" s="39" t="s">
        <v>188</v>
      </c>
      <c r="H28" s="34" t="s">
        <v>209</v>
      </c>
      <c r="I28" s="77" t="s">
        <v>61</v>
      </c>
      <c r="J28" s="54" t="s">
        <v>93</v>
      </c>
      <c r="K28" s="54" t="s">
        <v>111</v>
      </c>
      <c r="L28" s="41">
        <v>1</v>
      </c>
      <c r="M28" s="41">
        <v>0</v>
      </c>
      <c r="N28" s="47">
        <f t="shared" si="0"/>
        <v>0</v>
      </c>
      <c r="O28" s="41"/>
      <c r="P28" s="41"/>
      <c r="Q28" s="57" t="s">
        <v>260</v>
      </c>
      <c r="R28" s="41">
        <v>1</v>
      </c>
      <c r="S28" s="41">
        <v>0</v>
      </c>
      <c r="T28" s="44">
        <f t="shared" si="1"/>
        <v>0</v>
      </c>
      <c r="U28" s="41"/>
      <c r="V28" s="46">
        <v>1650000</v>
      </c>
      <c r="W28" s="58" t="s">
        <v>343</v>
      </c>
      <c r="X28" s="41">
        <v>1</v>
      </c>
      <c r="Y28" s="41">
        <v>0</v>
      </c>
      <c r="Z28" s="63">
        <f t="shared" si="7"/>
        <v>0</v>
      </c>
      <c r="AA28" s="65">
        <v>0</v>
      </c>
      <c r="AB28" s="46">
        <v>0</v>
      </c>
      <c r="AC28" s="59">
        <v>0</v>
      </c>
      <c r="AD28" s="96" t="s">
        <v>304</v>
      </c>
      <c r="AE28" s="41">
        <v>1</v>
      </c>
      <c r="AF28" s="41">
        <v>1</v>
      </c>
      <c r="AG28" s="63">
        <f t="shared" si="4"/>
        <v>100</v>
      </c>
      <c r="AH28" s="70">
        <v>14200000</v>
      </c>
      <c r="AI28" s="70">
        <v>6500000</v>
      </c>
      <c r="AJ28" s="59">
        <f t="shared" si="2"/>
        <v>0.45774647887323944</v>
      </c>
      <c r="AK28" s="95" t="s">
        <v>374</v>
      </c>
      <c r="AL28" s="41">
        <v>0</v>
      </c>
      <c r="AM28" s="41">
        <v>0</v>
      </c>
      <c r="AN28" s="63" t="e">
        <f t="shared" si="13"/>
        <v>#DIV/0!</v>
      </c>
      <c r="AO28" s="70">
        <v>0</v>
      </c>
      <c r="AP28" s="70">
        <v>0</v>
      </c>
      <c r="AQ28" s="59" t="e">
        <f t="shared" si="12"/>
        <v>#DIV/0!</v>
      </c>
      <c r="AR28" s="132" t="s">
        <v>304</v>
      </c>
      <c r="AS28" s="41">
        <v>1</v>
      </c>
      <c r="AT28" s="41">
        <v>1</v>
      </c>
      <c r="AU28" s="68">
        <f t="shared" ref="AU28:AU42" si="14">AT28/AS28*100</f>
        <v>100</v>
      </c>
      <c r="AV28" s="96" t="s">
        <v>351</v>
      </c>
    </row>
    <row r="29" spans="1:48" s="42" customFormat="1" ht="346.5" customHeight="1" x14ac:dyDescent="0.5">
      <c r="A29" s="146"/>
      <c r="B29" s="147"/>
      <c r="C29" s="147"/>
      <c r="D29" s="146"/>
      <c r="E29" s="147"/>
      <c r="F29" s="153"/>
      <c r="G29" s="39" t="s">
        <v>189</v>
      </c>
      <c r="H29" s="34" t="s">
        <v>210</v>
      </c>
      <c r="I29" s="77" t="s">
        <v>135</v>
      </c>
      <c r="J29" s="54" t="s">
        <v>112</v>
      </c>
      <c r="K29" s="54" t="s">
        <v>111</v>
      </c>
      <c r="L29" s="41">
        <v>1</v>
      </c>
      <c r="M29" s="41">
        <v>0</v>
      </c>
      <c r="N29" s="47">
        <f t="shared" si="0"/>
        <v>0</v>
      </c>
      <c r="O29" s="41"/>
      <c r="P29" s="41"/>
      <c r="Q29" s="57" t="s">
        <v>260</v>
      </c>
      <c r="R29" s="41">
        <v>1</v>
      </c>
      <c r="S29" s="41">
        <v>0</v>
      </c>
      <c r="T29" s="44">
        <f t="shared" si="1"/>
        <v>0</v>
      </c>
      <c r="U29" s="41"/>
      <c r="V29" s="46">
        <v>961660</v>
      </c>
      <c r="W29" s="58" t="s">
        <v>300</v>
      </c>
      <c r="X29" s="41">
        <v>1</v>
      </c>
      <c r="Y29" s="41">
        <v>1</v>
      </c>
      <c r="Z29" s="63">
        <f t="shared" si="7"/>
        <v>100</v>
      </c>
      <c r="AA29" s="65">
        <v>9600000</v>
      </c>
      <c r="AB29" s="46">
        <v>3300000</v>
      </c>
      <c r="AC29" s="59">
        <f>AB29/AA29</f>
        <v>0.34375</v>
      </c>
      <c r="AD29" s="96" t="s">
        <v>315</v>
      </c>
      <c r="AE29" s="126">
        <v>0</v>
      </c>
      <c r="AF29" s="41">
        <v>0</v>
      </c>
      <c r="AG29" s="63">
        <v>0</v>
      </c>
      <c r="AH29" s="70">
        <v>0</v>
      </c>
      <c r="AI29" s="70">
        <v>0</v>
      </c>
      <c r="AJ29" s="59">
        <v>0</v>
      </c>
      <c r="AK29" s="133" t="s">
        <v>365</v>
      </c>
      <c r="AL29" s="52">
        <v>0</v>
      </c>
      <c r="AM29" s="41">
        <v>0</v>
      </c>
      <c r="AN29" s="63">
        <v>0</v>
      </c>
      <c r="AO29" s="70">
        <v>0</v>
      </c>
      <c r="AP29" s="70">
        <v>0</v>
      </c>
      <c r="AQ29" s="59">
        <v>0</v>
      </c>
      <c r="AR29" s="133" t="s">
        <v>412</v>
      </c>
      <c r="AS29" s="41">
        <v>1</v>
      </c>
      <c r="AT29" s="41">
        <f>(M29+S29+Y29+AF29)/4</f>
        <v>0.25</v>
      </c>
      <c r="AU29" s="68">
        <f t="shared" si="14"/>
        <v>25</v>
      </c>
      <c r="AV29" s="96" t="s">
        <v>333</v>
      </c>
    </row>
    <row r="30" spans="1:48" s="42" customFormat="1" ht="409.6" customHeight="1" x14ac:dyDescent="0.5">
      <c r="A30" s="146"/>
      <c r="B30" s="147"/>
      <c r="C30" s="147"/>
      <c r="D30" s="146"/>
      <c r="E30" s="147"/>
      <c r="F30" s="153"/>
      <c r="G30" s="39" t="s">
        <v>190</v>
      </c>
      <c r="H30" s="34" t="s">
        <v>62</v>
      </c>
      <c r="I30" s="77" t="s">
        <v>136</v>
      </c>
      <c r="J30" s="54" t="s">
        <v>82</v>
      </c>
      <c r="K30" s="54" t="s">
        <v>111</v>
      </c>
      <c r="L30" s="41">
        <v>12</v>
      </c>
      <c r="M30" s="41">
        <v>0</v>
      </c>
      <c r="N30" s="47">
        <f t="shared" si="0"/>
        <v>0</v>
      </c>
      <c r="O30" s="41"/>
      <c r="P30" s="41"/>
      <c r="Q30" s="57" t="s">
        <v>260</v>
      </c>
      <c r="R30" s="41">
        <v>12</v>
      </c>
      <c r="S30" s="41">
        <v>0</v>
      </c>
      <c r="T30" s="44">
        <f t="shared" si="1"/>
        <v>0</v>
      </c>
      <c r="U30" s="41"/>
      <c r="V30" s="46">
        <v>2200000</v>
      </c>
      <c r="W30" s="58" t="s">
        <v>288</v>
      </c>
      <c r="X30" s="41">
        <v>12</v>
      </c>
      <c r="Y30" s="41">
        <v>6</v>
      </c>
      <c r="Z30" s="63">
        <f t="shared" si="7"/>
        <v>50</v>
      </c>
      <c r="AA30" s="65">
        <v>0</v>
      </c>
      <c r="AB30" s="46">
        <v>0</v>
      </c>
      <c r="AC30" s="59">
        <v>0</v>
      </c>
      <c r="AD30" s="96" t="s">
        <v>360</v>
      </c>
      <c r="AE30" s="126">
        <v>0</v>
      </c>
      <c r="AF30" s="52">
        <v>0</v>
      </c>
      <c r="AG30" s="63" t="e">
        <f t="shared" si="4"/>
        <v>#DIV/0!</v>
      </c>
      <c r="AH30" s="70">
        <v>36280000</v>
      </c>
      <c r="AI30" s="70">
        <v>9100000</v>
      </c>
      <c r="AJ30" s="59">
        <v>0</v>
      </c>
      <c r="AK30" s="133" t="s">
        <v>404</v>
      </c>
      <c r="AL30" s="52">
        <v>2</v>
      </c>
      <c r="AM30" s="52">
        <v>0</v>
      </c>
      <c r="AN30" s="63">
        <f t="shared" ref="AN30:AN36" si="15">(AM30/AL30)*100</f>
        <v>0</v>
      </c>
      <c r="AO30" s="70">
        <v>0</v>
      </c>
      <c r="AP30" s="70">
        <v>0</v>
      </c>
      <c r="AQ30" s="59">
        <v>0</v>
      </c>
      <c r="AR30" s="133" t="s">
        <v>423</v>
      </c>
      <c r="AS30" s="52">
        <v>12</v>
      </c>
      <c r="AT30" s="52">
        <f>(M30+S30+Y30+AF30)/4</f>
        <v>1.5</v>
      </c>
      <c r="AU30" s="68">
        <f t="shared" si="14"/>
        <v>12.5</v>
      </c>
      <c r="AV30" s="96" t="s">
        <v>403</v>
      </c>
    </row>
    <row r="31" spans="1:48" s="42" customFormat="1" ht="409.6" customHeight="1" x14ac:dyDescent="0.5">
      <c r="A31" s="146"/>
      <c r="B31" s="147"/>
      <c r="C31" s="147"/>
      <c r="D31" s="146"/>
      <c r="E31" s="147"/>
      <c r="F31" s="154"/>
      <c r="G31" s="39" t="s">
        <v>191</v>
      </c>
      <c r="H31" s="34" t="s">
        <v>211</v>
      </c>
      <c r="I31" s="77" t="s">
        <v>230</v>
      </c>
      <c r="J31" s="54" t="s">
        <v>113</v>
      </c>
      <c r="K31" s="54" t="s">
        <v>111</v>
      </c>
      <c r="L31" s="52">
        <v>1</v>
      </c>
      <c r="M31" s="41">
        <v>0</v>
      </c>
      <c r="N31" s="47">
        <f t="shared" si="0"/>
        <v>0</v>
      </c>
      <c r="O31" s="41"/>
      <c r="P31" s="41"/>
      <c r="Q31" s="57" t="s">
        <v>260</v>
      </c>
      <c r="R31" s="41">
        <v>1</v>
      </c>
      <c r="S31" s="41"/>
      <c r="T31" s="44">
        <f t="shared" si="1"/>
        <v>0</v>
      </c>
      <c r="U31" s="41"/>
      <c r="V31" s="46">
        <v>69240000</v>
      </c>
      <c r="W31" s="58" t="s">
        <v>289</v>
      </c>
      <c r="X31" s="41">
        <v>1</v>
      </c>
      <c r="Y31" s="41">
        <v>1</v>
      </c>
      <c r="Z31" s="63">
        <f t="shared" si="7"/>
        <v>100</v>
      </c>
      <c r="AA31" s="65">
        <v>0</v>
      </c>
      <c r="AB31" s="46">
        <v>37583333</v>
      </c>
      <c r="AC31" s="59" t="e">
        <f t="shared" si="8"/>
        <v>#DIV/0!</v>
      </c>
      <c r="AD31" s="96" t="s">
        <v>361</v>
      </c>
      <c r="AE31" s="41">
        <v>1</v>
      </c>
      <c r="AF31" s="41">
        <v>1</v>
      </c>
      <c r="AG31" s="63">
        <f t="shared" si="4"/>
        <v>100</v>
      </c>
      <c r="AH31" s="70">
        <v>115000000</v>
      </c>
      <c r="AI31" s="136">
        <v>2200000</v>
      </c>
      <c r="AJ31" s="125">
        <v>1.9099999999999999E-2</v>
      </c>
      <c r="AK31" s="96" t="s">
        <v>384</v>
      </c>
      <c r="AL31" s="41">
        <v>1</v>
      </c>
      <c r="AM31" s="41">
        <v>0</v>
      </c>
      <c r="AN31" s="63">
        <f t="shared" si="15"/>
        <v>0</v>
      </c>
      <c r="AO31" s="70">
        <v>0</v>
      </c>
      <c r="AP31" s="136">
        <v>0</v>
      </c>
      <c r="AQ31" s="125">
        <v>1.9099999999999999E-2</v>
      </c>
      <c r="AR31" s="132" t="s">
        <v>304</v>
      </c>
      <c r="AS31" s="41">
        <v>1</v>
      </c>
      <c r="AT31" s="41">
        <v>1</v>
      </c>
      <c r="AU31" s="68">
        <f t="shared" si="14"/>
        <v>100</v>
      </c>
      <c r="AV31" s="96" t="s">
        <v>387</v>
      </c>
    </row>
    <row r="32" spans="1:48" s="42" customFormat="1" ht="299.25" customHeight="1" x14ac:dyDescent="0.5">
      <c r="A32" s="146"/>
      <c r="B32" s="147"/>
      <c r="C32" s="147"/>
      <c r="D32" s="146"/>
      <c r="E32" s="39" t="s">
        <v>168</v>
      </c>
      <c r="F32" s="34" t="s">
        <v>35</v>
      </c>
      <c r="G32" s="39" t="s">
        <v>192</v>
      </c>
      <c r="H32" s="36" t="s">
        <v>212</v>
      </c>
      <c r="I32" s="76" t="s">
        <v>63</v>
      </c>
      <c r="J32" s="54" t="s">
        <v>114</v>
      </c>
      <c r="K32" s="54" t="s">
        <v>83</v>
      </c>
      <c r="L32" s="41">
        <v>1</v>
      </c>
      <c r="M32" s="41">
        <v>0</v>
      </c>
      <c r="N32" s="47">
        <f t="shared" si="0"/>
        <v>0</v>
      </c>
      <c r="O32" s="41"/>
      <c r="P32" s="41"/>
      <c r="Q32" s="57" t="s">
        <v>260</v>
      </c>
      <c r="R32" s="41">
        <v>1</v>
      </c>
      <c r="S32" s="41">
        <v>1</v>
      </c>
      <c r="T32" s="44">
        <f t="shared" si="1"/>
        <v>100</v>
      </c>
      <c r="U32" s="41"/>
      <c r="V32" s="46">
        <v>641110</v>
      </c>
      <c r="W32" s="58" t="s">
        <v>271</v>
      </c>
      <c r="X32" s="41">
        <v>1</v>
      </c>
      <c r="Y32" s="41">
        <v>1</v>
      </c>
      <c r="Z32" s="63">
        <f t="shared" si="7"/>
        <v>100</v>
      </c>
      <c r="AA32" s="65">
        <v>721250</v>
      </c>
      <c r="AB32" s="65">
        <v>721250</v>
      </c>
      <c r="AC32" s="59">
        <f t="shared" si="8"/>
        <v>1</v>
      </c>
      <c r="AD32" s="96" t="s">
        <v>307</v>
      </c>
      <c r="AE32" s="41">
        <v>1</v>
      </c>
      <c r="AF32" s="41">
        <v>1</v>
      </c>
      <c r="AG32" s="63">
        <f t="shared" si="4"/>
        <v>100</v>
      </c>
      <c r="AH32" s="70">
        <v>0</v>
      </c>
      <c r="AI32" s="70">
        <v>0</v>
      </c>
      <c r="AJ32" s="59">
        <v>0</v>
      </c>
      <c r="AK32" s="95" t="s">
        <v>342</v>
      </c>
      <c r="AL32" s="41">
        <v>1</v>
      </c>
      <c r="AM32" s="41">
        <v>0</v>
      </c>
      <c r="AN32" s="63">
        <f t="shared" si="15"/>
        <v>0</v>
      </c>
      <c r="AO32" s="70">
        <v>0</v>
      </c>
      <c r="AP32" s="70">
        <v>0</v>
      </c>
      <c r="AQ32" s="59">
        <v>0</v>
      </c>
      <c r="AR32" s="132" t="s">
        <v>304</v>
      </c>
      <c r="AS32" s="41">
        <v>1</v>
      </c>
      <c r="AT32" s="41">
        <v>1</v>
      </c>
      <c r="AU32" s="68">
        <f t="shared" si="14"/>
        <v>100</v>
      </c>
      <c r="AV32" s="95" t="s">
        <v>348</v>
      </c>
    </row>
    <row r="33" spans="1:48" s="42" customFormat="1" ht="409.6" x14ac:dyDescent="0.5">
      <c r="A33" s="146"/>
      <c r="B33" s="147"/>
      <c r="C33" s="147" t="s">
        <v>152</v>
      </c>
      <c r="D33" s="147" t="s">
        <v>36</v>
      </c>
      <c r="E33" s="147" t="s">
        <v>169</v>
      </c>
      <c r="F33" s="157" t="s">
        <v>37</v>
      </c>
      <c r="G33" s="39" t="s">
        <v>193</v>
      </c>
      <c r="H33" s="82" t="s">
        <v>64</v>
      </c>
      <c r="I33" s="83" t="s">
        <v>231</v>
      </c>
      <c r="J33" s="84" t="s">
        <v>115</v>
      </c>
      <c r="K33" s="84" t="s">
        <v>116</v>
      </c>
      <c r="L33" s="41">
        <v>1</v>
      </c>
      <c r="M33" s="41">
        <v>0</v>
      </c>
      <c r="N33" s="47">
        <f t="shared" si="0"/>
        <v>0</v>
      </c>
      <c r="O33" s="41"/>
      <c r="P33" s="41"/>
      <c r="Q33" s="57" t="s">
        <v>260</v>
      </c>
      <c r="R33" s="41">
        <v>1</v>
      </c>
      <c r="S33" s="41">
        <v>0</v>
      </c>
      <c r="T33" s="44">
        <f t="shared" si="1"/>
        <v>0</v>
      </c>
      <c r="U33" s="41"/>
      <c r="V33" s="46">
        <v>0</v>
      </c>
      <c r="W33" s="58" t="s">
        <v>260</v>
      </c>
      <c r="X33" s="41">
        <v>1</v>
      </c>
      <c r="Y33" s="41">
        <v>1</v>
      </c>
      <c r="Z33" s="63">
        <f t="shared" si="7"/>
        <v>100</v>
      </c>
      <c r="AA33" s="65">
        <v>1197082</v>
      </c>
      <c r="AB33" s="46">
        <v>598541</v>
      </c>
      <c r="AC33" s="59">
        <f t="shared" si="8"/>
        <v>0.5</v>
      </c>
      <c r="AD33" s="96" t="s">
        <v>312</v>
      </c>
      <c r="AE33" s="41">
        <v>1</v>
      </c>
      <c r="AF33" s="41">
        <v>1</v>
      </c>
      <c r="AG33" s="63">
        <f t="shared" si="4"/>
        <v>100</v>
      </c>
      <c r="AH33" s="70">
        <v>1200000</v>
      </c>
      <c r="AI33" s="70">
        <v>1200000</v>
      </c>
      <c r="AJ33" s="59">
        <f>+AI33/AH33</f>
        <v>1</v>
      </c>
      <c r="AK33" s="96" t="s">
        <v>391</v>
      </c>
      <c r="AL33" s="41">
        <v>1</v>
      </c>
      <c r="AM33" s="41">
        <v>0</v>
      </c>
      <c r="AN33" s="63">
        <f t="shared" si="15"/>
        <v>0</v>
      </c>
      <c r="AO33" s="70">
        <v>0</v>
      </c>
      <c r="AP33" s="70">
        <v>0</v>
      </c>
      <c r="AQ33" s="59" t="e">
        <f>+AP33/AO33</f>
        <v>#DIV/0!</v>
      </c>
      <c r="AR33" s="132" t="s">
        <v>304</v>
      </c>
      <c r="AS33" s="52">
        <v>1</v>
      </c>
      <c r="AT33" s="41">
        <f>(M33+S33+Y33+AF33)/4</f>
        <v>0.5</v>
      </c>
      <c r="AU33" s="68">
        <f t="shared" si="14"/>
        <v>50</v>
      </c>
      <c r="AV33" s="96" t="s">
        <v>406</v>
      </c>
    </row>
    <row r="34" spans="1:48" s="42" customFormat="1" ht="393.6" x14ac:dyDescent="0.5">
      <c r="A34" s="146"/>
      <c r="B34" s="147"/>
      <c r="C34" s="147"/>
      <c r="D34" s="147"/>
      <c r="E34" s="147"/>
      <c r="F34" s="157"/>
      <c r="G34" s="39" t="s">
        <v>194</v>
      </c>
      <c r="H34" s="34" t="s">
        <v>213</v>
      </c>
      <c r="I34" s="77" t="s">
        <v>66</v>
      </c>
      <c r="J34" s="54" t="s">
        <v>117</v>
      </c>
      <c r="K34" s="54" t="s">
        <v>116</v>
      </c>
      <c r="L34" s="41">
        <v>1</v>
      </c>
      <c r="M34" s="41">
        <v>0</v>
      </c>
      <c r="N34" s="47">
        <f t="shared" si="0"/>
        <v>0</v>
      </c>
      <c r="O34" s="41"/>
      <c r="P34" s="41"/>
      <c r="Q34" s="57" t="s">
        <v>264</v>
      </c>
      <c r="R34" s="41">
        <v>54</v>
      </c>
      <c r="S34" s="41">
        <v>54</v>
      </c>
      <c r="T34" s="44">
        <f t="shared" si="1"/>
        <v>100</v>
      </c>
      <c r="U34" s="41"/>
      <c r="V34" s="46">
        <v>19810334</v>
      </c>
      <c r="W34" s="58" t="s">
        <v>272</v>
      </c>
      <c r="X34" s="64">
        <v>1</v>
      </c>
      <c r="Y34" s="64">
        <v>1</v>
      </c>
      <c r="Z34" s="63">
        <f>(Y34/X34)*100</f>
        <v>100</v>
      </c>
      <c r="AA34" s="65">
        <v>0</v>
      </c>
      <c r="AB34" s="46">
        <v>0</v>
      </c>
      <c r="AC34" s="59">
        <v>0</v>
      </c>
      <c r="AD34" s="96" t="s">
        <v>266</v>
      </c>
      <c r="AE34" s="64">
        <v>1</v>
      </c>
      <c r="AF34" s="64">
        <v>1</v>
      </c>
      <c r="AG34" s="63">
        <f t="shared" si="4"/>
        <v>100</v>
      </c>
      <c r="AH34" s="72">
        <f>1600000</f>
        <v>1600000</v>
      </c>
      <c r="AI34" s="72">
        <f>800000</f>
        <v>800000</v>
      </c>
      <c r="AJ34" s="59">
        <f t="shared" si="2"/>
        <v>0.5</v>
      </c>
      <c r="AK34" s="96" t="s">
        <v>352</v>
      </c>
      <c r="AL34" s="64">
        <v>1</v>
      </c>
      <c r="AM34" s="64">
        <v>0</v>
      </c>
      <c r="AN34" s="63">
        <f t="shared" si="15"/>
        <v>0</v>
      </c>
      <c r="AO34" s="72">
        <v>0</v>
      </c>
      <c r="AP34" s="72">
        <v>0</v>
      </c>
      <c r="AQ34" s="59" t="e">
        <f t="shared" ref="AQ34" si="16">+(AP34/AO34)</f>
        <v>#DIV/0!</v>
      </c>
      <c r="AR34" s="132" t="s">
        <v>304</v>
      </c>
      <c r="AS34" s="64">
        <v>1</v>
      </c>
      <c r="AT34" s="64">
        <v>1</v>
      </c>
      <c r="AU34" s="68">
        <f t="shared" si="14"/>
        <v>100</v>
      </c>
      <c r="AV34" s="169" t="s">
        <v>334</v>
      </c>
    </row>
    <row r="35" spans="1:48" s="93" customFormat="1" ht="409.5" customHeight="1" x14ac:dyDescent="0.5">
      <c r="A35" s="146"/>
      <c r="B35" s="147"/>
      <c r="C35" s="147"/>
      <c r="D35" s="147"/>
      <c r="E35" s="147"/>
      <c r="F35" s="157"/>
      <c r="G35" s="81" t="s">
        <v>195</v>
      </c>
      <c r="H35" s="82" t="s">
        <v>50</v>
      </c>
      <c r="I35" s="83" t="s">
        <v>67</v>
      </c>
      <c r="J35" s="84" t="s">
        <v>82</v>
      </c>
      <c r="K35" s="84" t="s">
        <v>116</v>
      </c>
      <c r="L35" s="52">
        <v>12</v>
      </c>
      <c r="M35" s="52">
        <v>0</v>
      </c>
      <c r="N35" s="85">
        <f t="shared" si="0"/>
        <v>0</v>
      </c>
      <c r="O35" s="52"/>
      <c r="P35" s="52"/>
      <c r="Q35" s="86" t="s">
        <v>260</v>
      </c>
      <c r="R35" s="52">
        <v>12</v>
      </c>
      <c r="S35" s="52">
        <v>0</v>
      </c>
      <c r="T35" s="52">
        <f t="shared" si="1"/>
        <v>0</v>
      </c>
      <c r="U35" s="52"/>
      <c r="V35" s="88">
        <v>0</v>
      </c>
      <c r="W35" s="89" t="s">
        <v>301</v>
      </c>
      <c r="X35" s="52">
        <v>12</v>
      </c>
      <c r="Y35" s="52">
        <v>12</v>
      </c>
      <c r="Z35" s="85">
        <f>(Y35/X35)*100</f>
        <v>100</v>
      </c>
      <c r="AA35" s="91">
        <f>1310332+1100000+865500+463750+25770000</f>
        <v>29509582</v>
      </c>
      <c r="AB35" s="88">
        <f>655166+1100000+865500+463750+25676000</f>
        <v>28760416</v>
      </c>
      <c r="AC35" s="85">
        <f t="shared" si="8"/>
        <v>0.97461278848341537</v>
      </c>
      <c r="AD35" s="96" t="s">
        <v>362</v>
      </c>
      <c r="AE35" s="52">
        <v>1</v>
      </c>
      <c r="AF35" s="52">
        <v>1</v>
      </c>
      <c r="AG35" s="90">
        <f t="shared" si="4"/>
        <v>100</v>
      </c>
      <c r="AH35" s="70">
        <v>1200000</v>
      </c>
      <c r="AI35" s="70">
        <v>1200000</v>
      </c>
      <c r="AJ35" s="59">
        <f>+AI35/AH35</f>
        <v>1</v>
      </c>
      <c r="AK35" s="96" t="s">
        <v>392</v>
      </c>
      <c r="AL35" s="52">
        <v>1</v>
      </c>
      <c r="AM35" s="52">
        <v>0</v>
      </c>
      <c r="AN35" s="90">
        <f t="shared" si="15"/>
        <v>0</v>
      </c>
      <c r="AO35" s="70">
        <v>0</v>
      </c>
      <c r="AP35" s="70">
        <v>0</v>
      </c>
      <c r="AQ35" s="59" t="e">
        <f>+AP35/AO35</f>
        <v>#DIV/0!</v>
      </c>
      <c r="AR35" s="132" t="s">
        <v>304</v>
      </c>
      <c r="AS35" s="52">
        <v>12</v>
      </c>
      <c r="AT35" s="52">
        <f>(M35+S35+Y35+AF35)/4</f>
        <v>3.25</v>
      </c>
      <c r="AU35" s="85">
        <f t="shared" si="14"/>
        <v>27.083333333333332</v>
      </c>
      <c r="AV35" s="96" t="s">
        <v>405</v>
      </c>
    </row>
    <row r="36" spans="1:48" s="93" customFormat="1" ht="207" customHeight="1" x14ac:dyDescent="0.5">
      <c r="A36" s="146"/>
      <c r="B36" s="147"/>
      <c r="C36" s="147"/>
      <c r="D36" s="147"/>
      <c r="E36" s="147"/>
      <c r="F36" s="157"/>
      <c r="G36" s="81" t="s">
        <v>196</v>
      </c>
      <c r="H36" s="82" t="s">
        <v>65</v>
      </c>
      <c r="I36" s="83" t="s">
        <v>137</v>
      </c>
      <c r="J36" s="84" t="s">
        <v>118</v>
      </c>
      <c r="K36" s="84" t="s">
        <v>119</v>
      </c>
      <c r="L36" s="52">
        <v>0</v>
      </c>
      <c r="M36" s="52">
        <v>0</v>
      </c>
      <c r="N36" s="85">
        <v>0</v>
      </c>
      <c r="O36" s="52"/>
      <c r="P36" s="52"/>
      <c r="Q36" s="86" t="s">
        <v>260</v>
      </c>
      <c r="R36" s="52">
        <v>1</v>
      </c>
      <c r="S36" s="52">
        <v>0</v>
      </c>
      <c r="T36" s="52">
        <f t="shared" si="1"/>
        <v>0</v>
      </c>
      <c r="U36" s="52"/>
      <c r="V36" s="88">
        <v>0</v>
      </c>
      <c r="W36" s="89" t="s">
        <v>290</v>
      </c>
      <c r="X36" s="52">
        <v>1</v>
      </c>
      <c r="Y36" s="52">
        <v>0</v>
      </c>
      <c r="Z36" s="85">
        <f>(Y36/X36)*100</f>
        <v>0</v>
      </c>
      <c r="AA36" s="91">
        <v>0</v>
      </c>
      <c r="AB36" s="88">
        <v>0</v>
      </c>
      <c r="AC36" s="85">
        <v>0</v>
      </c>
      <c r="AD36" s="96" t="s">
        <v>304</v>
      </c>
      <c r="AE36" s="52">
        <v>1</v>
      </c>
      <c r="AF36" s="52">
        <v>1</v>
      </c>
      <c r="AG36" s="90">
        <f t="shared" si="4"/>
        <v>100</v>
      </c>
      <c r="AH36" s="92">
        <v>8001089</v>
      </c>
      <c r="AI36" s="92">
        <v>8001089</v>
      </c>
      <c r="AJ36" s="59">
        <f t="shared" si="2"/>
        <v>1</v>
      </c>
      <c r="AK36" s="96" t="s">
        <v>396</v>
      </c>
      <c r="AL36" s="52">
        <v>1</v>
      </c>
      <c r="AM36" s="52">
        <v>0</v>
      </c>
      <c r="AN36" s="90">
        <f t="shared" si="15"/>
        <v>0</v>
      </c>
      <c r="AO36" s="92">
        <v>0</v>
      </c>
      <c r="AP36" s="92">
        <v>0</v>
      </c>
      <c r="AQ36" s="59" t="e">
        <f t="shared" ref="AQ36" si="17">+(AP36/AO36)</f>
        <v>#DIV/0!</v>
      </c>
      <c r="AR36" s="132" t="s">
        <v>304</v>
      </c>
      <c r="AS36" s="52">
        <v>1</v>
      </c>
      <c r="AT36" s="52">
        <v>1</v>
      </c>
      <c r="AU36" s="85">
        <f t="shared" si="14"/>
        <v>100</v>
      </c>
      <c r="AV36" s="96" t="s">
        <v>366</v>
      </c>
    </row>
    <row r="37" spans="1:48" s="42" customFormat="1" ht="140.25" customHeight="1" x14ac:dyDescent="0.5">
      <c r="A37" s="146"/>
      <c r="B37" s="147"/>
      <c r="C37" s="147"/>
      <c r="D37" s="147"/>
      <c r="E37" s="147"/>
      <c r="F37" s="157"/>
      <c r="G37" s="39" t="s">
        <v>197</v>
      </c>
      <c r="H37" s="36" t="s">
        <v>214</v>
      </c>
      <c r="I37" s="78" t="s">
        <v>68</v>
      </c>
      <c r="J37" s="54" t="s">
        <v>98</v>
      </c>
      <c r="K37" s="54" t="s">
        <v>120</v>
      </c>
      <c r="L37" s="41">
        <v>1</v>
      </c>
      <c r="M37" s="41">
        <v>1</v>
      </c>
      <c r="N37" s="47">
        <f t="shared" si="0"/>
        <v>100</v>
      </c>
      <c r="O37" s="41"/>
      <c r="P37" s="41"/>
      <c r="Q37" s="57" t="s">
        <v>285</v>
      </c>
      <c r="R37" s="41">
        <v>1</v>
      </c>
      <c r="S37" s="41">
        <v>0</v>
      </c>
      <c r="T37" s="44">
        <f t="shared" si="1"/>
        <v>0</v>
      </c>
      <c r="U37" s="41"/>
      <c r="V37" s="46">
        <v>0</v>
      </c>
      <c r="W37" s="58" t="s">
        <v>260</v>
      </c>
      <c r="X37" s="41">
        <v>0</v>
      </c>
      <c r="Y37" s="41">
        <v>0</v>
      </c>
      <c r="Z37" s="63" t="s">
        <v>299</v>
      </c>
      <c r="AA37" s="65">
        <v>0</v>
      </c>
      <c r="AB37" s="46">
        <v>0</v>
      </c>
      <c r="AC37" s="59">
        <v>0</v>
      </c>
      <c r="AD37" s="96" t="s">
        <v>306</v>
      </c>
      <c r="AE37" s="126">
        <v>0</v>
      </c>
      <c r="AF37" s="41">
        <v>0</v>
      </c>
      <c r="AG37" s="63">
        <v>0</v>
      </c>
      <c r="AH37" s="70">
        <v>0</v>
      </c>
      <c r="AI37" s="70">
        <v>0</v>
      </c>
      <c r="AJ37" s="59">
        <v>0</v>
      </c>
      <c r="AK37" s="119" t="s">
        <v>321</v>
      </c>
      <c r="AL37" s="126">
        <v>0</v>
      </c>
      <c r="AM37" s="41">
        <v>0</v>
      </c>
      <c r="AN37" s="63">
        <v>0</v>
      </c>
      <c r="AO37" s="70">
        <v>0</v>
      </c>
      <c r="AP37" s="70">
        <v>0</v>
      </c>
      <c r="AQ37" s="59">
        <v>0</v>
      </c>
      <c r="AR37" s="133" t="s">
        <v>412</v>
      </c>
      <c r="AS37" s="66">
        <v>1</v>
      </c>
      <c r="AT37" s="66">
        <v>1</v>
      </c>
      <c r="AU37" s="68">
        <f t="shared" si="14"/>
        <v>100</v>
      </c>
      <c r="AV37" s="98" t="s">
        <v>367</v>
      </c>
    </row>
    <row r="38" spans="1:48" s="42" customFormat="1" ht="293.25" customHeight="1" x14ac:dyDescent="0.5">
      <c r="A38" s="146" t="s">
        <v>38</v>
      </c>
      <c r="B38" s="147" t="s">
        <v>39</v>
      </c>
      <c r="C38" s="147" t="s">
        <v>153</v>
      </c>
      <c r="D38" s="147" t="s">
        <v>40</v>
      </c>
      <c r="E38" s="147" t="s">
        <v>170</v>
      </c>
      <c r="F38" s="157" t="s">
        <v>138</v>
      </c>
      <c r="G38" s="146" t="s">
        <v>198</v>
      </c>
      <c r="H38" s="152" t="s">
        <v>215</v>
      </c>
      <c r="I38" s="78" t="s">
        <v>69</v>
      </c>
      <c r="J38" s="54" t="s">
        <v>121</v>
      </c>
      <c r="K38" s="54" t="s">
        <v>122</v>
      </c>
      <c r="L38" s="41">
        <v>1</v>
      </c>
      <c r="M38" s="41">
        <v>0</v>
      </c>
      <c r="N38" s="47">
        <f t="shared" si="0"/>
        <v>0</v>
      </c>
      <c r="O38" s="41"/>
      <c r="P38" s="41"/>
      <c r="Q38" s="57" t="s">
        <v>260</v>
      </c>
      <c r="R38" s="41">
        <v>1</v>
      </c>
      <c r="S38" s="41">
        <v>0</v>
      </c>
      <c r="T38" s="44">
        <f t="shared" si="1"/>
        <v>0</v>
      </c>
      <c r="U38" s="41"/>
      <c r="V38" s="46">
        <v>2308000</v>
      </c>
      <c r="W38" s="58" t="s">
        <v>260</v>
      </c>
      <c r="X38" s="41">
        <v>1</v>
      </c>
      <c r="Y38" s="41">
        <v>0</v>
      </c>
      <c r="Z38" s="47">
        <f>(Y38/X38)*100</f>
        <v>0</v>
      </c>
      <c r="AA38" s="65">
        <v>0</v>
      </c>
      <c r="AB38" s="46">
        <v>0</v>
      </c>
      <c r="AC38" s="59">
        <v>0</v>
      </c>
      <c r="AD38" s="96" t="s">
        <v>304</v>
      </c>
      <c r="AE38" s="126">
        <v>0</v>
      </c>
      <c r="AF38" s="41">
        <v>0</v>
      </c>
      <c r="AG38" s="63">
        <v>0</v>
      </c>
      <c r="AH38" s="70">
        <v>0</v>
      </c>
      <c r="AI38" s="70">
        <v>0</v>
      </c>
      <c r="AJ38" s="59">
        <v>0</v>
      </c>
      <c r="AK38" s="137" t="s">
        <v>321</v>
      </c>
      <c r="AL38" s="52">
        <v>0</v>
      </c>
      <c r="AM38" s="41">
        <v>0</v>
      </c>
      <c r="AN38" s="63">
        <v>0</v>
      </c>
      <c r="AO38" s="70">
        <v>0</v>
      </c>
      <c r="AP38" s="70">
        <v>0</v>
      </c>
      <c r="AQ38" s="59">
        <v>0</v>
      </c>
      <c r="AR38" s="133" t="s">
        <v>412</v>
      </c>
      <c r="AS38" s="66">
        <v>1</v>
      </c>
      <c r="AT38" s="66">
        <v>0</v>
      </c>
      <c r="AU38" s="68">
        <f t="shared" si="14"/>
        <v>0</v>
      </c>
      <c r="AV38" s="95" t="s">
        <v>335</v>
      </c>
    </row>
    <row r="39" spans="1:48" s="42" customFormat="1" ht="250.5" customHeight="1" x14ac:dyDescent="0.5">
      <c r="A39" s="146"/>
      <c r="B39" s="147"/>
      <c r="C39" s="147"/>
      <c r="D39" s="147"/>
      <c r="E39" s="147"/>
      <c r="F39" s="157"/>
      <c r="G39" s="146"/>
      <c r="H39" s="153"/>
      <c r="I39" s="77" t="s">
        <v>232</v>
      </c>
      <c r="J39" s="54" t="s">
        <v>82</v>
      </c>
      <c r="K39" s="54" t="s">
        <v>123</v>
      </c>
      <c r="L39" s="41">
        <v>12</v>
      </c>
      <c r="M39" s="41">
        <v>12</v>
      </c>
      <c r="N39" s="47">
        <f t="shared" si="0"/>
        <v>100</v>
      </c>
      <c r="O39" s="41"/>
      <c r="P39" s="41"/>
      <c r="Q39" s="57" t="s">
        <v>291</v>
      </c>
      <c r="R39" s="41">
        <v>12</v>
      </c>
      <c r="S39" s="41">
        <v>0</v>
      </c>
      <c r="T39" s="44">
        <f t="shared" si="1"/>
        <v>0</v>
      </c>
      <c r="U39" s="41"/>
      <c r="V39" s="46">
        <v>4000000</v>
      </c>
      <c r="W39" s="57" t="s">
        <v>291</v>
      </c>
      <c r="X39" s="41">
        <v>1</v>
      </c>
      <c r="Y39" s="41">
        <v>1</v>
      </c>
      <c r="Z39" s="63">
        <f t="shared" si="7"/>
        <v>100</v>
      </c>
      <c r="AA39" s="65">
        <v>2000000</v>
      </c>
      <c r="AB39" s="46">
        <v>1000000</v>
      </c>
      <c r="AC39" s="59">
        <f t="shared" si="8"/>
        <v>0.5</v>
      </c>
      <c r="AD39" s="96" t="s">
        <v>302</v>
      </c>
      <c r="AE39" s="31">
        <v>12</v>
      </c>
      <c r="AF39" s="31">
        <v>0</v>
      </c>
      <c r="AG39" s="63">
        <f>(AF39/AE39)*100</f>
        <v>0</v>
      </c>
      <c r="AH39" s="71">
        <v>0</v>
      </c>
      <c r="AI39" s="71">
        <v>0</v>
      </c>
      <c r="AJ39" s="59">
        <v>0</v>
      </c>
      <c r="AK39" s="97" t="s">
        <v>304</v>
      </c>
      <c r="AL39" s="31">
        <v>1</v>
      </c>
      <c r="AM39" s="31">
        <v>0</v>
      </c>
      <c r="AN39" s="63">
        <f>(AM39/AL39)*100</f>
        <v>0</v>
      </c>
      <c r="AO39" s="71">
        <v>0</v>
      </c>
      <c r="AP39" s="71">
        <v>0</v>
      </c>
      <c r="AQ39" s="59">
        <v>0</v>
      </c>
      <c r="AR39" s="119" t="s">
        <v>304</v>
      </c>
      <c r="AS39" s="66">
        <v>12</v>
      </c>
      <c r="AT39" s="66">
        <v>12</v>
      </c>
      <c r="AU39" s="68">
        <f t="shared" si="14"/>
        <v>100</v>
      </c>
      <c r="AV39" s="138" t="s">
        <v>399</v>
      </c>
    </row>
    <row r="40" spans="1:48" s="42" customFormat="1" ht="244.5" customHeight="1" x14ac:dyDescent="0.5">
      <c r="A40" s="146"/>
      <c r="B40" s="147"/>
      <c r="C40" s="147"/>
      <c r="D40" s="147"/>
      <c r="E40" s="147"/>
      <c r="F40" s="157"/>
      <c r="G40" s="151"/>
      <c r="H40" s="154"/>
      <c r="I40" s="77" t="s">
        <v>233</v>
      </c>
      <c r="J40" s="54" t="s">
        <v>82</v>
      </c>
      <c r="K40" s="54" t="s">
        <v>123</v>
      </c>
      <c r="L40" s="41">
        <v>12</v>
      </c>
      <c r="M40" s="41">
        <v>0</v>
      </c>
      <c r="N40" s="47">
        <f t="shared" si="0"/>
        <v>0</v>
      </c>
      <c r="O40" s="41"/>
      <c r="P40" s="41"/>
      <c r="Q40" s="57" t="s">
        <v>260</v>
      </c>
      <c r="R40" s="41">
        <v>12</v>
      </c>
      <c r="S40" s="41">
        <v>0</v>
      </c>
      <c r="T40" s="44">
        <f t="shared" si="1"/>
        <v>0</v>
      </c>
      <c r="U40" s="41"/>
      <c r="V40" s="46">
        <v>0</v>
      </c>
      <c r="W40" s="58" t="s">
        <v>260</v>
      </c>
      <c r="X40" s="41">
        <v>0</v>
      </c>
      <c r="Y40" s="41">
        <v>0</v>
      </c>
      <c r="Z40" s="63" t="s">
        <v>299</v>
      </c>
      <c r="AA40" s="65">
        <v>0</v>
      </c>
      <c r="AB40" s="46">
        <v>0</v>
      </c>
      <c r="AC40" s="59">
        <v>0</v>
      </c>
      <c r="AD40" s="96" t="s">
        <v>306</v>
      </c>
      <c r="AE40" s="41">
        <v>1</v>
      </c>
      <c r="AF40" s="41">
        <v>0</v>
      </c>
      <c r="AG40" s="63">
        <f t="shared" si="4"/>
        <v>0</v>
      </c>
      <c r="AH40" s="70">
        <v>0</v>
      </c>
      <c r="AI40" s="70">
        <v>0</v>
      </c>
      <c r="AJ40" s="59">
        <v>0</v>
      </c>
      <c r="AK40" s="95" t="s">
        <v>304</v>
      </c>
      <c r="AL40" s="52">
        <v>1</v>
      </c>
      <c r="AM40" s="41">
        <v>0</v>
      </c>
      <c r="AN40" s="63">
        <f t="shared" ref="AN40" si="18">(AM40/AL40)*100</f>
        <v>0</v>
      </c>
      <c r="AO40" s="70">
        <v>0</v>
      </c>
      <c r="AP40" s="70">
        <v>0</v>
      </c>
      <c r="AQ40" s="59">
        <v>0</v>
      </c>
      <c r="AR40" s="96" t="s">
        <v>304</v>
      </c>
      <c r="AS40" s="41">
        <v>12</v>
      </c>
      <c r="AT40" s="41">
        <v>0</v>
      </c>
      <c r="AU40" s="68">
        <f t="shared" si="14"/>
        <v>0</v>
      </c>
      <c r="AV40" s="95" t="s">
        <v>326</v>
      </c>
    </row>
    <row r="41" spans="1:48" s="42" customFormat="1" ht="244.5" customHeight="1" x14ac:dyDescent="0.5">
      <c r="A41" s="146"/>
      <c r="B41" s="147"/>
      <c r="C41" s="147"/>
      <c r="D41" s="147"/>
      <c r="E41" s="147"/>
      <c r="F41" s="157"/>
      <c r="G41" s="39" t="s">
        <v>199</v>
      </c>
      <c r="H41" s="34" t="s">
        <v>70</v>
      </c>
      <c r="I41" s="77" t="s">
        <v>71</v>
      </c>
      <c r="J41" s="54" t="s">
        <v>124</v>
      </c>
      <c r="K41" s="54" t="s">
        <v>125</v>
      </c>
      <c r="L41" s="41">
        <v>0</v>
      </c>
      <c r="M41" s="41">
        <v>0</v>
      </c>
      <c r="N41" s="47" t="e">
        <f t="shared" si="0"/>
        <v>#DIV/0!</v>
      </c>
      <c r="O41" s="41"/>
      <c r="P41" s="41"/>
      <c r="Q41" s="57" t="s">
        <v>260</v>
      </c>
      <c r="R41" s="41">
        <v>0</v>
      </c>
      <c r="S41" s="41">
        <v>0</v>
      </c>
      <c r="T41" s="44" t="e">
        <f t="shared" si="1"/>
        <v>#DIV/0!</v>
      </c>
      <c r="U41" s="41"/>
      <c r="V41" s="46">
        <v>0</v>
      </c>
      <c r="W41" s="58" t="s">
        <v>260</v>
      </c>
      <c r="X41" s="41">
        <v>1</v>
      </c>
      <c r="Y41" s="41">
        <v>0</v>
      </c>
      <c r="Z41" s="63">
        <f t="shared" si="7"/>
        <v>0</v>
      </c>
      <c r="AA41" s="65">
        <v>0</v>
      </c>
      <c r="AB41" s="46">
        <v>0</v>
      </c>
      <c r="AC41" s="59">
        <v>0</v>
      </c>
      <c r="AD41" s="96" t="s">
        <v>305</v>
      </c>
      <c r="AE41" s="41">
        <v>1</v>
      </c>
      <c r="AF41" s="41">
        <v>0</v>
      </c>
      <c r="AG41" s="63">
        <f>(AF41/AE41)*100</f>
        <v>0</v>
      </c>
      <c r="AH41" s="70">
        <v>0</v>
      </c>
      <c r="AI41" s="70">
        <v>0</v>
      </c>
      <c r="AJ41" s="59">
        <v>0</v>
      </c>
      <c r="AK41" s="95" t="s">
        <v>304</v>
      </c>
      <c r="AL41" s="52">
        <v>0</v>
      </c>
      <c r="AM41" s="41">
        <v>0</v>
      </c>
      <c r="AN41" s="63" t="e">
        <f>(AM41/AL41)*100</f>
        <v>#DIV/0!</v>
      </c>
      <c r="AO41" s="70">
        <v>0</v>
      </c>
      <c r="AP41" s="70">
        <v>0</v>
      </c>
      <c r="AQ41" s="59">
        <v>0</v>
      </c>
      <c r="AR41" s="133" t="s">
        <v>412</v>
      </c>
      <c r="AS41" s="41">
        <v>8</v>
      </c>
      <c r="AT41" s="41">
        <v>0</v>
      </c>
      <c r="AU41" s="68">
        <f t="shared" si="14"/>
        <v>0</v>
      </c>
      <c r="AV41" s="95" t="s">
        <v>326</v>
      </c>
    </row>
    <row r="42" spans="1:48" s="42" customFormat="1" ht="295.5" customHeight="1" x14ac:dyDescent="0.5">
      <c r="A42" s="146"/>
      <c r="B42" s="147"/>
      <c r="C42" s="39" t="s">
        <v>154</v>
      </c>
      <c r="D42" s="39" t="s">
        <v>139</v>
      </c>
      <c r="E42" s="39" t="s">
        <v>200</v>
      </c>
      <c r="F42" s="34" t="s">
        <v>48</v>
      </c>
      <c r="G42" s="39" t="s">
        <v>201</v>
      </c>
      <c r="H42" s="34" t="s">
        <v>216</v>
      </c>
      <c r="I42" s="77" t="s">
        <v>72</v>
      </c>
      <c r="J42" s="54" t="s">
        <v>126</v>
      </c>
      <c r="K42" s="54" t="s">
        <v>127</v>
      </c>
      <c r="L42" s="41">
        <v>0</v>
      </c>
      <c r="M42" s="41">
        <v>0</v>
      </c>
      <c r="N42" s="47" t="e">
        <f t="shared" si="0"/>
        <v>#DIV/0!</v>
      </c>
      <c r="O42" s="41"/>
      <c r="P42" s="41"/>
      <c r="Q42" s="57" t="s">
        <v>260</v>
      </c>
      <c r="R42" s="41">
        <v>1</v>
      </c>
      <c r="S42" s="41">
        <v>0</v>
      </c>
      <c r="T42" s="44">
        <f t="shared" si="1"/>
        <v>0</v>
      </c>
      <c r="U42" s="41"/>
      <c r="V42" s="46">
        <v>0</v>
      </c>
      <c r="W42" s="58" t="s">
        <v>260</v>
      </c>
      <c r="X42" s="41">
        <v>0</v>
      </c>
      <c r="Y42" s="41">
        <v>0</v>
      </c>
      <c r="Z42" s="63" t="s">
        <v>299</v>
      </c>
      <c r="AA42" s="65">
        <v>0</v>
      </c>
      <c r="AB42" s="46">
        <v>0</v>
      </c>
      <c r="AC42" s="59">
        <v>0</v>
      </c>
      <c r="AD42" s="96" t="s">
        <v>306</v>
      </c>
      <c r="AE42" s="41">
        <v>1</v>
      </c>
      <c r="AF42" s="126">
        <v>1</v>
      </c>
      <c r="AG42" s="123">
        <v>1</v>
      </c>
      <c r="AH42" s="70">
        <v>350000000</v>
      </c>
      <c r="AI42" s="70">
        <v>350000000</v>
      </c>
      <c r="AJ42" s="59">
        <v>1</v>
      </c>
      <c r="AK42" s="95" t="s">
        <v>385</v>
      </c>
      <c r="AL42" s="52">
        <v>0</v>
      </c>
      <c r="AM42" s="126">
        <v>0</v>
      </c>
      <c r="AN42" s="140">
        <v>0</v>
      </c>
      <c r="AO42" s="70">
        <v>0</v>
      </c>
      <c r="AP42" s="70">
        <v>0</v>
      </c>
      <c r="AQ42" s="59">
        <v>0</v>
      </c>
      <c r="AR42" s="133" t="s">
        <v>412</v>
      </c>
      <c r="AS42" s="41">
        <v>9</v>
      </c>
      <c r="AT42" s="126">
        <v>4</v>
      </c>
      <c r="AU42" s="68">
        <f t="shared" si="14"/>
        <v>44.444444444444443</v>
      </c>
      <c r="AV42" s="95" t="s">
        <v>385</v>
      </c>
    </row>
    <row r="61" spans="2:5" ht="102.75" customHeight="1" x14ac:dyDescent="0.3">
      <c r="B61" s="26"/>
      <c r="C61" s="26"/>
      <c r="D61" s="27"/>
      <c r="E61" s="28"/>
    </row>
    <row r="62" spans="2:5" ht="102.75" customHeight="1" x14ac:dyDescent="0.3">
      <c r="B62" s="26"/>
      <c r="C62" s="26"/>
      <c r="D62" s="27"/>
      <c r="E62" s="28"/>
    </row>
    <row r="63" spans="2:5" ht="102.75" customHeight="1" x14ac:dyDescent="0.3">
      <c r="B63" s="26"/>
      <c r="C63" s="26"/>
      <c r="D63" s="27"/>
      <c r="E63" s="28"/>
    </row>
    <row r="64" spans="2:5" ht="102.75" customHeight="1" x14ac:dyDescent="0.3">
      <c r="B64" s="26"/>
      <c r="C64" s="26"/>
      <c r="D64" s="27"/>
      <c r="E64" s="28"/>
    </row>
    <row r="65" spans="2:5" ht="102.75" customHeight="1" x14ac:dyDescent="0.3">
      <c r="B65" s="26"/>
      <c r="C65" s="26"/>
      <c r="D65" s="27"/>
      <c r="E65" s="28"/>
    </row>
    <row r="66" spans="2:5" ht="102.75" customHeight="1" x14ac:dyDescent="0.3">
      <c r="B66" s="26"/>
      <c r="C66" s="26"/>
      <c r="D66" s="27"/>
      <c r="E66" s="28"/>
    </row>
    <row r="67" spans="2:5" ht="102.75" customHeight="1" x14ac:dyDescent="0.3">
      <c r="B67" s="26"/>
      <c r="C67" s="26"/>
      <c r="D67" s="27"/>
      <c r="E67" s="28"/>
    </row>
    <row r="68" spans="2:5" ht="102.75" customHeight="1" x14ac:dyDescent="0.3">
      <c r="B68" s="26"/>
      <c r="C68" s="26"/>
      <c r="D68" s="27"/>
      <c r="E68" s="28"/>
    </row>
    <row r="69" spans="2:5" ht="102.75" customHeight="1" x14ac:dyDescent="0.3">
      <c r="B69" s="26"/>
      <c r="C69" s="26"/>
      <c r="D69" s="27"/>
      <c r="E69" s="28"/>
    </row>
    <row r="70" spans="2:5" ht="102.75" customHeight="1" x14ac:dyDescent="0.3">
      <c r="B70" s="26"/>
      <c r="C70" s="26"/>
      <c r="D70" s="27"/>
      <c r="E70" s="28"/>
    </row>
    <row r="72" spans="2:5" ht="102.75" customHeight="1" x14ac:dyDescent="0.3">
      <c r="B72" s="26"/>
      <c r="C72" s="26"/>
      <c r="D72" s="27"/>
      <c r="E72" s="28"/>
    </row>
    <row r="73" spans="2:5" ht="102.75" customHeight="1" x14ac:dyDescent="0.3">
      <c r="B73" s="26"/>
      <c r="C73" s="26"/>
      <c r="D73" s="27"/>
      <c r="E73" s="28"/>
    </row>
    <row r="74" spans="2:5" ht="102.75" customHeight="1" x14ac:dyDescent="0.3">
      <c r="B74" s="26"/>
      <c r="C74" s="26"/>
      <c r="D74" s="27"/>
      <c r="E74" s="28"/>
    </row>
    <row r="75" spans="2:5" ht="102.75" customHeight="1" x14ac:dyDescent="0.3">
      <c r="B75" s="26"/>
      <c r="C75" s="26"/>
      <c r="D75" s="27"/>
      <c r="E75" s="28"/>
    </row>
    <row r="76" spans="2:5" ht="102.75" customHeight="1" x14ac:dyDescent="0.3">
      <c r="B76" s="26"/>
      <c r="C76" s="26"/>
      <c r="D76" s="27"/>
      <c r="E76" s="28"/>
    </row>
  </sheetData>
  <mergeCells count="68">
    <mergeCell ref="AS2:AV2"/>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 ref="G26:G27"/>
    <mergeCell ref="A17:A23"/>
    <mergeCell ref="B17:B23"/>
    <mergeCell ref="C17:C21"/>
    <mergeCell ref="C22:C23"/>
    <mergeCell ref="D17:D21"/>
    <mergeCell ref="A24:A37"/>
    <mergeCell ref="G17:G18"/>
    <mergeCell ref="E17:E21"/>
    <mergeCell ref="E26:E31"/>
    <mergeCell ref="F26:F31"/>
    <mergeCell ref="E22:E23"/>
    <mergeCell ref="D4:D5"/>
    <mergeCell ref="D6:D9"/>
    <mergeCell ref="C10:C13"/>
    <mergeCell ref="D22:D23"/>
    <mergeCell ref="E14:E15"/>
    <mergeCell ref="E6:E7"/>
    <mergeCell ref="E12:E13"/>
    <mergeCell ref="E8:E9"/>
    <mergeCell ref="E10:E11"/>
    <mergeCell ref="D10:D13"/>
    <mergeCell ref="D14:D16"/>
    <mergeCell ref="A4:A5"/>
    <mergeCell ref="C4:C5"/>
    <mergeCell ref="B4:B5"/>
    <mergeCell ref="A6:A16"/>
    <mergeCell ref="B6:B16"/>
    <mergeCell ref="C6:C9"/>
    <mergeCell ref="C14:C16"/>
    <mergeCell ref="A38:A42"/>
    <mergeCell ref="E38:E41"/>
    <mergeCell ref="C38:C41"/>
    <mergeCell ref="B24:B37"/>
    <mergeCell ref="E33:E37"/>
    <mergeCell ref="C33:C37"/>
    <mergeCell ref="D24:D25"/>
    <mergeCell ref="C26:C32"/>
    <mergeCell ref="C24:C25"/>
    <mergeCell ref="D33:D37"/>
    <mergeCell ref="B38:B42"/>
    <mergeCell ref="D38:D41"/>
    <mergeCell ref="D26:D32"/>
    <mergeCell ref="AL2:AR2"/>
    <mergeCell ref="AE2:AK2"/>
    <mergeCell ref="R2:W2"/>
    <mergeCell ref="X2:AD2"/>
    <mergeCell ref="C3:D3"/>
    <mergeCell ref="E3:F3"/>
    <mergeCell ref="H2:K2"/>
    <mergeCell ref="G3:H3"/>
    <mergeCell ref="L2:Q2"/>
  </mergeCells>
  <conditionalFormatting sqref="N4:N24 N26:N42">
    <cfRule type="cellIs" dxfId="44" priority="220" operator="between">
      <formula>80</formula>
      <formula>100</formula>
    </cfRule>
    <cfRule type="cellIs" dxfId="43" priority="221" operator="between">
      <formula>70</formula>
      <formula>79</formula>
    </cfRule>
    <cfRule type="cellIs" dxfId="42" priority="222" operator="between">
      <formula>60</formula>
      <formula>69</formula>
    </cfRule>
    <cfRule type="cellIs" dxfId="41" priority="224" operator="between">
      <formula>0</formula>
      <formula>39</formula>
    </cfRule>
  </conditionalFormatting>
  <conditionalFormatting sqref="N4:N42">
    <cfRule type="cellIs" dxfId="40" priority="219" operator="between">
      <formula>40</formula>
      <formula>59</formula>
    </cfRule>
  </conditionalFormatting>
  <conditionalFormatting sqref="T4:T42">
    <cfRule type="cellIs" dxfId="39" priority="214" operator="between">
      <formula>80</formula>
      <formula>100</formula>
    </cfRule>
    <cfRule type="cellIs" dxfId="38" priority="215" operator="between">
      <formula>70</formula>
      <formula>79</formula>
    </cfRule>
    <cfRule type="cellIs" dxfId="37" priority="216" operator="between">
      <formula>60</formula>
      <formula>69</formula>
    </cfRule>
    <cfRule type="cellIs" dxfId="36" priority="217" operator="between">
      <formula>40</formula>
      <formula>59</formula>
    </cfRule>
    <cfRule type="cellIs" dxfId="35" priority="218" operator="between">
      <formula>0</formula>
      <formula>39</formula>
    </cfRule>
  </conditionalFormatting>
  <conditionalFormatting sqref="Z4:Z42">
    <cfRule type="cellIs" dxfId="34" priority="101" operator="between">
      <formula>80</formula>
      <formula>100</formula>
    </cfRule>
    <cfRule type="cellIs" dxfId="33" priority="102" operator="between">
      <formula>70</formula>
      <formula>79</formula>
    </cfRule>
    <cfRule type="cellIs" dxfId="32" priority="103" operator="between">
      <formula>60</formula>
      <formula>69</formula>
    </cfRule>
    <cfRule type="cellIs" dxfId="31" priority="104" operator="between">
      <formula>40</formula>
      <formula>59</formula>
    </cfRule>
    <cfRule type="cellIs" dxfId="30" priority="105" operator="between">
      <formula>0</formula>
      <formula>39</formula>
    </cfRule>
  </conditionalFormatting>
  <conditionalFormatting sqref="AC4:AC42">
    <cfRule type="cellIs" dxfId="29" priority="126" operator="between">
      <formula>0.8</formula>
      <formula>1</formula>
    </cfRule>
    <cfRule type="cellIs" dxfId="28" priority="127" operator="between">
      <formula>0.7</formula>
      <formula>0.79</formula>
    </cfRule>
    <cfRule type="cellIs" dxfId="27" priority="128" operator="between">
      <formula>0.6</formula>
      <formula>0.69</formula>
    </cfRule>
    <cfRule type="cellIs" dxfId="26" priority="129" operator="between">
      <formula>0.4</formula>
      <formula>0.59</formula>
    </cfRule>
    <cfRule type="cellIs" dxfId="25" priority="130" operator="between">
      <formula>0</formula>
      <formula>0.39</formula>
    </cfRule>
  </conditionalFormatting>
  <conditionalFormatting sqref="AG4:AG41">
    <cfRule type="cellIs" dxfId="24" priority="11" operator="between">
      <formula>80</formula>
      <formula>100</formula>
    </cfRule>
    <cfRule type="cellIs" dxfId="23" priority="12" operator="between">
      <formula>70</formula>
      <formula>79</formula>
    </cfRule>
    <cfRule type="cellIs" dxfId="22" priority="13" operator="between">
      <formula>60</formula>
      <formula>69</formula>
    </cfRule>
    <cfRule type="cellIs" dxfId="21" priority="14" operator="between">
      <formula>40</formula>
      <formula>59</formula>
    </cfRule>
    <cfRule type="cellIs" dxfId="20" priority="15" operator="between">
      <formula>0</formula>
      <formula>39</formula>
    </cfRule>
  </conditionalFormatting>
  <conditionalFormatting sqref="AJ4:AJ42">
    <cfRule type="cellIs" dxfId="19" priority="46" operator="between">
      <formula>0.8</formula>
      <formula>1</formula>
    </cfRule>
    <cfRule type="cellIs" dxfId="18" priority="47" operator="between">
      <formula>0.7</formula>
      <formula>0.79</formula>
    </cfRule>
    <cfRule type="cellIs" dxfId="17" priority="48" operator="between">
      <formula>0.6</formula>
      <formula>0.69</formula>
    </cfRule>
    <cfRule type="cellIs" dxfId="16" priority="49" operator="between">
      <formula>0.4</formula>
      <formula>0.59</formula>
    </cfRule>
    <cfRule type="cellIs" dxfId="15" priority="50" operator="between">
      <formula>0</formula>
      <formula>0.39</formula>
    </cfRule>
  </conditionalFormatting>
  <conditionalFormatting sqref="AU4:AU42">
    <cfRule type="cellIs" dxfId="14" priority="204" operator="between">
      <formula>80</formula>
      <formula>100</formula>
    </cfRule>
    <cfRule type="cellIs" dxfId="13" priority="205" operator="between">
      <formula>70</formula>
      <formula>79</formula>
    </cfRule>
    <cfRule type="cellIs" dxfId="12" priority="206" operator="between">
      <formula>60</formula>
      <formula>69</formula>
    </cfRule>
    <cfRule type="cellIs" dxfId="11" priority="207" operator="between">
      <formula>40</formula>
      <formula>59</formula>
    </cfRule>
    <cfRule type="cellIs" dxfId="10" priority="208" operator="between">
      <formula>0</formula>
      <formula>39</formula>
    </cfRule>
  </conditionalFormatting>
  <conditionalFormatting sqref="AN4:AN41">
    <cfRule type="cellIs" dxfId="9" priority="1" operator="between">
      <formula>80</formula>
      <formula>100</formula>
    </cfRule>
    <cfRule type="cellIs" dxfId="8" priority="2" operator="between">
      <formula>70</formula>
      <formula>79</formula>
    </cfRule>
    <cfRule type="cellIs" dxfId="7" priority="3" operator="between">
      <formula>60</formula>
      <formula>69</formula>
    </cfRule>
    <cfRule type="cellIs" dxfId="6" priority="4" operator="between">
      <formula>40</formula>
      <formula>59</formula>
    </cfRule>
    <cfRule type="cellIs" dxfId="5" priority="5" operator="between">
      <formula>0</formula>
      <formula>39</formula>
    </cfRule>
  </conditionalFormatting>
  <conditionalFormatting sqref="AQ4:AQ42">
    <cfRule type="cellIs" dxfId="4" priority="6" operator="between">
      <formula>0.8</formula>
      <formula>1</formula>
    </cfRule>
    <cfRule type="cellIs" dxfId="3" priority="7" operator="between">
      <formula>0.7</formula>
      <formula>0.79</formula>
    </cfRule>
    <cfRule type="cellIs" dxfId="2" priority="8" operator="between">
      <formula>0.6</formula>
      <formula>0.69</formula>
    </cfRule>
    <cfRule type="cellIs" dxfId="1" priority="9" operator="between">
      <formula>0.4</formula>
      <formula>0.59</formula>
    </cfRule>
    <cfRule type="cellIs" dxfId="0" priority="10" operator="between">
      <formula>0</formula>
      <formula>0.39</formula>
    </cfRule>
  </conditionalFormatting>
  <pageMargins left="0.7" right="0.7" top="0.75" bottom="0.75" header="0.3" footer="0.3"/>
  <pageSetup paperSize="5" scale="10" fitToHeight="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zoomScale="48" zoomScaleNormal="48" workbookViewId="0">
      <selection activeCell="O16" sqref="O16"/>
    </sheetView>
  </sheetViews>
  <sheetFormatPr baseColWidth="10" defaultRowHeight="14.4" x14ac:dyDescent="0.3"/>
  <cols>
    <col min="2" max="2" width="22.33203125" customWidth="1"/>
    <col min="3" max="4" width="20.44140625" customWidth="1"/>
    <col min="5" max="5" width="18.88671875" customWidth="1"/>
    <col min="6" max="6" width="23.44140625" customWidth="1"/>
    <col min="7" max="7" width="25.109375" customWidth="1"/>
    <col min="8" max="8" width="20.44140625" customWidth="1"/>
    <col min="9" max="9" width="18.88671875" customWidth="1"/>
    <col min="10" max="10" width="22" customWidth="1"/>
    <col min="13" max="13" width="13.44140625" customWidth="1"/>
    <col min="14" max="14" width="23" customWidth="1"/>
    <col min="15" max="15" width="26.33203125" customWidth="1"/>
  </cols>
  <sheetData>
    <row r="1" spans="1:23" ht="15.75" customHeight="1" thickBot="1" x14ac:dyDescent="0.35">
      <c r="A1" s="162" t="s">
        <v>245</v>
      </c>
      <c r="B1" s="164" t="s">
        <v>246</v>
      </c>
      <c r="C1" s="164" t="s">
        <v>292</v>
      </c>
      <c r="D1" s="164" t="s">
        <v>3</v>
      </c>
      <c r="E1" s="166" t="s">
        <v>337</v>
      </c>
      <c r="F1" s="167"/>
      <c r="G1" s="167"/>
      <c r="H1" s="167"/>
      <c r="I1" s="167"/>
      <c r="J1" s="168"/>
    </row>
    <row r="2" spans="1:23" ht="27.75" customHeight="1" thickBot="1" x14ac:dyDescent="0.35">
      <c r="A2" s="163"/>
      <c r="B2" s="165"/>
      <c r="C2" s="165"/>
      <c r="D2" s="165"/>
      <c r="E2" s="10" t="s">
        <v>235</v>
      </c>
      <c r="F2" s="10" t="s">
        <v>236</v>
      </c>
      <c r="G2" s="10" t="s">
        <v>237</v>
      </c>
      <c r="H2" s="10" t="s">
        <v>238</v>
      </c>
      <c r="I2" s="10" t="s">
        <v>239</v>
      </c>
      <c r="J2" s="11" t="s">
        <v>247</v>
      </c>
      <c r="N2" s="2" t="s">
        <v>248</v>
      </c>
      <c r="O2" s="3" t="s">
        <v>249</v>
      </c>
      <c r="Q2" s="161"/>
      <c r="R2" s="161"/>
      <c r="S2" s="161"/>
      <c r="T2" s="161"/>
      <c r="U2" s="161"/>
      <c r="V2" s="161"/>
      <c r="W2" s="161"/>
    </row>
    <row r="3" spans="1:23" ht="60.75" customHeight="1" thickBot="1" x14ac:dyDescent="0.35">
      <c r="A3" s="12">
        <v>1</v>
      </c>
      <c r="B3" s="13" t="s">
        <v>234</v>
      </c>
      <c r="C3" s="14">
        <v>2</v>
      </c>
      <c r="D3" s="51" t="s">
        <v>293</v>
      </c>
      <c r="E3" s="15">
        <v>1</v>
      </c>
      <c r="F3" s="16"/>
      <c r="G3" s="30"/>
      <c r="H3" s="17"/>
      <c r="I3" s="18">
        <v>1</v>
      </c>
      <c r="J3" s="19">
        <f>SUM(E3:I3)</f>
        <v>2</v>
      </c>
      <c r="N3" s="4" t="s">
        <v>250</v>
      </c>
      <c r="O3" s="5">
        <v>18</v>
      </c>
    </row>
    <row r="4" spans="1:23" ht="83.25" customHeight="1" thickBot="1" x14ac:dyDescent="0.35">
      <c r="A4" s="12">
        <v>2</v>
      </c>
      <c r="B4" s="13" t="s">
        <v>14</v>
      </c>
      <c r="C4" s="14">
        <v>11</v>
      </c>
      <c r="D4" s="51" t="s">
        <v>294</v>
      </c>
      <c r="E4" s="15">
        <v>4</v>
      </c>
      <c r="F4" s="16">
        <v>2</v>
      </c>
      <c r="G4" s="30"/>
      <c r="H4" s="17"/>
      <c r="I4" s="18">
        <v>5</v>
      </c>
      <c r="J4" s="19">
        <f t="shared" ref="J4:J7" si="0">SUM(E4:I4)</f>
        <v>11</v>
      </c>
      <c r="N4" s="6" t="s">
        <v>236</v>
      </c>
      <c r="O4" s="5">
        <v>4</v>
      </c>
    </row>
    <row r="5" spans="1:23" ht="60" customHeight="1" thickBot="1" x14ac:dyDescent="0.35">
      <c r="A5" s="12">
        <v>3</v>
      </c>
      <c r="B5" s="13" t="s">
        <v>24</v>
      </c>
      <c r="C5" s="14">
        <v>7</v>
      </c>
      <c r="D5" s="51" t="s">
        <v>295</v>
      </c>
      <c r="E5" s="15">
        <v>3</v>
      </c>
      <c r="F5" s="16">
        <v>2</v>
      </c>
      <c r="G5" s="30"/>
      <c r="H5" s="17">
        <v>1</v>
      </c>
      <c r="I5" s="18">
        <v>1</v>
      </c>
      <c r="J5" s="19">
        <f t="shared" si="0"/>
        <v>7</v>
      </c>
      <c r="N5" s="7" t="s">
        <v>237</v>
      </c>
      <c r="O5" s="5">
        <f>G8</f>
        <v>0</v>
      </c>
    </row>
    <row r="6" spans="1:23" ht="79.5" customHeight="1" thickBot="1" x14ac:dyDescent="0.35">
      <c r="A6" s="12">
        <v>4</v>
      </c>
      <c r="B6" s="13" t="s">
        <v>30</v>
      </c>
      <c r="C6" s="14">
        <v>14</v>
      </c>
      <c r="D6" s="51" t="s">
        <v>296</v>
      </c>
      <c r="E6" s="15">
        <v>6</v>
      </c>
      <c r="F6" s="16"/>
      <c r="G6" s="30"/>
      <c r="H6" s="17"/>
      <c r="I6" s="18">
        <v>8</v>
      </c>
      <c r="J6" s="19">
        <f t="shared" si="0"/>
        <v>14</v>
      </c>
      <c r="N6" s="8" t="s">
        <v>238</v>
      </c>
      <c r="O6" s="5">
        <v>1</v>
      </c>
    </row>
    <row r="7" spans="1:23" ht="107.25" customHeight="1" thickBot="1" x14ac:dyDescent="0.35">
      <c r="A7" s="12">
        <v>5</v>
      </c>
      <c r="B7" s="13" t="s">
        <v>39</v>
      </c>
      <c r="C7" s="14">
        <v>5</v>
      </c>
      <c r="D7" s="51" t="s">
        <v>297</v>
      </c>
      <c r="E7" s="15">
        <v>4</v>
      </c>
      <c r="F7" s="16"/>
      <c r="G7" s="30"/>
      <c r="H7" s="17"/>
      <c r="I7" s="18">
        <v>1</v>
      </c>
      <c r="J7" s="19">
        <f t="shared" si="0"/>
        <v>5</v>
      </c>
      <c r="N7" s="9" t="s">
        <v>239</v>
      </c>
      <c r="O7" s="5">
        <v>16</v>
      </c>
    </row>
    <row r="8" spans="1:23" ht="15" thickBot="1" x14ac:dyDescent="0.35">
      <c r="A8" s="158" t="s">
        <v>292</v>
      </c>
      <c r="B8" s="159"/>
      <c r="C8" s="159"/>
      <c r="D8" s="160"/>
      <c r="E8" s="20">
        <f>SUM(E3:E7)</f>
        <v>18</v>
      </c>
      <c r="F8" s="20">
        <f t="shared" ref="F8:I8" si="1">SUM(F3:F7)</f>
        <v>4</v>
      </c>
      <c r="G8" s="20">
        <f t="shared" si="1"/>
        <v>0</v>
      </c>
      <c r="H8" s="20">
        <f t="shared" si="1"/>
        <v>1</v>
      </c>
      <c r="I8" s="20">
        <f t="shared" si="1"/>
        <v>16</v>
      </c>
      <c r="J8" s="20">
        <f>SUM(J3:J7)</f>
        <v>39</v>
      </c>
      <c r="O8">
        <f>O3+O4+O5+O6+O7</f>
        <v>39</v>
      </c>
    </row>
    <row r="14" spans="1:23" ht="15" thickBot="1" x14ac:dyDescent="0.35"/>
    <row r="15" spans="1:23" ht="24" customHeight="1" x14ac:dyDescent="0.3">
      <c r="B15" s="21" t="s">
        <v>240</v>
      </c>
      <c r="C15" s="22" t="s">
        <v>235</v>
      </c>
      <c r="D15" s="22" t="s">
        <v>236</v>
      </c>
      <c r="E15" s="22" t="s">
        <v>237</v>
      </c>
      <c r="F15" s="22" t="s">
        <v>238</v>
      </c>
      <c r="G15" s="23" t="s">
        <v>239</v>
      </c>
      <c r="J15" s="21" t="s">
        <v>241</v>
      </c>
      <c r="K15" s="22" t="s">
        <v>235</v>
      </c>
      <c r="L15" s="22" t="s">
        <v>236</v>
      </c>
      <c r="M15" s="22" t="s">
        <v>237</v>
      </c>
      <c r="N15" s="22" t="s">
        <v>238</v>
      </c>
      <c r="O15" s="23" t="s">
        <v>239</v>
      </c>
    </row>
    <row r="16" spans="1:23" ht="70.5" customHeight="1" thickBot="1" x14ac:dyDescent="0.35">
      <c r="B16" s="24" t="s">
        <v>234</v>
      </c>
      <c r="C16" s="15">
        <f>E3</f>
        <v>1</v>
      </c>
      <c r="D16" s="16">
        <f>F3</f>
        <v>0</v>
      </c>
      <c r="E16" s="30">
        <f>G3</f>
        <v>0</v>
      </c>
      <c r="F16" s="17">
        <f>H3</f>
        <v>0</v>
      </c>
      <c r="G16" s="18">
        <f>I3</f>
        <v>1</v>
      </c>
      <c r="J16" s="24" t="s">
        <v>14</v>
      </c>
      <c r="K16" s="15">
        <f>E4</f>
        <v>4</v>
      </c>
      <c r="L16" s="16">
        <f>F4</f>
        <v>2</v>
      </c>
      <c r="M16" s="30">
        <f>G4</f>
        <v>0</v>
      </c>
      <c r="N16" s="17">
        <f>H4</f>
        <v>0</v>
      </c>
      <c r="O16" s="18">
        <f>I4</f>
        <v>5</v>
      </c>
    </row>
    <row r="17" spans="2:30" x14ac:dyDescent="0.3">
      <c r="B17" s="1"/>
    </row>
    <row r="19" spans="2:30" ht="65.25" customHeight="1" x14ac:dyDescent="0.3"/>
    <row r="22" spans="2:30" ht="54.75" customHeight="1" x14ac:dyDescent="0.3"/>
    <row r="24" spans="2:30" x14ac:dyDescent="0.3">
      <c r="AD24" s="1"/>
    </row>
    <row r="25" spans="2:30" ht="80.25" customHeight="1" thickBot="1" x14ac:dyDescent="0.35"/>
    <row r="26" spans="2:30" ht="48" customHeight="1" x14ac:dyDescent="0.3">
      <c r="B26" s="21" t="s">
        <v>242</v>
      </c>
      <c r="C26" s="22" t="s">
        <v>235</v>
      </c>
      <c r="D26" s="22" t="s">
        <v>236</v>
      </c>
      <c r="E26" s="22" t="s">
        <v>237</v>
      </c>
      <c r="F26" s="22" t="s">
        <v>238</v>
      </c>
      <c r="G26" s="23" t="s">
        <v>239</v>
      </c>
      <c r="J26" s="21" t="s">
        <v>243</v>
      </c>
      <c r="K26" s="22" t="s">
        <v>235</v>
      </c>
      <c r="L26" s="22" t="s">
        <v>236</v>
      </c>
      <c r="M26" s="22" t="s">
        <v>237</v>
      </c>
      <c r="N26" s="22" t="s">
        <v>238</v>
      </c>
      <c r="O26" s="23" t="s">
        <v>239</v>
      </c>
    </row>
    <row r="27" spans="2:30" ht="134.25" customHeight="1" thickBot="1" x14ac:dyDescent="0.35">
      <c r="B27" s="24" t="s">
        <v>24</v>
      </c>
      <c r="C27" s="15">
        <f>E5</f>
        <v>3</v>
      </c>
      <c r="D27" s="16">
        <f>F5</f>
        <v>2</v>
      </c>
      <c r="E27" s="30">
        <f>G5</f>
        <v>0</v>
      </c>
      <c r="F27" s="17">
        <f>H5</f>
        <v>1</v>
      </c>
      <c r="G27" s="18">
        <f>I5</f>
        <v>1</v>
      </c>
      <c r="J27" s="24" t="s">
        <v>30</v>
      </c>
      <c r="K27" s="15">
        <f>E6</f>
        <v>6</v>
      </c>
      <c r="L27" s="16">
        <f>F6</f>
        <v>0</v>
      </c>
      <c r="M27" s="30">
        <f>G6</f>
        <v>0</v>
      </c>
      <c r="N27" s="17">
        <f>H6</f>
        <v>0</v>
      </c>
      <c r="O27" s="18">
        <f>I6</f>
        <v>8</v>
      </c>
      <c r="AD27" s="1"/>
    </row>
    <row r="28" spans="2:30" ht="96.75" customHeight="1" x14ac:dyDescent="0.3"/>
    <row r="30" spans="2:30" x14ac:dyDescent="0.3">
      <c r="AD30" s="1"/>
    </row>
    <row r="44" spans="2:7" ht="15" thickBot="1" x14ac:dyDescent="0.35"/>
    <row r="45" spans="2:7" ht="30" customHeight="1" x14ac:dyDescent="0.3">
      <c r="B45" s="21" t="s">
        <v>244</v>
      </c>
      <c r="C45" s="22" t="s">
        <v>235</v>
      </c>
      <c r="D45" s="22" t="s">
        <v>236</v>
      </c>
      <c r="E45" s="22" t="s">
        <v>237</v>
      </c>
      <c r="F45" s="22" t="s">
        <v>238</v>
      </c>
      <c r="G45" s="23" t="s">
        <v>239</v>
      </c>
    </row>
    <row r="46" spans="2:7" ht="90.75" customHeight="1" thickBot="1" x14ac:dyDescent="0.35">
      <c r="B46" s="24" t="s">
        <v>39</v>
      </c>
      <c r="C46" s="15">
        <f>E7</f>
        <v>4</v>
      </c>
      <c r="D46" s="16">
        <f>F7</f>
        <v>0</v>
      </c>
      <c r="E46" s="30">
        <f>G7</f>
        <v>0</v>
      </c>
      <c r="F46" s="17">
        <f>H7</f>
        <v>0</v>
      </c>
      <c r="G46" s="18">
        <f>I7</f>
        <v>1</v>
      </c>
    </row>
  </sheetData>
  <mergeCells count="7">
    <mergeCell ref="A8:D8"/>
    <mergeCell ref="Q2:W2"/>
    <mergeCell ref="A1:A2"/>
    <mergeCell ref="B1:B2"/>
    <mergeCell ref="C1:C2"/>
    <mergeCell ref="E1:J1"/>
    <mergeCell ref="D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Seguimiento</vt:lpstr>
      <vt:lpstr>GRAFICOS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sebastian leon herrera</cp:lastModifiedBy>
  <cp:lastPrinted>2021-08-19T15:54:10Z</cp:lastPrinted>
  <dcterms:created xsi:type="dcterms:W3CDTF">2019-05-08T13:38:43Z</dcterms:created>
  <dcterms:modified xsi:type="dcterms:W3CDTF">2024-09-06T16:39:06Z</dcterms:modified>
</cp:coreProperties>
</file>